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0. ปี 2565\1.รายงานแผนงาน-ผลงาน ปี 65\2.ภาพรวมรายภาค\1.ภาคเหนือ\"/>
    </mc:Choice>
  </mc:AlternateContent>
  <xr:revisionPtr revIDLastSave="0" documentId="13_ncr:1_{7A47494F-0A1E-4521-A7D7-177B3EBCEDBC}" xr6:coauthVersionLast="37" xr6:coauthVersionMax="47" xr10:uidLastSave="{00000000-0000-0000-0000-000000000000}"/>
  <bookViews>
    <workbookView xWindow="0" yWindow="0" windowWidth="24000" windowHeight="9525" xr2:uid="{00000000-000D-0000-FFFF-FFFF00000000}"/>
  </bookViews>
  <sheets>
    <sheet name="รวมเหนือ" sheetId="1" r:id="rId1"/>
    <sheet name="กำแพงเพชร" sheetId="2" r:id="rId2"/>
    <sheet name="เชียงราย" sheetId="3" r:id="rId3"/>
    <sheet name="เชียงใหม่" sheetId="4" r:id="rId4"/>
    <sheet name="ตาก" sheetId="5" r:id="rId5"/>
    <sheet name="นครสวรรค์" sheetId="6" r:id="rId6"/>
    <sheet name="น่าน" sheetId="7" r:id="rId7"/>
    <sheet name="พะเยา" sheetId="8" r:id="rId8"/>
    <sheet name="พิจิตร" sheetId="9" r:id="rId9"/>
    <sheet name="พิษณุโลก" sheetId="10" r:id="rId10"/>
    <sheet name="เพชรบูรณ์" sheetId="11" r:id="rId11"/>
    <sheet name="แพร่" sheetId="12" r:id="rId12"/>
    <sheet name="แม่ฮ่องสอน" sheetId="13" r:id="rId13"/>
    <sheet name="ลำปาง" sheetId="14" r:id="rId14"/>
    <sheet name="ลำพูน" sheetId="15" r:id="rId15"/>
    <sheet name="สุโขทัย" sheetId="16" r:id="rId16"/>
    <sheet name="อุตรดิตถ์" sheetId="17" r:id="rId17"/>
    <sheet name="อุทัยธานี" sheetId="18" r:id="rId18"/>
  </sheets>
  <definedNames>
    <definedName name="_xlnm.Print_Titles" localSheetId="1">กำแพงเพชร!$1:$5</definedName>
    <definedName name="_xlnm.Print_Titles" localSheetId="2">เชียงราย!$1:$5</definedName>
    <definedName name="_xlnm.Print_Titles" localSheetId="3">เชียงใหม่!$1:$5</definedName>
    <definedName name="_xlnm.Print_Titles" localSheetId="4">ตาก!$1:$5</definedName>
    <definedName name="_xlnm.Print_Titles" localSheetId="5">นครสวรรค์!$1:$5</definedName>
    <definedName name="_xlnm.Print_Titles" localSheetId="6">น่าน!$1:$5</definedName>
    <definedName name="_xlnm.Print_Titles" localSheetId="7">พะเยา!$1:$5</definedName>
    <definedName name="_xlnm.Print_Titles" localSheetId="8">พิจิตร!$1:$5</definedName>
    <definedName name="_xlnm.Print_Titles" localSheetId="9">พิษณุโลก!$1:$5</definedName>
    <definedName name="_xlnm.Print_Titles" localSheetId="10">เพชรบูรณ์!$1:$5</definedName>
    <definedName name="_xlnm.Print_Titles" localSheetId="11">แพร่!$1:$5</definedName>
    <definedName name="_xlnm.Print_Titles" localSheetId="12">แม่ฮ่องสอน!$1:$5</definedName>
    <definedName name="_xlnm.Print_Titles" localSheetId="0">รวมเหนือ!$1:$5</definedName>
    <definedName name="_xlnm.Print_Titles" localSheetId="13">ลำปาง!$1:$5</definedName>
    <definedName name="_xlnm.Print_Titles" localSheetId="14">ลำพูน!$1:$5</definedName>
    <definedName name="_xlnm.Print_Titles" localSheetId="15">สุโขทัย!$1:$5</definedName>
    <definedName name="_xlnm.Print_Titles" localSheetId="16">อุตรดิตถ์!$1:$5</definedName>
    <definedName name="_xlnm.Print_Titles" localSheetId="17">อุทัยธานี!$1:$5</definedName>
  </definedNames>
  <calcPr calcId="179021"/>
</workbook>
</file>

<file path=xl/calcChain.xml><?xml version="1.0" encoding="utf-8"?>
<calcChain xmlns="http://schemas.openxmlformats.org/spreadsheetml/2006/main">
  <c r="J528" i="18" l="1"/>
  <c r="I528" i="18"/>
  <c r="J527" i="18"/>
  <c r="I527" i="18"/>
  <c r="J526" i="18"/>
  <c r="I526" i="18"/>
  <c r="J525" i="18"/>
  <c r="I525" i="18"/>
  <c r="J524" i="18"/>
  <c r="I524" i="18"/>
  <c r="J523" i="18"/>
  <c r="I523" i="18"/>
  <c r="J522" i="18"/>
  <c r="I522" i="18"/>
  <c r="J521" i="18"/>
  <c r="I521" i="18"/>
  <c r="J517" i="18"/>
  <c r="I517" i="18"/>
  <c r="J514" i="18"/>
  <c r="I514" i="18"/>
  <c r="J513" i="18"/>
  <c r="I513" i="18"/>
  <c r="K519" i="18" s="1"/>
  <c r="J510" i="18"/>
  <c r="I510" i="18"/>
  <c r="J504" i="18"/>
  <c r="I504" i="18"/>
  <c r="K511" i="18" s="1"/>
  <c r="M494" i="18"/>
  <c r="M492" i="18" s="1"/>
  <c r="M490" i="18" s="1"/>
  <c r="L494" i="18"/>
  <c r="N494" i="18" s="1"/>
  <c r="L493" i="18"/>
  <c r="N491" i="18"/>
  <c r="J490" i="18"/>
  <c r="J489" i="18"/>
  <c r="I489" i="18"/>
  <c r="K489" i="18" s="1"/>
  <c r="J488" i="18"/>
  <c r="J473" i="18" s="1"/>
  <c r="I488" i="18"/>
  <c r="J487" i="18"/>
  <c r="I487" i="18"/>
  <c r="K487" i="18" s="1"/>
  <c r="J486" i="18"/>
  <c r="I486" i="18"/>
  <c r="J485" i="18"/>
  <c r="I485" i="18"/>
  <c r="K485" i="18" s="1"/>
  <c r="J484" i="18"/>
  <c r="I484" i="18"/>
  <c r="I473" i="18" s="1"/>
  <c r="J483" i="18"/>
  <c r="I483" i="18"/>
  <c r="K483" i="18" s="1"/>
  <c r="J482" i="18"/>
  <c r="I482" i="18"/>
  <c r="M477" i="18"/>
  <c r="L477" i="18"/>
  <c r="N477" i="18" s="1"/>
  <c r="L476" i="18"/>
  <c r="N476" i="18" s="1"/>
  <c r="M475" i="18"/>
  <c r="N474" i="18"/>
  <c r="M473" i="18"/>
  <c r="K472" i="18"/>
  <c r="K471" i="18"/>
  <c r="K470" i="18"/>
  <c r="K469" i="18"/>
  <c r="K468" i="18"/>
  <c r="J466" i="18"/>
  <c r="J457" i="18" s="1"/>
  <c r="I466" i="18"/>
  <c r="I457" i="18" s="1"/>
  <c r="K457" i="18" s="1"/>
  <c r="M461" i="18"/>
  <c r="L461" i="18"/>
  <c r="N461" i="18" s="1"/>
  <c r="L460" i="18"/>
  <c r="M459" i="18"/>
  <c r="M457" i="18" s="1"/>
  <c r="N458" i="18"/>
  <c r="I456" i="18"/>
  <c r="K456" i="18" s="1"/>
  <c r="I455" i="18"/>
  <c r="K455" i="18" s="1"/>
  <c r="I454" i="18"/>
  <c r="K454" i="18" s="1"/>
  <c r="I453" i="18"/>
  <c r="M448" i="18"/>
  <c r="L448" i="18"/>
  <c r="N448" i="18" s="1"/>
  <c r="L447" i="18"/>
  <c r="M446" i="18"/>
  <c r="N445" i="18"/>
  <c r="M444" i="18"/>
  <c r="J444" i="18"/>
  <c r="I441" i="18"/>
  <c r="K441" i="18" s="1"/>
  <c r="I440" i="18"/>
  <c r="K440" i="18" s="1"/>
  <c r="M430" i="18"/>
  <c r="M428" i="18" s="1"/>
  <c r="M426" i="18" s="1"/>
  <c r="L430" i="18"/>
  <c r="L429" i="18"/>
  <c r="N427" i="18"/>
  <c r="J426" i="18"/>
  <c r="K425" i="18"/>
  <c r="K424" i="18"/>
  <c r="K423" i="18"/>
  <c r="K422" i="18"/>
  <c r="K421" i="18"/>
  <c r="K420" i="18"/>
  <c r="J419" i="18"/>
  <c r="J418" i="18"/>
  <c r="K417" i="18"/>
  <c r="J417" i="18"/>
  <c r="I419" i="18" s="1"/>
  <c r="K419" i="18" s="1"/>
  <c r="K416" i="18"/>
  <c r="J416" i="18"/>
  <c r="I418" i="18" s="1"/>
  <c r="K418" i="18" s="1"/>
  <c r="K415" i="18"/>
  <c r="J415" i="18"/>
  <c r="K414" i="18"/>
  <c r="J414" i="18"/>
  <c r="K413" i="18"/>
  <c r="J413" i="18"/>
  <c r="K412" i="18"/>
  <c r="J412" i="18"/>
  <c r="I411" i="18"/>
  <c r="K411" i="18" s="1"/>
  <c r="I410" i="18"/>
  <c r="K410" i="18" s="1"/>
  <c r="I409" i="18"/>
  <c r="K409" i="18" s="1"/>
  <c r="K408" i="18"/>
  <c r="K407" i="18"/>
  <c r="K406" i="18"/>
  <c r="K405" i="18"/>
  <c r="K404" i="18"/>
  <c r="K403" i="18"/>
  <c r="K402" i="18"/>
  <c r="J402" i="18"/>
  <c r="K401" i="18"/>
  <c r="J401" i="18"/>
  <c r="J391" i="18" s="1"/>
  <c r="J390" i="18" s="1"/>
  <c r="K400" i="18"/>
  <c r="K399" i="18"/>
  <c r="K398" i="18"/>
  <c r="K397" i="18"/>
  <c r="K396" i="18"/>
  <c r="K395" i="18"/>
  <c r="K394" i="18"/>
  <c r="J394" i="18"/>
  <c r="K393" i="18"/>
  <c r="J393" i="18"/>
  <c r="J392" i="18"/>
  <c r="I392" i="18"/>
  <c r="K392" i="18" s="1"/>
  <c r="I391" i="18"/>
  <c r="I390" i="18"/>
  <c r="K389" i="18"/>
  <c r="K388" i="18"/>
  <c r="K387" i="18"/>
  <c r="K386" i="18"/>
  <c r="K385" i="18"/>
  <c r="K384" i="18"/>
  <c r="K383" i="18"/>
  <c r="J383" i="18"/>
  <c r="K382" i="18"/>
  <c r="J382" i="18"/>
  <c r="K381" i="18"/>
  <c r="K380" i="18"/>
  <c r="K379" i="18"/>
  <c r="K378" i="18"/>
  <c r="J377" i="18"/>
  <c r="J376" i="18"/>
  <c r="K375" i="18"/>
  <c r="K374" i="18"/>
  <c r="K373" i="18"/>
  <c r="K372" i="18"/>
  <c r="K371" i="18"/>
  <c r="K370" i="18"/>
  <c r="J369" i="18"/>
  <c r="J368" i="18"/>
  <c r="K367" i="18"/>
  <c r="K366" i="18"/>
  <c r="K365" i="18"/>
  <c r="K364" i="18"/>
  <c r="K363" i="18"/>
  <c r="K362" i="18"/>
  <c r="J361" i="18"/>
  <c r="I361" i="18"/>
  <c r="I369" i="18" s="1"/>
  <c r="K369" i="18" s="1"/>
  <c r="J360" i="18"/>
  <c r="J359" i="18"/>
  <c r="I359" i="18"/>
  <c r="M354" i="18"/>
  <c r="M352" i="18" s="1"/>
  <c r="M350" i="18" s="1"/>
  <c r="L354" i="18"/>
  <c r="L353" i="18"/>
  <c r="N351" i="18"/>
  <c r="J350" i="18"/>
  <c r="I347" i="18"/>
  <c r="K347" i="18" s="1"/>
  <c r="I346" i="18"/>
  <c r="K346" i="18" s="1"/>
  <c r="I345" i="18"/>
  <c r="J344" i="18"/>
  <c r="M334" i="18"/>
  <c r="M332" i="18" s="1"/>
  <c r="M330" i="18" s="1"/>
  <c r="L334" i="18"/>
  <c r="L333" i="18"/>
  <c r="N331" i="18"/>
  <c r="J330" i="18"/>
  <c r="I327" i="18"/>
  <c r="K327" i="18" s="1"/>
  <c r="I326" i="18"/>
  <c r="K326" i="18" s="1"/>
  <c r="I324" i="18"/>
  <c r="K324" i="18" s="1"/>
  <c r="I323" i="18"/>
  <c r="I322" i="18"/>
  <c r="K322" i="18" s="1"/>
  <c r="I321" i="18"/>
  <c r="I320" i="18"/>
  <c r="K320" i="18" s="1"/>
  <c r="I319" i="18"/>
  <c r="K319" i="18" s="1"/>
  <c r="I318" i="18"/>
  <c r="I317" i="18"/>
  <c r="K317" i="18" s="1"/>
  <c r="I316" i="18"/>
  <c r="I315" i="18"/>
  <c r="I314" i="18"/>
  <c r="K314" i="18" s="1"/>
  <c r="I313" i="18"/>
  <c r="I312" i="18"/>
  <c r="M301" i="18"/>
  <c r="L301" i="18"/>
  <c r="N301" i="18" s="1"/>
  <c r="L300" i="18"/>
  <c r="N300" i="18" s="1"/>
  <c r="M299" i="18"/>
  <c r="M296" i="18" s="1"/>
  <c r="N298" i="18"/>
  <c r="J296" i="18"/>
  <c r="I293" i="18"/>
  <c r="K293" i="18" s="1"/>
  <c r="I292" i="18"/>
  <c r="I275" i="18" s="1"/>
  <c r="K275" i="18" s="1"/>
  <c r="I291" i="18"/>
  <c r="K291" i="18" s="1"/>
  <c r="M280" i="18"/>
  <c r="L280" i="18"/>
  <c r="N280" i="18" s="1"/>
  <c r="L279" i="18"/>
  <c r="M278" i="18"/>
  <c r="M275" i="18" s="1"/>
  <c r="N277" i="18"/>
  <c r="J276" i="18"/>
  <c r="J275" i="18"/>
  <c r="I272" i="18"/>
  <c r="I271" i="18"/>
  <c r="K271" i="18" s="1"/>
  <c r="J270" i="18"/>
  <c r="J244" i="18" s="1"/>
  <c r="I268" i="18"/>
  <c r="K268" i="18" s="1"/>
  <c r="I266" i="18"/>
  <c r="K266" i="18" s="1"/>
  <c r="I264" i="18"/>
  <c r="J263" i="18"/>
  <c r="I263" i="18"/>
  <c r="I245" i="18" s="1"/>
  <c r="K245" i="18" s="1"/>
  <c r="J262" i="18"/>
  <c r="I260" i="18"/>
  <c r="K260" i="18" s="1"/>
  <c r="J259" i="18"/>
  <c r="M249" i="18"/>
  <c r="L249" i="18"/>
  <c r="N249" i="18" s="1"/>
  <c r="L248" i="18"/>
  <c r="M247" i="18"/>
  <c r="M244" i="18" s="1"/>
  <c r="N246" i="18"/>
  <c r="J245" i="18"/>
  <c r="K241" i="18"/>
  <c r="J241" i="18"/>
  <c r="J240" i="18"/>
  <c r="J228" i="18" s="1"/>
  <c r="I240" i="18"/>
  <c r="K239" i="18"/>
  <c r="J239" i="18"/>
  <c r="J238" i="18"/>
  <c r="I238" i="18"/>
  <c r="K237" i="18"/>
  <c r="J237" i="18"/>
  <c r="J236" i="18"/>
  <c r="I236" i="18"/>
  <c r="I228" i="18" s="1"/>
  <c r="J235" i="18"/>
  <c r="I235" i="18"/>
  <c r="K234" i="18"/>
  <c r="J234" i="18"/>
  <c r="L232" i="18"/>
  <c r="L231" i="18"/>
  <c r="N231" i="18" s="1"/>
  <c r="M230" i="18"/>
  <c r="M228" i="18" s="1"/>
  <c r="N229" i="18"/>
  <c r="I224" i="18"/>
  <c r="L218" i="18"/>
  <c r="N217" i="18"/>
  <c r="M216" i="18"/>
  <c r="N215" i="18"/>
  <c r="M214" i="18"/>
  <c r="J214" i="18"/>
  <c r="I211" i="18"/>
  <c r="K211" i="18" s="1"/>
  <c r="I209" i="18"/>
  <c r="K209" i="18" s="1"/>
  <c r="L203" i="18"/>
  <c r="N203" i="18" s="1"/>
  <c r="N202" i="18"/>
  <c r="M201" i="18"/>
  <c r="N200" i="18"/>
  <c r="M199" i="18"/>
  <c r="J199" i="18"/>
  <c r="I195" i="18"/>
  <c r="L189" i="18"/>
  <c r="N189" i="18" s="1"/>
  <c r="L188" i="18"/>
  <c r="M187" i="18"/>
  <c r="M185" i="18" s="1"/>
  <c r="N186" i="18"/>
  <c r="J185" i="18"/>
  <c r="I182" i="18"/>
  <c r="K182" i="18" s="1"/>
  <c r="I181" i="18"/>
  <c r="K181" i="18" s="1"/>
  <c r="I180" i="18"/>
  <c r="I169" i="18" s="1"/>
  <c r="I179" i="18"/>
  <c r="K179" i="18" s="1"/>
  <c r="L173" i="18"/>
  <c r="N173" i="18" s="1"/>
  <c r="L172" i="18"/>
  <c r="N172" i="18" s="1"/>
  <c r="M171" i="18"/>
  <c r="N170" i="18"/>
  <c r="M169" i="18"/>
  <c r="J169" i="18"/>
  <c r="K164" i="18"/>
  <c r="K158" i="18"/>
  <c r="J158" i="18"/>
  <c r="I158" i="18"/>
  <c r="I155" i="18"/>
  <c r="K155" i="18" s="1"/>
  <c r="J149" i="18"/>
  <c r="L148" i="18"/>
  <c r="N148" i="18" s="1"/>
  <c r="N147" i="18"/>
  <c r="M146" i="18"/>
  <c r="N145" i="18"/>
  <c r="M144" i="18"/>
  <c r="J144" i="18"/>
  <c r="L141" i="18"/>
  <c r="N141" i="18" s="1"/>
  <c r="I141" i="18"/>
  <c r="K141" i="18" s="1"/>
  <c r="L140" i="18"/>
  <c r="N140" i="18" s="1"/>
  <c r="I140" i="18"/>
  <c r="K140" i="18" s="1"/>
  <c r="L138" i="18"/>
  <c r="N138" i="18" s="1"/>
  <c r="I138" i="18"/>
  <c r="I129" i="18" s="1"/>
  <c r="K129" i="18" s="1"/>
  <c r="L132" i="18"/>
  <c r="M131" i="18"/>
  <c r="N130" i="18"/>
  <c r="M129" i="18"/>
  <c r="J129" i="18"/>
  <c r="J68" i="18" s="1"/>
  <c r="I126" i="18"/>
  <c r="K126" i="18" s="1"/>
  <c r="L125" i="18"/>
  <c r="N125" i="18" s="1"/>
  <c r="I125" i="18"/>
  <c r="K125" i="18" s="1"/>
  <c r="L124" i="18"/>
  <c r="N124" i="18" s="1"/>
  <c r="I124" i="18"/>
  <c r="K124" i="18" s="1"/>
  <c r="L117" i="18"/>
  <c r="M116" i="18"/>
  <c r="N115" i="18"/>
  <c r="M114" i="18"/>
  <c r="J114" i="18"/>
  <c r="L111" i="18"/>
  <c r="N111" i="18" s="1"/>
  <c r="I111" i="18"/>
  <c r="L110" i="18"/>
  <c r="N110" i="18" s="1"/>
  <c r="I110" i="18"/>
  <c r="K110" i="18" s="1"/>
  <c r="L104" i="18"/>
  <c r="M103" i="18"/>
  <c r="N102" i="18"/>
  <c r="M101" i="18"/>
  <c r="J101" i="18"/>
  <c r="L98" i="18"/>
  <c r="N98" i="18" s="1"/>
  <c r="I98" i="18"/>
  <c r="L92" i="18"/>
  <c r="M91" i="18"/>
  <c r="N90" i="18"/>
  <c r="M89" i="18"/>
  <c r="J89" i="18"/>
  <c r="J84" i="18"/>
  <c r="I83" i="18"/>
  <c r="I74" i="18" s="1"/>
  <c r="K74" i="18" s="1"/>
  <c r="L77" i="18"/>
  <c r="M76" i="18"/>
  <c r="N75" i="18"/>
  <c r="M74" i="18"/>
  <c r="J74" i="18"/>
  <c r="M73" i="18"/>
  <c r="L72" i="18"/>
  <c r="N72" i="18" s="1"/>
  <c r="M71" i="18"/>
  <c r="M68" i="18" s="1"/>
  <c r="N70" i="18"/>
  <c r="I62" i="18"/>
  <c r="K62" i="18" s="1"/>
  <c r="L56" i="18"/>
  <c r="N56" i="18" s="1"/>
  <c r="L55" i="18"/>
  <c r="M54" i="18"/>
  <c r="N53" i="18"/>
  <c r="M52" i="18"/>
  <c r="J52" i="18"/>
  <c r="I48" i="18"/>
  <c r="I47" i="18"/>
  <c r="K47" i="18" s="1"/>
  <c r="I46" i="18"/>
  <c r="K46" i="18" s="1"/>
  <c r="I45" i="18"/>
  <c r="K45" i="18" s="1"/>
  <c r="I44" i="18"/>
  <c r="I43" i="18"/>
  <c r="K43" i="18" s="1"/>
  <c r="L37" i="18"/>
  <c r="N37" i="18" s="1"/>
  <c r="L36" i="18"/>
  <c r="N36" i="18" s="1"/>
  <c r="M35" i="18"/>
  <c r="L35" i="18"/>
  <c r="N34" i="18"/>
  <c r="J33" i="18"/>
  <c r="M32" i="18"/>
  <c r="J32" i="18"/>
  <c r="K28" i="18"/>
  <c r="I27" i="18"/>
  <c r="K27" i="18" s="1"/>
  <c r="I26" i="18"/>
  <c r="K26" i="18" s="1"/>
  <c r="I25" i="18"/>
  <c r="K25" i="18" s="1"/>
  <c r="I24" i="18"/>
  <c r="K24" i="18" s="1"/>
  <c r="I23" i="18"/>
  <c r="K23" i="18" s="1"/>
  <c r="I22" i="18"/>
  <c r="J21" i="18"/>
  <c r="J20" i="18"/>
  <c r="J9" i="18" s="1"/>
  <c r="L14" i="18"/>
  <c r="N14" i="18" s="1"/>
  <c r="L13" i="18"/>
  <c r="N13" i="18" s="1"/>
  <c r="M12" i="18"/>
  <c r="M9" i="18" s="1"/>
  <c r="L12" i="18"/>
  <c r="N11" i="18"/>
  <c r="J10" i="18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17" i="17"/>
  <c r="I517" i="17"/>
  <c r="J514" i="17"/>
  <c r="J513" i="17" s="1"/>
  <c r="I514" i="17"/>
  <c r="I513" i="17"/>
  <c r="J510" i="17"/>
  <c r="I510" i="17"/>
  <c r="J504" i="17"/>
  <c r="J490" i="17" s="1"/>
  <c r="I504" i="17"/>
  <c r="M494" i="17"/>
  <c r="L494" i="17"/>
  <c r="N494" i="17" s="1"/>
  <c r="L493" i="17"/>
  <c r="N493" i="17" s="1"/>
  <c r="M492" i="17"/>
  <c r="M490" i="17" s="1"/>
  <c r="N491" i="17"/>
  <c r="J489" i="17"/>
  <c r="I489" i="17"/>
  <c r="K489" i="17" s="1"/>
  <c r="J488" i="17"/>
  <c r="J473" i="17" s="1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I473" i="17" s="1"/>
  <c r="K473" i="17" s="1"/>
  <c r="J483" i="17"/>
  <c r="I483" i="17"/>
  <c r="K483" i="17" s="1"/>
  <c r="J482" i="17"/>
  <c r="I482" i="17"/>
  <c r="K482" i="17" s="1"/>
  <c r="M477" i="17"/>
  <c r="M475" i="17" s="1"/>
  <c r="M473" i="17" s="1"/>
  <c r="L477" i="17"/>
  <c r="N477" i="17" s="1"/>
  <c r="L476" i="17"/>
  <c r="N474" i="17"/>
  <c r="K472" i="17"/>
  <c r="K471" i="17"/>
  <c r="K470" i="17"/>
  <c r="K469" i="17"/>
  <c r="K468" i="17"/>
  <c r="J466" i="17"/>
  <c r="I466" i="17"/>
  <c r="I457" i="17" s="1"/>
  <c r="K457" i="17" s="1"/>
  <c r="M461" i="17"/>
  <c r="L461" i="17"/>
  <c r="N461" i="17" s="1"/>
  <c r="L460" i="17"/>
  <c r="M459" i="17"/>
  <c r="N458" i="17"/>
  <c r="M457" i="17"/>
  <c r="J457" i="17"/>
  <c r="I456" i="17"/>
  <c r="K456" i="17" s="1"/>
  <c r="I455" i="17"/>
  <c r="K455" i="17" s="1"/>
  <c r="I454" i="17"/>
  <c r="K454" i="17" s="1"/>
  <c r="I453" i="17"/>
  <c r="M448" i="17"/>
  <c r="L448" i="17"/>
  <c r="N448" i="17" s="1"/>
  <c r="L447" i="17"/>
  <c r="M446" i="17"/>
  <c r="M444" i="17" s="1"/>
  <c r="N445" i="17"/>
  <c r="J444" i="17"/>
  <c r="I441" i="17"/>
  <c r="K441" i="17" s="1"/>
  <c r="I440" i="17"/>
  <c r="M430" i="17"/>
  <c r="M428" i="17" s="1"/>
  <c r="M426" i="17" s="1"/>
  <c r="L430" i="17"/>
  <c r="N430" i="17" s="1"/>
  <c r="L429" i="17"/>
  <c r="N427" i="17"/>
  <c r="J426" i="17"/>
  <c r="K425" i="17"/>
  <c r="K424" i="17"/>
  <c r="K423" i="17"/>
  <c r="K422" i="17"/>
  <c r="K421" i="17"/>
  <c r="K420" i="17"/>
  <c r="J419" i="17"/>
  <c r="J418" i="17"/>
  <c r="K417" i="17"/>
  <c r="J417" i="17"/>
  <c r="I419" i="17" s="1"/>
  <c r="K419" i="17" s="1"/>
  <c r="K416" i="17"/>
  <c r="J416" i="17"/>
  <c r="I418" i="17" s="1"/>
  <c r="K418" i="17" s="1"/>
  <c r="K415" i="17"/>
  <c r="J415" i="17"/>
  <c r="K414" i="17"/>
  <c r="J414" i="17"/>
  <c r="K413" i="17"/>
  <c r="J413" i="17"/>
  <c r="K412" i="17"/>
  <c r="J412" i="17"/>
  <c r="I411" i="17"/>
  <c r="K411" i="17" s="1"/>
  <c r="I410" i="17"/>
  <c r="K410" i="17" s="1"/>
  <c r="I409" i="17"/>
  <c r="K409" i="17" s="1"/>
  <c r="K408" i="17"/>
  <c r="K407" i="17"/>
  <c r="K406" i="17"/>
  <c r="K405" i="17"/>
  <c r="K404" i="17"/>
  <c r="K403" i="17"/>
  <c r="K402" i="17"/>
  <c r="J402" i="17"/>
  <c r="J392" i="17" s="1"/>
  <c r="K401" i="17"/>
  <c r="J401" i="17"/>
  <c r="K400" i="17"/>
  <c r="K399" i="17"/>
  <c r="K398" i="17"/>
  <c r="K397" i="17"/>
  <c r="K396" i="17"/>
  <c r="K395" i="17"/>
  <c r="K394" i="17"/>
  <c r="J394" i="17"/>
  <c r="K393" i="17"/>
  <c r="J393" i="17"/>
  <c r="I392" i="17"/>
  <c r="J391" i="17"/>
  <c r="I391" i="17"/>
  <c r="J390" i="17"/>
  <c r="I390" i="17"/>
  <c r="K389" i="17"/>
  <c r="K388" i="17"/>
  <c r="K387" i="17"/>
  <c r="K386" i="17"/>
  <c r="K385" i="17"/>
  <c r="K384" i="17"/>
  <c r="K383" i="17"/>
  <c r="J383" i="17"/>
  <c r="K382" i="17"/>
  <c r="J382" i="17"/>
  <c r="K381" i="17"/>
  <c r="K380" i="17"/>
  <c r="K379" i="17"/>
  <c r="K378" i="17"/>
  <c r="J377" i="17"/>
  <c r="J376" i="17"/>
  <c r="J359" i="17" s="1"/>
  <c r="J350" i="17" s="1"/>
  <c r="K375" i="17"/>
  <c r="K374" i="17"/>
  <c r="K373" i="17"/>
  <c r="K372" i="17"/>
  <c r="K371" i="17"/>
  <c r="K370" i="17"/>
  <c r="J369" i="17"/>
  <c r="J368" i="17"/>
  <c r="K367" i="17"/>
  <c r="K366" i="17"/>
  <c r="K365" i="17"/>
  <c r="K364" i="17"/>
  <c r="K363" i="17"/>
  <c r="K362" i="17"/>
  <c r="J361" i="17"/>
  <c r="I361" i="17"/>
  <c r="I377" i="17" s="1"/>
  <c r="K377" i="17" s="1"/>
  <c r="J360" i="17"/>
  <c r="I359" i="17"/>
  <c r="M354" i="17"/>
  <c r="L354" i="17"/>
  <c r="N354" i="17" s="1"/>
  <c r="L353" i="17"/>
  <c r="M352" i="17"/>
  <c r="N351" i="17"/>
  <c r="M350" i="17"/>
  <c r="I347" i="17"/>
  <c r="K347" i="17" s="1"/>
  <c r="I346" i="17"/>
  <c r="K346" i="17" s="1"/>
  <c r="I345" i="17"/>
  <c r="K345" i="17" s="1"/>
  <c r="J344" i="17"/>
  <c r="J330" i="17" s="1"/>
  <c r="M334" i="17"/>
  <c r="L334" i="17"/>
  <c r="N334" i="17" s="1"/>
  <c r="L333" i="17"/>
  <c r="M332" i="17"/>
  <c r="N331" i="17"/>
  <c r="M330" i="17"/>
  <c r="I327" i="17"/>
  <c r="I326" i="17"/>
  <c r="K326" i="17" s="1"/>
  <c r="I324" i="17"/>
  <c r="I323" i="17"/>
  <c r="K323" i="17" s="1"/>
  <c r="I322" i="17"/>
  <c r="K322" i="17" s="1"/>
  <c r="I321" i="17"/>
  <c r="I320" i="17"/>
  <c r="K320" i="17" s="1"/>
  <c r="I319" i="17"/>
  <c r="K319" i="17" s="1"/>
  <c r="I318" i="17"/>
  <c r="K318" i="17" s="1"/>
  <c r="I317" i="17"/>
  <c r="K317" i="17" s="1"/>
  <c r="I316" i="17"/>
  <c r="I315" i="17"/>
  <c r="I314" i="17"/>
  <c r="K314" i="17" s="1"/>
  <c r="I313" i="17"/>
  <c r="K313" i="17" s="1"/>
  <c r="I312" i="17"/>
  <c r="M301" i="17"/>
  <c r="L301" i="17"/>
  <c r="N301" i="17" s="1"/>
  <c r="L300" i="17"/>
  <c r="N300" i="17" s="1"/>
  <c r="M299" i="17"/>
  <c r="N298" i="17"/>
  <c r="M296" i="17"/>
  <c r="J296" i="17"/>
  <c r="I293" i="17"/>
  <c r="K293" i="17" s="1"/>
  <c r="I292" i="17"/>
  <c r="K292" i="17" s="1"/>
  <c r="I291" i="17"/>
  <c r="M280" i="17"/>
  <c r="M278" i="17" s="1"/>
  <c r="M275" i="17" s="1"/>
  <c r="L280" i="17"/>
  <c r="L279" i="17"/>
  <c r="N279" i="17" s="1"/>
  <c r="N277" i="17"/>
  <c r="J276" i="17"/>
  <c r="J275" i="17"/>
  <c r="I272" i="17"/>
  <c r="K272" i="17" s="1"/>
  <c r="I271" i="17"/>
  <c r="J270" i="17"/>
  <c r="I268" i="17"/>
  <c r="K268" i="17" s="1"/>
  <c r="I266" i="17"/>
  <c r="K266" i="17" s="1"/>
  <c r="I264" i="17"/>
  <c r="K264" i="17" s="1"/>
  <c r="J263" i="17"/>
  <c r="I263" i="17"/>
  <c r="I245" i="17" s="1"/>
  <c r="K245" i="17" s="1"/>
  <c r="J262" i="17"/>
  <c r="I260" i="17"/>
  <c r="K260" i="17" s="1"/>
  <c r="J259" i="17"/>
  <c r="M249" i="17"/>
  <c r="L249" i="17"/>
  <c r="N249" i="17" s="1"/>
  <c r="L248" i="17"/>
  <c r="M247" i="17"/>
  <c r="N246" i="17"/>
  <c r="J245" i="17"/>
  <c r="M244" i="17"/>
  <c r="J244" i="17"/>
  <c r="K241" i="17"/>
  <c r="J241" i="17"/>
  <c r="J240" i="17"/>
  <c r="J228" i="17" s="1"/>
  <c r="I240" i="17"/>
  <c r="K239" i="17"/>
  <c r="J239" i="17"/>
  <c r="J238" i="17"/>
  <c r="I238" i="17"/>
  <c r="K237" i="17"/>
  <c r="J237" i="17"/>
  <c r="J236" i="17"/>
  <c r="I236" i="17"/>
  <c r="I228" i="17" s="1"/>
  <c r="J235" i="17"/>
  <c r="I235" i="17"/>
  <c r="K234" i="17"/>
  <c r="J234" i="17"/>
  <c r="L232" i="17"/>
  <c r="N232" i="17" s="1"/>
  <c r="L231" i="17"/>
  <c r="M230" i="17"/>
  <c r="N229" i="17"/>
  <c r="M228" i="17"/>
  <c r="I224" i="17"/>
  <c r="L218" i="17"/>
  <c r="N218" i="17" s="1"/>
  <c r="N217" i="17"/>
  <c r="M216" i="17"/>
  <c r="N215" i="17"/>
  <c r="M214" i="17"/>
  <c r="J214" i="17"/>
  <c r="I211" i="17"/>
  <c r="K211" i="17" s="1"/>
  <c r="I209" i="17"/>
  <c r="L203" i="17"/>
  <c r="N202" i="17"/>
  <c r="M201" i="17"/>
  <c r="N200" i="17"/>
  <c r="M199" i="17"/>
  <c r="J199" i="17"/>
  <c r="I195" i="17"/>
  <c r="L189" i="17"/>
  <c r="N189" i="17" s="1"/>
  <c r="L188" i="17"/>
  <c r="M187" i="17"/>
  <c r="N186" i="17"/>
  <c r="M185" i="17"/>
  <c r="J185" i="17"/>
  <c r="I182" i="17"/>
  <c r="K182" i="17" s="1"/>
  <c r="I181" i="17"/>
  <c r="K181" i="17" s="1"/>
  <c r="I180" i="17"/>
  <c r="K180" i="17" s="1"/>
  <c r="I179" i="17"/>
  <c r="K179" i="17" s="1"/>
  <c r="L173" i="17"/>
  <c r="N173" i="17" s="1"/>
  <c r="L172" i="17"/>
  <c r="N172" i="17" s="1"/>
  <c r="M171" i="17"/>
  <c r="N170" i="17"/>
  <c r="M169" i="17"/>
  <c r="J169" i="17"/>
  <c r="K164" i="17"/>
  <c r="J158" i="17"/>
  <c r="I158" i="17"/>
  <c r="K158" i="17" s="1"/>
  <c r="I155" i="17"/>
  <c r="K155" i="17" s="1"/>
  <c r="J149" i="17"/>
  <c r="J144" i="17" s="1"/>
  <c r="L148" i="17"/>
  <c r="N147" i="17"/>
  <c r="M146" i="17"/>
  <c r="N145" i="17"/>
  <c r="M144" i="17"/>
  <c r="L141" i="17"/>
  <c r="N141" i="17" s="1"/>
  <c r="I141" i="17"/>
  <c r="K141" i="17" s="1"/>
  <c r="L140" i="17"/>
  <c r="N140" i="17" s="1"/>
  <c r="I140" i="17"/>
  <c r="K140" i="17" s="1"/>
  <c r="L138" i="17"/>
  <c r="N138" i="17" s="1"/>
  <c r="I138" i="17"/>
  <c r="L132" i="17"/>
  <c r="M131" i="17"/>
  <c r="N130" i="17"/>
  <c r="M129" i="17"/>
  <c r="J129" i="17"/>
  <c r="L126" i="17"/>
  <c r="N126" i="17" s="1"/>
  <c r="I126" i="17"/>
  <c r="K126" i="17" s="1"/>
  <c r="L125" i="17"/>
  <c r="N125" i="17" s="1"/>
  <c r="I125" i="17"/>
  <c r="I124" i="17"/>
  <c r="K124" i="17" s="1"/>
  <c r="L117" i="17"/>
  <c r="N117" i="17" s="1"/>
  <c r="M116" i="17"/>
  <c r="M114" i="17" s="1"/>
  <c r="N115" i="17"/>
  <c r="J114" i="17"/>
  <c r="L111" i="17"/>
  <c r="N111" i="17" s="1"/>
  <c r="I111" i="17"/>
  <c r="L110" i="17"/>
  <c r="N110" i="17" s="1"/>
  <c r="I110" i="17"/>
  <c r="K110" i="17" s="1"/>
  <c r="L104" i="17"/>
  <c r="M103" i="17"/>
  <c r="M101" i="17" s="1"/>
  <c r="N102" i="17"/>
  <c r="J101" i="17"/>
  <c r="L98" i="17"/>
  <c r="N98" i="17" s="1"/>
  <c r="I98" i="17"/>
  <c r="K98" i="17" s="1"/>
  <c r="L92" i="17"/>
  <c r="M91" i="17"/>
  <c r="M89" i="17" s="1"/>
  <c r="N90" i="17"/>
  <c r="J89" i="17"/>
  <c r="J84" i="17"/>
  <c r="I83" i="17"/>
  <c r="L77" i="17"/>
  <c r="M76" i="17"/>
  <c r="N75" i="17"/>
  <c r="M74" i="17"/>
  <c r="J74" i="17"/>
  <c r="M73" i="17"/>
  <c r="L72" i="17"/>
  <c r="M71" i="17"/>
  <c r="M68" i="17" s="1"/>
  <c r="N70" i="17"/>
  <c r="J68" i="17"/>
  <c r="I62" i="17"/>
  <c r="K62" i="17" s="1"/>
  <c r="L56" i="17"/>
  <c r="N56" i="17" s="1"/>
  <c r="L55" i="17"/>
  <c r="M54" i="17"/>
  <c r="N53" i="17"/>
  <c r="M52" i="17"/>
  <c r="J52" i="17"/>
  <c r="I48" i="17"/>
  <c r="I47" i="17"/>
  <c r="K47" i="17" s="1"/>
  <c r="I46" i="17"/>
  <c r="K46" i="17" s="1"/>
  <c r="I45" i="17"/>
  <c r="K45" i="17" s="1"/>
  <c r="I44" i="17"/>
  <c r="I43" i="17"/>
  <c r="K43" i="17" s="1"/>
  <c r="L37" i="17"/>
  <c r="N37" i="17" s="1"/>
  <c r="L36" i="17"/>
  <c r="N36" i="17" s="1"/>
  <c r="M35" i="17"/>
  <c r="M32" i="17" s="1"/>
  <c r="L35" i="17"/>
  <c r="L32" i="17" s="1"/>
  <c r="N32" i="17" s="1"/>
  <c r="N34" i="17"/>
  <c r="J33" i="17"/>
  <c r="J32" i="17"/>
  <c r="I28" i="17"/>
  <c r="K28" i="17" s="1"/>
  <c r="I27" i="17"/>
  <c r="K27" i="17" s="1"/>
  <c r="I26" i="17"/>
  <c r="K26" i="17" s="1"/>
  <c r="I25" i="17"/>
  <c r="K25" i="17" s="1"/>
  <c r="I24" i="17"/>
  <c r="K24" i="17" s="1"/>
  <c r="I23" i="17"/>
  <c r="K23" i="17" s="1"/>
  <c r="I22" i="17"/>
  <c r="J21" i="17"/>
  <c r="J20" i="17"/>
  <c r="J9" i="17" s="1"/>
  <c r="L14" i="17"/>
  <c r="N14" i="17" s="1"/>
  <c r="L13" i="17"/>
  <c r="N13" i="17" s="1"/>
  <c r="M12" i="17"/>
  <c r="L12" i="17"/>
  <c r="L9" i="17" s="1"/>
  <c r="N11" i="17"/>
  <c r="J10" i="17"/>
  <c r="M9" i="17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17" i="16"/>
  <c r="I517" i="16"/>
  <c r="J514" i="16"/>
  <c r="I514" i="16"/>
  <c r="J513" i="16"/>
  <c r="I513" i="16"/>
  <c r="J510" i="16"/>
  <c r="I510" i="16"/>
  <c r="J504" i="16"/>
  <c r="I504" i="16"/>
  <c r="K509" i="16" s="1"/>
  <c r="M494" i="16"/>
  <c r="L494" i="16"/>
  <c r="L493" i="16"/>
  <c r="N493" i="16" s="1"/>
  <c r="N491" i="16"/>
  <c r="J490" i="16"/>
  <c r="J489" i="16"/>
  <c r="I489" i="16"/>
  <c r="K489" i="16" s="1"/>
  <c r="J488" i="16"/>
  <c r="J473" i="16" s="1"/>
  <c r="I488" i="16"/>
  <c r="J487" i="16"/>
  <c r="I487" i="16"/>
  <c r="K487" i="16" s="1"/>
  <c r="J486" i="16"/>
  <c r="I486" i="16"/>
  <c r="J485" i="16"/>
  <c r="I485" i="16"/>
  <c r="K485" i="16" s="1"/>
  <c r="J484" i="16"/>
  <c r="I484" i="16"/>
  <c r="J483" i="16"/>
  <c r="I483" i="16"/>
  <c r="K483" i="16" s="1"/>
  <c r="J482" i="16"/>
  <c r="I482" i="16"/>
  <c r="M477" i="16"/>
  <c r="L477" i="16"/>
  <c r="N477" i="16" s="1"/>
  <c r="L476" i="16"/>
  <c r="N476" i="16" s="1"/>
  <c r="M475" i="16"/>
  <c r="M473" i="16" s="1"/>
  <c r="N474" i="16"/>
  <c r="K472" i="16"/>
  <c r="K471" i="16"/>
  <c r="K470" i="16"/>
  <c r="K469" i="16"/>
  <c r="K468" i="16"/>
  <c r="J466" i="16"/>
  <c r="J457" i="16" s="1"/>
  <c r="I466" i="16"/>
  <c r="M461" i="16"/>
  <c r="L461" i="16"/>
  <c r="N461" i="16" s="1"/>
  <c r="L460" i="16"/>
  <c r="N460" i="16" s="1"/>
  <c r="M459" i="16"/>
  <c r="N458" i="16"/>
  <c r="M457" i="16"/>
  <c r="I456" i="16"/>
  <c r="K456" i="16" s="1"/>
  <c r="I455" i="16"/>
  <c r="K455" i="16" s="1"/>
  <c r="I454" i="16"/>
  <c r="K454" i="16" s="1"/>
  <c r="I453" i="16"/>
  <c r="K453" i="16" s="1"/>
  <c r="M448" i="16"/>
  <c r="M446" i="16" s="1"/>
  <c r="M444" i="16" s="1"/>
  <c r="L448" i="16"/>
  <c r="N448" i="16" s="1"/>
  <c r="L447" i="16"/>
  <c r="N445" i="16"/>
  <c r="J444" i="16"/>
  <c r="I441" i="16"/>
  <c r="K441" i="16" s="1"/>
  <c r="I440" i="16"/>
  <c r="I426" i="16" s="1"/>
  <c r="M430" i="16"/>
  <c r="M428" i="16" s="1"/>
  <c r="M426" i="16" s="1"/>
  <c r="L430" i="16"/>
  <c r="N430" i="16" s="1"/>
  <c r="L429" i="16"/>
  <c r="N429" i="16" s="1"/>
  <c r="N427" i="16"/>
  <c r="J426" i="16"/>
  <c r="K425" i="16"/>
  <c r="K424" i="16"/>
  <c r="K423" i="16"/>
  <c r="K422" i="16"/>
  <c r="K421" i="16"/>
  <c r="K420" i="16"/>
  <c r="J419" i="16"/>
  <c r="J418" i="16"/>
  <c r="K417" i="16"/>
  <c r="J417" i="16"/>
  <c r="I419" i="16" s="1"/>
  <c r="K419" i="16" s="1"/>
  <c r="K416" i="16"/>
  <c r="J416" i="16"/>
  <c r="I418" i="16" s="1"/>
  <c r="K418" i="16" s="1"/>
  <c r="K415" i="16"/>
  <c r="J415" i="16"/>
  <c r="K414" i="16"/>
  <c r="J414" i="16"/>
  <c r="K413" i="16"/>
  <c r="J413" i="16"/>
  <c r="K412" i="16"/>
  <c r="J412" i="16"/>
  <c r="I411" i="16"/>
  <c r="K411" i="16" s="1"/>
  <c r="I410" i="16"/>
  <c r="K410" i="16" s="1"/>
  <c r="I409" i="16"/>
  <c r="K409" i="16" s="1"/>
  <c r="K408" i="16"/>
  <c r="K407" i="16"/>
  <c r="K406" i="16"/>
  <c r="K405" i="16"/>
  <c r="K404" i="16"/>
  <c r="K403" i="16"/>
  <c r="K402" i="16"/>
  <c r="J402" i="16"/>
  <c r="K401" i="16"/>
  <c r="J401" i="16"/>
  <c r="J391" i="16" s="1"/>
  <c r="J390" i="16" s="1"/>
  <c r="K400" i="16"/>
  <c r="K399" i="16"/>
  <c r="K398" i="16"/>
  <c r="K397" i="16"/>
  <c r="K396" i="16"/>
  <c r="K395" i="16"/>
  <c r="K394" i="16"/>
  <c r="J394" i="16"/>
  <c r="J392" i="16" s="1"/>
  <c r="K393" i="16"/>
  <c r="J393" i="16"/>
  <c r="I392" i="16"/>
  <c r="K392" i="16" s="1"/>
  <c r="I391" i="16"/>
  <c r="K391" i="16" s="1"/>
  <c r="I390" i="16"/>
  <c r="K390" i="16" s="1"/>
  <c r="K389" i="16"/>
  <c r="K388" i="16"/>
  <c r="K387" i="16"/>
  <c r="K386" i="16"/>
  <c r="K385" i="16"/>
  <c r="K384" i="16"/>
  <c r="K383" i="16"/>
  <c r="J383" i="16"/>
  <c r="K382" i="16"/>
  <c r="J382" i="16"/>
  <c r="J376" i="16" s="1"/>
  <c r="K381" i="16"/>
  <c r="K380" i="16"/>
  <c r="K379" i="16"/>
  <c r="K378" i="16"/>
  <c r="J377" i="16"/>
  <c r="K375" i="16"/>
  <c r="K374" i="16"/>
  <c r="K373" i="16"/>
  <c r="K372" i="16"/>
  <c r="K371" i="16"/>
  <c r="K370" i="16"/>
  <c r="J369" i="16"/>
  <c r="J368" i="16"/>
  <c r="K367" i="16"/>
  <c r="K366" i="16"/>
  <c r="K365" i="16"/>
  <c r="K364" i="16"/>
  <c r="K363" i="16"/>
  <c r="K362" i="16"/>
  <c r="J361" i="16"/>
  <c r="I361" i="16"/>
  <c r="J360" i="16"/>
  <c r="I359" i="16"/>
  <c r="M354" i="16"/>
  <c r="M352" i="16" s="1"/>
  <c r="M350" i="16" s="1"/>
  <c r="L354" i="16"/>
  <c r="L353" i="16"/>
  <c r="N353" i="16" s="1"/>
  <c r="N351" i="16"/>
  <c r="I347" i="16"/>
  <c r="K347" i="16" s="1"/>
  <c r="I346" i="16"/>
  <c r="K346" i="16" s="1"/>
  <c r="I345" i="16"/>
  <c r="K345" i="16" s="1"/>
  <c r="J344" i="16"/>
  <c r="M334" i="16"/>
  <c r="M332" i="16" s="1"/>
  <c r="M330" i="16" s="1"/>
  <c r="L334" i="16"/>
  <c r="N334" i="16" s="1"/>
  <c r="L333" i="16"/>
  <c r="N333" i="16" s="1"/>
  <c r="N331" i="16"/>
  <c r="J330" i="16"/>
  <c r="I327" i="16"/>
  <c r="I326" i="16"/>
  <c r="K326" i="16" s="1"/>
  <c r="I324" i="16"/>
  <c r="K324" i="16" s="1"/>
  <c r="I323" i="16"/>
  <c r="K323" i="16" s="1"/>
  <c r="I322" i="16"/>
  <c r="K322" i="16" s="1"/>
  <c r="I321" i="16"/>
  <c r="I320" i="16"/>
  <c r="K320" i="16" s="1"/>
  <c r="I319" i="16"/>
  <c r="K319" i="16" s="1"/>
  <c r="I318" i="16"/>
  <c r="K318" i="16" s="1"/>
  <c r="I317" i="16"/>
  <c r="I316" i="16"/>
  <c r="I315" i="16"/>
  <c r="K315" i="16" s="1"/>
  <c r="I314" i="16"/>
  <c r="I313" i="16"/>
  <c r="K313" i="16" s="1"/>
  <c r="I312" i="16"/>
  <c r="M301" i="16"/>
  <c r="L301" i="16"/>
  <c r="N301" i="16" s="1"/>
  <c r="L300" i="16"/>
  <c r="N300" i="16" s="1"/>
  <c r="M299" i="16"/>
  <c r="M296" i="16" s="1"/>
  <c r="N298" i="16"/>
  <c r="J296" i="16"/>
  <c r="I293" i="16"/>
  <c r="K293" i="16" s="1"/>
  <c r="I292" i="16"/>
  <c r="I291" i="16"/>
  <c r="K291" i="16" s="1"/>
  <c r="M280" i="16"/>
  <c r="L280" i="16"/>
  <c r="N280" i="16" s="1"/>
  <c r="L279" i="16"/>
  <c r="M278" i="16"/>
  <c r="M275" i="16" s="1"/>
  <c r="N277" i="16"/>
  <c r="J276" i="16"/>
  <c r="J275" i="16"/>
  <c r="I272" i="16"/>
  <c r="I271" i="16"/>
  <c r="K271" i="16" s="1"/>
  <c r="J270" i="16"/>
  <c r="J244" i="16" s="1"/>
  <c r="I268" i="16"/>
  <c r="K268" i="16" s="1"/>
  <c r="I266" i="16"/>
  <c r="K266" i="16" s="1"/>
  <c r="I264" i="16"/>
  <c r="J263" i="16"/>
  <c r="I263" i="16"/>
  <c r="K263" i="16" s="1"/>
  <c r="J262" i="16"/>
  <c r="I260" i="16"/>
  <c r="K260" i="16" s="1"/>
  <c r="J259" i="16"/>
  <c r="M249" i="16"/>
  <c r="L249" i="16"/>
  <c r="N249" i="16" s="1"/>
  <c r="L248" i="16"/>
  <c r="M247" i="16"/>
  <c r="M244" i="16" s="1"/>
  <c r="N246" i="16"/>
  <c r="J245" i="16"/>
  <c r="K241" i="16"/>
  <c r="J241" i="16"/>
  <c r="J240" i="16"/>
  <c r="J228" i="16" s="1"/>
  <c r="I240" i="16"/>
  <c r="K239" i="16"/>
  <c r="J239" i="16"/>
  <c r="J238" i="16"/>
  <c r="I238" i="16"/>
  <c r="K237" i="16"/>
  <c r="J237" i="16"/>
  <c r="J236" i="16"/>
  <c r="I236" i="16"/>
  <c r="J235" i="16"/>
  <c r="I235" i="16"/>
  <c r="K234" i="16"/>
  <c r="J234" i="16"/>
  <c r="L232" i="16"/>
  <c r="N232" i="16" s="1"/>
  <c r="L231" i="16"/>
  <c r="M230" i="16"/>
  <c r="N229" i="16"/>
  <c r="M228" i="16"/>
  <c r="I224" i="16"/>
  <c r="L218" i="16"/>
  <c r="N218" i="16" s="1"/>
  <c r="N217" i="16"/>
  <c r="M216" i="16"/>
  <c r="N215" i="16"/>
  <c r="M214" i="16"/>
  <c r="J214" i="16"/>
  <c r="I211" i="16"/>
  <c r="K211" i="16" s="1"/>
  <c r="I209" i="16"/>
  <c r="K209" i="16" s="1"/>
  <c r="N203" i="16"/>
  <c r="L203" i="16"/>
  <c r="L201" i="16" s="1"/>
  <c r="N202" i="16"/>
  <c r="M201" i="16"/>
  <c r="M199" i="16" s="1"/>
  <c r="N200" i="16"/>
  <c r="J199" i="16"/>
  <c r="I195" i="16"/>
  <c r="L189" i="16"/>
  <c r="N189" i="16" s="1"/>
  <c r="L188" i="16"/>
  <c r="M187" i="16"/>
  <c r="M185" i="16" s="1"/>
  <c r="N186" i="16"/>
  <c r="J185" i="16"/>
  <c r="I182" i="16"/>
  <c r="K182" i="16" s="1"/>
  <c r="I181" i="16"/>
  <c r="K181" i="16" s="1"/>
  <c r="I180" i="16"/>
  <c r="K180" i="16" s="1"/>
  <c r="I179" i="16"/>
  <c r="K179" i="16" s="1"/>
  <c r="L173" i="16"/>
  <c r="N173" i="16" s="1"/>
  <c r="L172" i="16"/>
  <c r="M171" i="16"/>
  <c r="N170" i="16"/>
  <c r="M169" i="16"/>
  <c r="J169" i="16"/>
  <c r="K164" i="16"/>
  <c r="K158" i="16"/>
  <c r="J158" i="16"/>
  <c r="I158" i="16"/>
  <c r="I155" i="16"/>
  <c r="J149" i="16"/>
  <c r="J144" i="16" s="1"/>
  <c r="L148" i="16"/>
  <c r="N148" i="16" s="1"/>
  <c r="N147" i="16"/>
  <c r="M146" i="16"/>
  <c r="N145" i="16"/>
  <c r="M144" i="16"/>
  <c r="L141" i="16"/>
  <c r="N141" i="16" s="1"/>
  <c r="I141" i="16"/>
  <c r="K141" i="16" s="1"/>
  <c r="L140" i="16"/>
  <c r="N140" i="16" s="1"/>
  <c r="I140" i="16"/>
  <c r="K140" i="16" s="1"/>
  <c r="L138" i="16"/>
  <c r="N138" i="16" s="1"/>
  <c r="I138" i="16"/>
  <c r="K138" i="16" s="1"/>
  <c r="L132" i="16"/>
  <c r="M131" i="16"/>
  <c r="N130" i="16"/>
  <c r="M129" i="16"/>
  <c r="J129" i="16"/>
  <c r="L126" i="16"/>
  <c r="N126" i="16" s="1"/>
  <c r="I126" i="16"/>
  <c r="K126" i="16" s="1"/>
  <c r="L125" i="16"/>
  <c r="N125" i="16" s="1"/>
  <c r="I125" i="16"/>
  <c r="I124" i="16"/>
  <c r="K124" i="16" s="1"/>
  <c r="L117" i="16"/>
  <c r="M116" i="16"/>
  <c r="N115" i="16"/>
  <c r="M114" i="16"/>
  <c r="J114" i="16"/>
  <c r="L111" i="16"/>
  <c r="N111" i="16" s="1"/>
  <c r="I111" i="16"/>
  <c r="I101" i="16" s="1"/>
  <c r="K101" i="16" s="1"/>
  <c r="L110" i="16"/>
  <c r="N110" i="16" s="1"/>
  <c r="I110" i="16"/>
  <c r="K110" i="16" s="1"/>
  <c r="L104" i="16"/>
  <c r="M103" i="16"/>
  <c r="N102" i="16"/>
  <c r="M101" i="16"/>
  <c r="J101" i="16"/>
  <c r="L98" i="16"/>
  <c r="N98" i="16" s="1"/>
  <c r="I98" i="16"/>
  <c r="L92" i="16"/>
  <c r="M91" i="16"/>
  <c r="N90" i="16"/>
  <c r="M89" i="16"/>
  <c r="J89" i="16"/>
  <c r="J84" i="16"/>
  <c r="I83" i="16"/>
  <c r="K83" i="16" s="1"/>
  <c r="L77" i="16"/>
  <c r="M76" i="16"/>
  <c r="N75" i="16"/>
  <c r="M74" i="16"/>
  <c r="J74" i="16"/>
  <c r="I74" i="16"/>
  <c r="M73" i="16"/>
  <c r="L72" i="16"/>
  <c r="N72" i="16" s="1"/>
  <c r="M71" i="16"/>
  <c r="N70" i="16"/>
  <c r="M68" i="16"/>
  <c r="J68" i="16"/>
  <c r="I62" i="16"/>
  <c r="L56" i="16"/>
  <c r="N56" i="16" s="1"/>
  <c r="L55" i="16"/>
  <c r="M54" i="16"/>
  <c r="N53" i="16"/>
  <c r="M52" i="16"/>
  <c r="J52" i="16"/>
  <c r="I48" i="16"/>
  <c r="K48" i="16" s="1"/>
  <c r="I47" i="16"/>
  <c r="K47" i="16" s="1"/>
  <c r="I46" i="16"/>
  <c r="K46" i="16" s="1"/>
  <c r="I45" i="16"/>
  <c r="K45" i="16" s="1"/>
  <c r="I44" i="16"/>
  <c r="I43" i="16"/>
  <c r="K43" i="16" s="1"/>
  <c r="L37" i="16"/>
  <c r="N37" i="16" s="1"/>
  <c r="L36" i="16"/>
  <c r="N36" i="16" s="1"/>
  <c r="M35" i="16"/>
  <c r="M32" i="16" s="1"/>
  <c r="L35" i="16"/>
  <c r="N35" i="16" s="1"/>
  <c r="N34" i="16"/>
  <c r="J33" i="16"/>
  <c r="J32" i="16"/>
  <c r="I28" i="16"/>
  <c r="K28" i="16" s="1"/>
  <c r="I27" i="16"/>
  <c r="I26" i="16"/>
  <c r="K26" i="16" s="1"/>
  <c r="I25" i="16"/>
  <c r="K25" i="16" s="1"/>
  <c r="I24" i="16"/>
  <c r="K24" i="16" s="1"/>
  <c r="I23" i="16"/>
  <c r="K23" i="16" s="1"/>
  <c r="I22" i="16"/>
  <c r="J21" i="16"/>
  <c r="J20" i="16"/>
  <c r="J9" i="16" s="1"/>
  <c r="L14" i="16"/>
  <c r="N14" i="16" s="1"/>
  <c r="L13" i="16"/>
  <c r="N13" i="16" s="1"/>
  <c r="M12" i="16"/>
  <c r="L12" i="16"/>
  <c r="L9" i="16" s="1"/>
  <c r="N11" i="16"/>
  <c r="J10" i="16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17" i="15"/>
  <c r="I517" i="15"/>
  <c r="J514" i="15"/>
  <c r="J513" i="15" s="1"/>
  <c r="I514" i="15"/>
  <c r="I513" i="15"/>
  <c r="J510" i="15"/>
  <c r="I510" i="15"/>
  <c r="J504" i="15"/>
  <c r="J490" i="15" s="1"/>
  <c r="I504" i="15"/>
  <c r="K507" i="15" s="1"/>
  <c r="M494" i="15"/>
  <c r="L494" i="15"/>
  <c r="N494" i="15" s="1"/>
  <c r="L493" i="15"/>
  <c r="M492" i="15"/>
  <c r="M490" i="15" s="1"/>
  <c r="N491" i="15"/>
  <c r="J489" i="15"/>
  <c r="I489" i="15"/>
  <c r="K489" i="15" s="1"/>
  <c r="J488" i="15"/>
  <c r="J473" i="15" s="1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J483" i="15"/>
  <c r="I483" i="15"/>
  <c r="K483" i="15" s="1"/>
  <c r="J482" i="15"/>
  <c r="I482" i="15"/>
  <c r="K482" i="15" s="1"/>
  <c r="M477" i="15"/>
  <c r="M475" i="15" s="1"/>
  <c r="M473" i="15" s="1"/>
  <c r="L477" i="15"/>
  <c r="L476" i="15"/>
  <c r="N476" i="15" s="1"/>
  <c r="N474" i="15"/>
  <c r="K472" i="15"/>
  <c r="K471" i="15"/>
  <c r="K470" i="15"/>
  <c r="K469" i="15"/>
  <c r="K468" i="15"/>
  <c r="J466" i="15"/>
  <c r="I466" i="15"/>
  <c r="M461" i="15"/>
  <c r="L461" i="15"/>
  <c r="L460" i="15"/>
  <c r="N458" i="15"/>
  <c r="J457" i="15"/>
  <c r="I456" i="15"/>
  <c r="K456" i="15" s="1"/>
  <c r="I455" i="15"/>
  <c r="K455" i="15" s="1"/>
  <c r="I454" i="15"/>
  <c r="K454" i="15" s="1"/>
  <c r="I453" i="15"/>
  <c r="K453" i="15" s="1"/>
  <c r="M448" i="15"/>
  <c r="L448" i="15"/>
  <c r="L447" i="15"/>
  <c r="N447" i="15" s="1"/>
  <c r="M446" i="15"/>
  <c r="M444" i="15" s="1"/>
  <c r="N445" i="15"/>
  <c r="J444" i="15"/>
  <c r="I441" i="15"/>
  <c r="K441" i="15" s="1"/>
  <c r="I440" i="15"/>
  <c r="M430" i="15"/>
  <c r="L430" i="15"/>
  <c r="N430" i="15" s="1"/>
  <c r="L429" i="15"/>
  <c r="M428" i="15"/>
  <c r="N427" i="15"/>
  <c r="M426" i="15"/>
  <c r="J426" i="15"/>
  <c r="K425" i="15"/>
  <c r="K424" i="15"/>
  <c r="K423" i="15"/>
  <c r="K422" i="15"/>
  <c r="K421" i="15"/>
  <c r="K420" i="15"/>
  <c r="J419" i="15"/>
  <c r="J418" i="15"/>
  <c r="K417" i="15"/>
  <c r="J417" i="15"/>
  <c r="I419" i="15" s="1"/>
  <c r="K419" i="15" s="1"/>
  <c r="K416" i="15"/>
  <c r="J416" i="15"/>
  <c r="I418" i="15" s="1"/>
  <c r="K418" i="15" s="1"/>
  <c r="K415" i="15"/>
  <c r="J415" i="15"/>
  <c r="K414" i="15"/>
  <c r="J414" i="15"/>
  <c r="K413" i="15"/>
  <c r="J413" i="15"/>
  <c r="K412" i="15"/>
  <c r="J412" i="15"/>
  <c r="I411" i="15"/>
  <c r="K411" i="15" s="1"/>
  <c r="I410" i="15"/>
  <c r="K410" i="15" s="1"/>
  <c r="I409" i="15"/>
  <c r="K409" i="15" s="1"/>
  <c r="K408" i="15"/>
  <c r="K407" i="15"/>
  <c r="K406" i="15"/>
  <c r="K405" i="15"/>
  <c r="K404" i="15"/>
  <c r="K403" i="15"/>
  <c r="K402" i="15"/>
  <c r="J402" i="15"/>
  <c r="J392" i="15" s="1"/>
  <c r="K401" i="15"/>
  <c r="J401" i="15"/>
  <c r="K400" i="15"/>
  <c r="K399" i="15"/>
  <c r="K398" i="15"/>
  <c r="K397" i="15"/>
  <c r="K396" i="15"/>
  <c r="K395" i="15"/>
  <c r="K394" i="15"/>
  <c r="J394" i="15"/>
  <c r="K393" i="15"/>
  <c r="J393" i="15"/>
  <c r="I392" i="15"/>
  <c r="K392" i="15" s="1"/>
  <c r="J391" i="15"/>
  <c r="I391" i="15"/>
  <c r="K391" i="15" s="1"/>
  <c r="J390" i="15"/>
  <c r="I390" i="15"/>
  <c r="K390" i="15" s="1"/>
  <c r="K389" i="15"/>
  <c r="K388" i="15"/>
  <c r="K387" i="15"/>
  <c r="K386" i="15"/>
  <c r="K385" i="15"/>
  <c r="K384" i="15"/>
  <c r="K383" i="15"/>
  <c r="J383" i="15"/>
  <c r="K382" i="15"/>
  <c r="J382" i="15"/>
  <c r="J376" i="15" s="1"/>
  <c r="J359" i="15" s="1"/>
  <c r="J350" i="15" s="1"/>
  <c r="K381" i="15"/>
  <c r="K380" i="15"/>
  <c r="K379" i="15"/>
  <c r="K378" i="15"/>
  <c r="J377" i="15"/>
  <c r="K375" i="15"/>
  <c r="K374" i="15"/>
  <c r="K373" i="15"/>
  <c r="K372" i="15"/>
  <c r="K371" i="15"/>
  <c r="K370" i="15"/>
  <c r="J369" i="15"/>
  <c r="J368" i="15"/>
  <c r="K367" i="15"/>
  <c r="K366" i="15"/>
  <c r="K365" i="15"/>
  <c r="K364" i="15"/>
  <c r="K363" i="15"/>
  <c r="K362" i="15"/>
  <c r="J361" i="15"/>
  <c r="I361" i="15"/>
  <c r="I377" i="15" s="1"/>
  <c r="K377" i="15" s="1"/>
  <c r="J360" i="15"/>
  <c r="I359" i="15"/>
  <c r="M354" i="15"/>
  <c r="L354" i="15"/>
  <c r="N354" i="15" s="1"/>
  <c r="L353" i="15"/>
  <c r="M352" i="15"/>
  <c r="M350" i="15" s="1"/>
  <c r="N351" i="15"/>
  <c r="I347" i="15"/>
  <c r="K347" i="15" s="1"/>
  <c r="I346" i="15"/>
  <c r="K346" i="15" s="1"/>
  <c r="I345" i="15"/>
  <c r="J344" i="15"/>
  <c r="J330" i="15" s="1"/>
  <c r="M334" i="15"/>
  <c r="L334" i="15"/>
  <c r="N334" i="15" s="1"/>
  <c r="L333" i="15"/>
  <c r="M332" i="15"/>
  <c r="N331" i="15"/>
  <c r="M330" i="15"/>
  <c r="I327" i="15"/>
  <c r="K327" i="15" s="1"/>
  <c r="I326" i="15"/>
  <c r="I324" i="15"/>
  <c r="I323" i="15"/>
  <c r="K323" i="15" s="1"/>
  <c r="I322" i="15"/>
  <c r="K322" i="15" s="1"/>
  <c r="I321" i="15"/>
  <c r="I320" i="15"/>
  <c r="K320" i="15" s="1"/>
  <c r="I319" i="15"/>
  <c r="I318" i="15"/>
  <c r="K318" i="15" s="1"/>
  <c r="I317" i="15"/>
  <c r="K317" i="15" s="1"/>
  <c r="I316" i="15"/>
  <c r="I315" i="15"/>
  <c r="I314" i="15"/>
  <c r="K314" i="15" s="1"/>
  <c r="I313" i="15"/>
  <c r="I312" i="15"/>
  <c r="M301" i="15"/>
  <c r="L301" i="15"/>
  <c r="L300" i="15"/>
  <c r="N300" i="15" s="1"/>
  <c r="N298" i="15"/>
  <c r="J296" i="15"/>
  <c r="I293" i="15"/>
  <c r="K293" i="15" s="1"/>
  <c r="I292" i="15"/>
  <c r="K292" i="15" s="1"/>
  <c r="I291" i="15"/>
  <c r="K291" i="15" s="1"/>
  <c r="M280" i="15"/>
  <c r="L280" i="15"/>
  <c r="L279" i="15"/>
  <c r="N279" i="15" s="1"/>
  <c r="N277" i="15"/>
  <c r="J276" i="15"/>
  <c r="J275" i="15"/>
  <c r="I272" i="15"/>
  <c r="K272" i="15" s="1"/>
  <c r="I271" i="15"/>
  <c r="J270" i="15"/>
  <c r="I268" i="15"/>
  <c r="K268" i="15" s="1"/>
  <c r="I266" i="15"/>
  <c r="K266" i="15" s="1"/>
  <c r="I264" i="15"/>
  <c r="K264" i="15" s="1"/>
  <c r="J263" i="15"/>
  <c r="J245" i="15" s="1"/>
  <c r="I263" i="15"/>
  <c r="J262" i="15"/>
  <c r="I260" i="15"/>
  <c r="K260" i="15" s="1"/>
  <c r="M249" i="15"/>
  <c r="L249" i="15"/>
  <c r="L248" i="15"/>
  <c r="N248" i="15" s="1"/>
  <c r="N246" i="15"/>
  <c r="J244" i="15"/>
  <c r="K241" i="15"/>
  <c r="J241" i="15"/>
  <c r="J240" i="15"/>
  <c r="J228" i="15" s="1"/>
  <c r="I240" i="15"/>
  <c r="K239" i="15"/>
  <c r="J239" i="15"/>
  <c r="J238" i="15"/>
  <c r="I238" i="15"/>
  <c r="K237" i="15"/>
  <c r="J237" i="15"/>
  <c r="J236" i="15"/>
  <c r="I236" i="15"/>
  <c r="I228" i="15" s="1"/>
  <c r="J235" i="15"/>
  <c r="I235" i="15"/>
  <c r="K234" i="15"/>
  <c r="J234" i="15"/>
  <c r="L232" i="15"/>
  <c r="N232" i="15" s="1"/>
  <c r="L231" i="15"/>
  <c r="N231" i="15" s="1"/>
  <c r="M230" i="15"/>
  <c r="N229" i="15"/>
  <c r="M228" i="15"/>
  <c r="I224" i="15"/>
  <c r="L218" i="15"/>
  <c r="N218" i="15" s="1"/>
  <c r="N217" i="15"/>
  <c r="M216" i="15"/>
  <c r="N215" i="15"/>
  <c r="M214" i="15"/>
  <c r="J214" i="15"/>
  <c r="I211" i="15"/>
  <c r="K211" i="15" s="1"/>
  <c r="I209" i="15"/>
  <c r="L203" i="15"/>
  <c r="N203" i="15" s="1"/>
  <c r="N202" i="15"/>
  <c r="M201" i="15"/>
  <c r="N200" i="15"/>
  <c r="M199" i="15"/>
  <c r="J199" i="15"/>
  <c r="I195" i="15"/>
  <c r="I185" i="15" s="1"/>
  <c r="K185" i="15" s="1"/>
  <c r="L189" i="15"/>
  <c r="N189" i="15" s="1"/>
  <c r="L188" i="15"/>
  <c r="N188" i="15" s="1"/>
  <c r="M187" i="15"/>
  <c r="N186" i="15"/>
  <c r="M185" i="15"/>
  <c r="J185" i="15"/>
  <c r="I182" i="15"/>
  <c r="K182" i="15" s="1"/>
  <c r="I181" i="15"/>
  <c r="K181" i="15" s="1"/>
  <c r="I180" i="15"/>
  <c r="I179" i="15"/>
  <c r="K179" i="15" s="1"/>
  <c r="L173" i="15"/>
  <c r="N173" i="15" s="1"/>
  <c r="L172" i="15"/>
  <c r="M171" i="15"/>
  <c r="N170" i="15"/>
  <c r="M169" i="15"/>
  <c r="J169" i="15"/>
  <c r="K164" i="15"/>
  <c r="J158" i="15"/>
  <c r="I158" i="15"/>
  <c r="K158" i="15" s="1"/>
  <c r="I155" i="15"/>
  <c r="J149" i="15"/>
  <c r="L148" i="15"/>
  <c r="N148" i="15" s="1"/>
  <c r="N147" i="15"/>
  <c r="M146" i="15"/>
  <c r="N145" i="15"/>
  <c r="M144" i="15"/>
  <c r="J144" i="15"/>
  <c r="L141" i="15"/>
  <c r="N141" i="15" s="1"/>
  <c r="I141" i="15"/>
  <c r="K141" i="15" s="1"/>
  <c r="L140" i="15"/>
  <c r="N140" i="15" s="1"/>
  <c r="I140" i="15"/>
  <c r="K140" i="15" s="1"/>
  <c r="L138" i="15"/>
  <c r="N138" i="15" s="1"/>
  <c r="I138" i="15"/>
  <c r="K138" i="15" s="1"/>
  <c r="L132" i="15"/>
  <c r="N132" i="15" s="1"/>
  <c r="M131" i="15"/>
  <c r="N130" i="15"/>
  <c r="M129" i="15"/>
  <c r="J129" i="15"/>
  <c r="L126" i="15"/>
  <c r="N126" i="15" s="1"/>
  <c r="I126" i="15"/>
  <c r="K126" i="15" s="1"/>
  <c r="L125" i="15"/>
  <c r="N125" i="15" s="1"/>
  <c r="I125" i="15"/>
  <c r="K125" i="15" s="1"/>
  <c r="I124" i="15"/>
  <c r="K124" i="15" s="1"/>
  <c r="L117" i="15"/>
  <c r="M116" i="15"/>
  <c r="N115" i="15"/>
  <c r="M114" i="15"/>
  <c r="J114" i="15"/>
  <c r="L111" i="15"/>
  <c r="N111" i="15" s="1"/>
  <c r="I111" i="15"/>
  <c r="K111" i="15" s="1"/>
  <c r="L110" i="15"/>
  <c r="N110" i="15" s="1"/>
  <c r="I110" i="15"/>
  <c r="K110" i="15" s="1"/>
  <c r="L104" i="15"/>
  <c r="L103" i="15" s="1"/>
  <c r="N103" i="15" s="1"/>
  <c r="M103" i="15"/>
  <c r="N102" i="15"/>
  <c r="M101" i="15"/>
  <c r="J101" i="15"/>
  <c r="L98" i="15"/>
  <c r="N98" i="15" s="1"/>
  <c r="I98" i="15"/>
  <c r="K98" i="15" s="1"/>
  <c r="L92" i="15"/>
  <c r="M91" i="15"/>
  <c r="N90" i="15"/>
  <c r="M89" i="15"/>
  <c r="J89" i="15"/>
  <c r="J84" i="15"/>
  <c r="I83" i="15"/>
  <c r="K83" i="15" s="1"/>
  <c r="L77" i="15"/>
  <c r="M76" i="15"/>
  <c r="N75" i="15"/>
  <c r="M74" i="15"/>
  <c r="J74" i="15"/>
  <c r="M73" i="15"/>
  <c r="M71" i="15" s="1"/>
  <c r="M68" i="15" s="1"/>
  <c r="L72" i="15"/>
  <c r="N72" i="15" s="1"/>
  <c r="N70" i="15"/>
  <c r="J68" i="15"/>
  <c r="I62" i="15"/>
  <c r="I52" i="15" s="1"/>
  <c r="K52" i="15" s="1"/>
  <c r="L56" i="15"/>
  <c r="N56" i="15" s="1"/>
  <c r="L55" i="15"/>
  <c r="M54" i="15"/>
  <c r="N53" i="15"/>
  <c r="M52" i="15"/>
  <c r="J52" i="15"/>
  <c r="I48" i="15"/>
  <c r="I47" i="15"/>
  <c r="K47" i="15" s="1"/>
  <c r="I46" i="15"/>
  <c r="K46" i="15" s="1"/>
  <c r="I45" i="15"/>
  <c r="K45" i="15" s="1"/>
  <c r="I44" i="15"/>
  <c r="I43" i="15"/>
  <c r="K43" i="15" s="1"/>
  <c r="L37" i="15"/>
  <c r="N37" i="15" s="1"/>
  <c r="L36" i="15"/>
  <c r="N36" i="15" s="1"/>
  <c r="M35" i="15"/>
  <c r="L35" i="15"/>
  <c r="N35" i="15" s="1"/>
  <c r="N34" i="15"/>
  <c r="J33" i="15"/>
  <c r="M32" i="15"/>
  <c r="J32" i="15"/>
  <c r="K28" i="15"/>
  <c r="I27" i="15"/>
  <c r="K27" i="15" s="1"/>
  <c r="I26" i="15"/>
  <c r="K26" i="15" s="1"/>
  <c r="I25" i="15"/>
  <c r="K25" i="15" s="1"/>
  <c r="I24" i="15"/>
  <c r="K24" i="15" s="1"/>
  <c r="I23" i="15"/>
  <c r="K23" i="15" s="1"/>
  <c r="I22" i="15"/>
  <c r="K22" i="15" s="1"/>
  <c r="J21" i="15"/>
  <c r="J10" i="15" s="1"/>
  <c r="J20" i="15"/>
  <c r="L14" i="15"/>
  <c r="N14" i="15" s="1"/>
  <c r="L13" i="15"/>
  <c r="N13" i="15" s="1"/>
  <c r="M12" i="15"/>
  <c r="L12" i="15"/>
  <c r="L9" i="15" s="1"/>
  <c r="N11" i="15"/>
  <c r="M9" i="15"/>
  <c r="J9" i="15"/>
  <c r="J528" i="14"/>
  <c r="I528" i="14"/>
  <c r="J527" i="14"/>
  <c r="I527" i="14"/>
  <c r="J526" i="14"/>
  <c r="I526" i="14"/>
  <c r="K526" i="14" s="1"/>
  <c r="J525" i="14"/>
  <c r="I525" i="14"/>
  <c r="K525" i="14" s="1"/>
  <c r="J524" i="14"/>
  <c r="I524" i="14"/>
  <c r="J523" i="14"/>
  <c r="I523" i="14"/>
  <c r="J522" i="14"/>
  <c r="I522" i="14"/>
  <c r="J521" i="14"/>
  <c r="I521" i="14"/>
  <c r="J517" i="14"/>
  <c r="I517" i="14"/>
  <c r="J514" i="14"/>
  <c r="J513" i="14" s="1"/>
  <c r="I514" i="14"/>
  <c r="I513" i="14"/>
  <c r="J510" i="14"/>
  <c r="I510" i="14"/>
  <c r="J504" i="14"/>
  <c r="I504" i="14"/>
  <c r="M494" i="14"/>
  <c r="L494" i="14"/>
  <c r="L493" i="14"/>
  <c r="N493" i="14" s="1"/>
  <c r="M492" i="14"/>
  <c r="N491" i="14"/>
  <c r="M490" i="14"/>
  <c r="J489" i="14"/>
  <c r="I489" i="14"/>
  <c r="K489" i="14" s="1"/>
  <c r="J488" i="14"/>
  <c r="I488" i="14"/>
  <c r="J487" i="14"/>
  <c r="I487" i="14"/>
  <c r="K487" i="14" s="1"/>
  <c r="J486" i="14"/>
  <c r="I486" i="14"/>
  <c r="J485" i="14"/>
  <c r="I485" i="14"/>
  <c r="K485" i="14" s="1"/>
  <c r="J484" i="14"/>
  <c r="I484" i="14"/>
  <c r="J483" i="14"/>
  <c r="I483" i="14"/>
  <c r="K483" i="14" s="1"/>
  <c r="J482" i="14"/>
  <c r="I482" i="14"/>
  <c r="M477" i="14"/>
  <c r="L477" i="14"/>
  <c r="N477" i="14" s="1"/>
  <c r="L476" i="14"/>
  <c r="M475" i="14"/>
  <c r="N474" i="14"/>
  <c r="M473" i="14"/>
  <c r="K472" i="14"/>
  <c r="K471" i="14"/>
  <c r="K470" i="14"/>
  <c r="K469" i="14"/>
  <c r="K468" i="14"/>
  <c r="J466" i="14"/>
  <c r="I466" i="14"/>
  <c r="K466" i="14" s="1"/>
  <c r="M461" i="14"/>
  <c r="M459" i="14" s="1"/>
  <c r="M457" i="14" s="1"/>
  <c r="L461" i="14"/>
  <c r="N461" i="14" s="1"/>
  <c r="L460" i="14"/>
  <c r="N458" i="14"/>
  <c r="J457" i="14"/>
  <c r="I456" i="14"/>
  <c r="K456" i="14" s="1"/>
  <c r="I455" i="14"/>
  <c r="K455" i="14" s="1"/>
  <c r="I454" i="14"/>
  <c r="K454" i="14" s="1"/>
  <c r="I453" i="14"/>
  <c r="M448" i="14"/>
  <c r="L448" i="14"/>
  <c r="L447" i="14"/>
  <c r="N447" i="14" s="1"/>
  <c r="N445" i="14"/>
  <c r="J444" i="14"/>
  <c r="I441" i="14"/>
  <c r="K441" i="14" s="1"/>
  <c r="I440" i="14"/>
  <c r="K440" i="14" s="1"/>
  <c r="M430" i="14"/>
  <c r="L430" i="14"/>
  <c r="L429" i="14"/>
  <c r="N429" i="14" s="1"/>
  <c r="M428" i="14"/>
  <c r="M426" i="14" s="1"/>
  <c r="N427" i="14"/>
  <c r="J426" i="14"/>
  <c r="K425" i="14"/>
  <c r="K424" i="14"/>
  <c r="K423" i="14"/>
  <c r="K422" i="14"/>
  <c r="K421" i="14"/>
  <c r="K420" i="14"/>
  <c r="J419" i="14"/>
  <c r="J418" i="14"/>
  <c r="K417" i="14"/>
  <c r="J417" i="14"/>
  <c r="I419" i="14" s="1"/>
  <c r="K419" i="14" s="1"/>
  <c r="K416" i="14"/>
  <c r="J416" i="14"/>
  <c r="I418" i="14" s="1"/>
  <c r="K418" i="14" s="1"/>
  <c r="K415" i="14"/>
  <c r="J415" i="14"/>
  <c r="K414" i="14"/>
  <c r="J414" i="14"/>
  <c r="K413" i="14"/>
  <c r="J413" i="14"/>
  <c r="K412" i="14"/>
  <c r="J412" i="14"/>
  <c r="I411" i="14"/>
  <c r="K411" i="14" s="1"/>
  <c r="I410" i="14"/>
  <c r="K410" i="14" s="1"/>
  <c r="I409" i="14"/>
  <c r="K409" i="14" s="1"/>
  <c r="K408" i="14"/>
  <c r="K407" i="14"/>
  <c r="K406" i="14"/>
  <c r="K405" i="14"/>
  <c r="K404" i="14"/>
  <c r="K403" i="14"/>
  <c r="K402" i="14"/>
  <c r="J402" i="14"/>
  <c r="K401" i="14"/>
  <c r="J401" i="14"/>
  <c r="K400" i="14"/>
  <c r="K399" i="14"/>
  <c r="K398" i="14"/>
  <c r="K397" i="14"/>
  <c r="K396" i="14"/>
  <c r="K395" i="14"/>
  <c r="K394" i="14"/>
  <c r="J394" i="14"/>
  <c r="K393" i="14"/>
  <c r="J393" i="14"/>
  <c r="J391" i="14" s="1"/>
  <c r="J390" i="14" s="1"/>
  <c r="J392" i="14"/>
  <c r="I392" i="14"/>
  <c r="K392" i="14" s="1"/>
  <c r="I391" i="14"/>
  <c r="K391" i="14" s="1"/>
  <c r="I390" i="14"/>
  <c r="K390" i="14" s="1"/>
  <c r="K389" i="14"/>
  <c r="K388" i="14"/>
  <c r="K387" i="14"/>
  <c r="K386" i="14"/>
  <c r="K385" i="14"/>
  <c r="K384" i="14"/>
  <c r="K383" i="14"/>
  <c r="J383" i="14"/>
  <c r="K382" i="14"/>
  <c r="J382" i="14"/>
  <c r="J376" i="14" s="1"/>
  <c r="J359" i="14" s="1"/>
  <c r="K381" i="14"/>
  <c r="K380" i="14"/>
  <c r="K379" i="14"/>
  <c r="K378" i="14"/>
  <c r="J377" i="14"/>
  <c r="K375" i="14"/>
  <c r="K374" i="14"/>
  <c r="K373" i="14"/>
  <c r="K372" i="14"/>
  <c r="K371" i="14"/>
  <c r="K370" i="14"/>
  <c r="J369" i="14"/>
  <c r="J368" i="14"/>
  <c r="K367" i="14"/>
  <c r="K366" i="14"/>
  <c r="K365" i="14"/>
  <c r="K364" i="14"/>
  <c r="K363" i="14"/>
  <c r="K362" i="14"/>
  <c r="J361" i="14"/>
  <c r="I361" i="14"/>
  <c r="K361" i="14" s="1"/>
  <c r="J360" i="14"/>
  <c r="I359" i="14"/>
  <c r="I376" i="14" s="1"/>
  <c r="K376" i="14" s="1"/>
  <c r="M354" i="14"/>
  <c r="L354" i="14"/>
  <c r="L353" i="14"/>
  <c r="N353" i="14" s="1"/>
  <c r="M352" i="14"/>
  <c r="M350" i="14" s="1"/>
  <c r="N351" i="14"/>
  <c r="I347" i="14"/>
  <c r="K347" i="14" s="1"/>
  <c r="I346" i="14"/>
  <c r="I345" i="14"/>
  <c r="K345" i="14" s="1"/>
  <c r="J344" i="14"/>
  <c r="J330" i="14" s="1"/>
  <c r="M334" i="14"/>
  <c r="L334" i="14"/>
  <c r="L333" i="14"/>
  <c r="N333" i="14" s="1"/>
  <c r="M332" i="14"/>
  <c r="N331" i="14"/>
  <c r="M330" i="14"/>
  <c r="I327" i="14"/>
  <c r="K327" i="14" s="1"/>
  <c r="I326" i="14"/>
  <c r="I324" i="14"/>
  <c r="K324" i="14" s="1"/>
  <c r="I323" i="14"/>
  <c r="K323" i="14" s="1"/>
  <c r="I322" i="14"/>
  <c r="K322" i="14" s="1"/>
  <c r="I321" i="14"/>
  <c r="I320" i="14"/>
  <c r="K320" i="14" s="1"/>
  <c r="I319" i="14"/>
  <c r="I318" i="14"/>
  <c r="K318" i="14" s="1"/>
  <c r="I317" i="14"/>
  <c r="I316" i="14"/>
  <c r="I315" i="14"/>
  <c r="K315" i="14" s="1"/>
  <c r="I314" i="14"/>
  <c r="K314" i="14" s="1"/>
  <c r="I313" i="14"/>
  <c r="K313" i="14" s="1"/>
  <c r="I312" i="14"/>
  <c r="M301" i="14"/>
  <c r="M299" i="14" s="1"/>
  <c r="M296" i="14" s="1"/>
  <c r="L301" i="14"/>
  <c r="N301" i="14" s="1"/>
  <c r="L300" i="14"/>
  <c r="N298" i="14"/>
  <c r="J296" i="14"/>
  <c r="I293" i="14"/>
  <c r="K293" i="14" s="1"/>
  <c r="I292" i="14"/>
  <c r="I291" i="14"/>
  <c r="M280" i="14"/>
  <c r="M278" i="14" s="1"/>
  <c r="M275" i="14" s="1"/>
  <c r="L280" i="14"/>
  <c r="N280" i="14" s="1"/>
  <c r="L279" i="14"/>
  <c r="N277" i="14"/>
  <c r="J276" i="14"/>
  <c r="J275" i="14"/>
  <c r="I272" i="14"/>
  <c r="K272" i="14" s="1"/>
  <c r="I271" i="14"/>
  <c r="K271" i="14" s="1"/>
  <c r="J270" i="14"/>
  <c r="I268" i="14"/>
  <c r="K268" i="14" s="1"/>
  <c r="I266" i="14"/>
  <c r="I264" i="14"/>
  <c r="K264" i="14" s="1"/>
  <c r="J263" i="14"/>
  <c r="I263" i="14"/>
  <c r="I265" i="14" s="1"/>
  <c r="K265" i="14" s="1"/>
  <c r="J262" i="14"/>
  <c r="I260" i="14"/>
  <c r="K260" i="14" s="1"/>
  <c r="M249" i="14"/>
  <c r="M247" i="14" s="1"/>
  <c r="M244" i="14" s="1"/>
  <c r="L249" i="14"/>
  <c r="N249" i="14" s="1"/>
  <c r="L248" i="14"/>
  <c r="N246" i="14"/>
  <c r="J244" i="14"/>
  <c r="K241" i="14"/>
  <c r="J241" i="14"/>
  <c r="J240" i="14"/>
  <c r="I240" i="14"/>
  <c r="K239" i="14"/>
  <c r="J239" i="14"/>
  <c r="J238" i="14"/>
  <c r="I238" i="14"/>
  <c r="K237" i="14"/>
  <c r="J237" i="14"/>
  <c r="J236" i="14"/>
  <c r="I236" i="14"/>
  <c r="J235" i="14"/>
  <c r="I235" i="14"/>
  <c r="K234" i="14"/>
  <c r="J234" i="14"/>
  <c r="L232" i="14"/>
  <c r="N232" i="14" s="1"/>
  <c r="L231" i="14"/>
  <c r="M230" i="14"/>
  <c r="N229" i="14"/>
  <c r="M228" i="14"/>
  <c r="I224" i="14"/>
  <c r="L218" i="14"/>
  <c r="N217" i="14"/>
  <c r="M216" i="14"/>
  <c r="N215" i="14"/>
  <c r="M214" i="14"/>
  <c r="J214" i="14"/>
  <c r="I211" i="14"/>
  <c r="K211" i="14" s="1"/>
  <c r="I209" i="14"/>
  <c r="L203" i="14"/>
  <c r="N203" i="14" s="1"/>
  <c r="N202" i="14"/>
  <c r="M201" i="14"/>
  <c r="N200" i="14"/>
  <c r="M199" i="14"/>
  <c r="J199" i="14"/>
  <c r="I195" i="14"/>
  <c r="L189" i="14"/>
  <c r="N189" i="14" s="1"/>
  <c r="L188" i="14"/>
  <c r="M187" i="14"/>
  <c r="N186" i="14"/>
  <c r="M185" i="14"/>
  <c r="J185" i="14"/>
  <c r="I182" i="14"/>
  <c r="K182" i="14" s="1"/>
  <c r="I181" i="14"/>
  <c r="K181" i="14" s="1"/>
  <c r="I180" i="14"/>
  <c r="K180" i="14" s="1"/>
  <c r="I179" i="14"/>
  <c r="K179" i="14" s="1"/>
  <c r="L173" i="14"/>
  <c r="N173" i="14" s="1"/>
  <c r="L172" i="14"/>
  <c r="N172" i="14" s="1"/>
  <c r="M171" i="14"/>
  <c r="N170" i="14"/>
  <c r="M169" i="14"/>
  <c r="J169" i="14"/>
  <c r="K164" i="14"/>
  <c r="J158" i="14"/>
  <c r="I158" i="14"/>
  <c r="K158" i="14" s="1"/>
  <c r="I155" i="14"/>
  <c r="K155" i="14" s="1"/>
  <c r="J149" i="14"/>
  <c r="J144" i="14" s="1"/>
  <c r="L148" i="14"/>
  <c r="N147" i="14"/>
  <c r="M146" i="14"/>
  <c r="N145" i="14"/>
  <c r="M144" i="14"/>
  <c r="L141" i="14"/>
  <c r="N141" i="14" s="1"/>
  <c r="I141" i="14"/>
  <c r="K141" i="14" s="1"/>
  <c r="L140" i="14"/>
  <c r="N140" i="14" s="1"/>
  <c r="I140" i="14"/>
  <c r="K140" i="14" s="1"/>
  <c r="L138" i="14"/>
  <c r="N138" i="14" s="1"/>
  <c r="I138" i="14"/>
  <c r="L132" i="14"/>
  <c r="M131" i="14"/>
  <c r="N130" i="14"/>
  <c r="M129" i="14"/>
  <c r="J129" i="14"/>
  <c r="L126" i="14"/>
  <c r="N126" i="14" s="1"/>
  <c r="I126" i="14"/>
  <c r="K126" i="14" s="1"/>
  <c r="L125" i="14"/>
  <c r="N125" i="14" s="1"/>
  <c r="I125" i="14"/>
  <c r="K125" i="14" s="1"/>
  <c r="I124" i="14"/>
  <c r="K124" i="14" s="1"/>
  <c r="L117" i="14"/>
  <c r="N117" i="14" s="1"/>
  <c r="M116" i="14"/>
  <c r="M114" i="14" s="1"/>
  <c r="N115" i="14"/>
  <c r="J114" i="14"/>
  <c r="L111" i="14"/>
  <c r="N111" i="14" s="1"/>
  <c r="I111" i="14"/>
  <c r="K111" i="14" s="1"/>
  <c r="L110" i="14"/>
  <c r="N110" i="14" s="1"/>
  <c r="I110" i="14"/>
  <c r="K110" i="14" s="1"/>
  <c r="L104" i="14"/>
  <c r="N104" i="14" s="1"/>
  <c r="M103" i="14"/>
  <c r="N102" i="14"/>
  <c r="M101" i="14"/>
  <c r="J101" i="14"/>
  <c r="L98" i="14"/>
  <c r="N98" i="14" s="1"/>
  <c r="I98" i="14"/>
  <c r="L92" i="14"/>
  <c r="N92" i="14" s="1"/>
  <c r="M91" i="14"/>
  <c r="N90" i="14"/>
  <c r="M89" i="14"/>
  <c r="J89" i="14"/>
  <c r="J84" i="14"/>
  <c r="I83" i="14"/>
  <c r="L77" i="14"/>
  <c r="M76" i="14"/>
  <c r="N75" i="14"/>
  <c r="M74" i="14"/>
  <c r="J74" i="14"/>
  <c r="M73" i="14"/>
  <c r="L72" i="14"/>
  <c r="M71" i="14"/>
  <c r="N70" i="14"/>
  <c r="M68" i="14"/>
  <c r="J68" i="14"/>
  <c r="I62" i="14"/>
  <c r="L56" i="14"/>
  <c r="N56" i="14" s="1"/>
  <c r="L55" i="14"/>
  <c r="M54" i="14"/>
  <c r="M52" i="14" s="1"/>
  <c r="N53" i="14"/>
  <c r="J52" i="14"/>
  <c r="I48" i="14"/>
  <c r="K48" i="14" s="1"/>
  <c r="I47" i="14"/>
  <c r="K47" i="14" s="1"/>
  <c r="I46" i="14"/>
  <c r="K46" i="14" s="1"/>
  <c r="I45" i="14"/>
  <c r="K45" i="14" s="1"/>
  <c r="I44" i="14"/>
  <c r="I43" i="14"/>
  <c r="K43" i="14" s="1"/>
  <c r="L37" i="14"/>
  <c r="N37" i="14" s="1"/>
  <c r="L36" i="14"/>
  <c r="N36" i="14" s="1"/>
  <c r="M35" i="14"/>
  <c r="M32" i="14" s="1"/>
  <c r="L35" i="14"/>
  <c r="L32" i="14" s="1"/>
  <c r="N32" i="14" s="1"/>
  <c r="N34" i="14"/>
  <c r="J33" i="14"/>
  <c r="J32" i="14"/>
  <c r="I28" i="14"/>
  <c r="K28" i="14" s="1"/>
  <c r="I27" i="14"/>
  <c r="K27" i="14" s="1"/>
  <c r="I26" i="14"/>
  <c r="K26" i="14" s="1"/>
  <c r="I25" i="14"/>
  <c r="K25" i="14" s="1"/>
  <c r="I24" i="14"/>
  <c r="K24" i="14" s="1"/>
  <c r="I23" i="14"/>
  <c r="I22" i="14"/>
  <c r="J21" i="14"/>
  <c r="J20" i="14"/>
  <c r="J9" i="14" s="1"/>
  <c r="L14" i="14"/>
  <c r="N14" i="14" s="1"/>
  <c r="L13" i="14"/>
  <c r="N13" i="14" s="1"/>
  <c r="M12" i="14"/>
  <c r="M9" i="14" s="1"/>
  <c r="L12" i="14"/>
  <c r="N11" i="14"/>
  <c r="J10" i="14"/>
  <c r="M6" i="14"/>
  <c r="J528" i="13"/>
  <c r="I528" i="13"/>
  <c r="J527" i="13"/>
  <c r="I527" i="13"/>
  <c r="J526" i="13"/>
  <c r="I526" i="13"/>
  <c r="K526" i="13" s="1"/>
  <c r="J525" i="13"/>
  <c r="I525" i="13"/>
  <c r="K525" i="13" s="1"/>
  <c r="J524" i="13"/>
  <c r="I524" i="13"/>
  <c r="J523" i="13"/>
  <c r="I523" i="13"/>
  <c r="J522" i="13"/>
  <c r="I522" i="13"/>
  <c r="J521" i="13"/>
  <c r="I521" i="13"/>
  <c r="J517" i="13"/>
  <c r="I517" i="13"/>
  <c r="J514" i="13"/>
  <c r="I514" i="13"/>
  <c r="J513" i="13"/>
  <c r="I513" i="13"/>
  <c r="K519" i="13" s="1"/>
  <c r="J510" i="13"/>
  <c r="I510" i="13"/>
  <c r="J504" i="13"/>
  <c r="I504" i="13"/>
  <c r="M494" i="13"/>
  <c r="M492" i="13" s="1"/>
  <c r="M490" i="13" s="1"/>
  <c r="L494" i="13"/>
  <c r="N494" i="13" s="1"/>
  <c r="L493" i="13"/>
  <c r="N491" i="13"/>
  <c r="J490" i="13"/>
  <c r="J489" i="13"/>
  <c r="I489" i="13"/>
  <c r="K489" i="13" s="1"/>
  <c r="J488" i="13"/>
  <c r="J473" i="13" s="1"/>
  <c r="I488" i="13"/>
  <c r="J487" i="13"/>
  <c r="I487" i="13"/>
  <c r="K487" i="13" s="1"/>
  <c r="J486" i="13"/>
  <c r="I486" i="13"/>
  <c r="J485" i="13"/>
  <c r="I485" i="13"/>
  <c r="K485" i="13" s="1"/>
  <c r="J484" i="13"/>
  <c r="I484" i="13"/>
  <c r="J483" i="13"/>
  <c r="I483" i="13"/>
  <c r="K483" i="13" s="1"/>
  <c r="J482" i="13"/>
  <c r="I482" i="13"/>
  <c r="M477" i="13"/>
  <c r="M475" i="13" s="1"/>
  <c r="M473" i="13" s="1"/>
  <c r="L477" i="13"/>
  <c r="N477" i="13" s="1"/>
  <c r="L476" i="13"/>
  <c r="N474" i="13"/>
  <c r="K472" i="13"/>
  <c r="K471" i="13"/>
  <c r="K470" i="13"/>
  <c r="K469" i="13"/>
  <c r="K468" i="13"/>
  <c r="J466" i="13"/>
  <c r="I466" i="13"/>
  <c r="I457" i="13" s="1"/>
  <c r="M461" i="13"/>
  <c r="M459" i="13" s="1"/>
  <c r="M457" i="13" s="1"/>
  <c r="L461" i="13"/>
  <c r="L460" i="13"/>
  <c r="N460" i="13" s="1"/>
  <c r="N458" i="13"/>
  <c r="I456" i="13"/>
  <c r="K456" i="13" s="1"/>
  <c r="I455" i="13"/>
  <c r="K455" i="13" s="1"/>
  <c r="I454" i="13"/>
  <c r="K454" i="13" s="1"/>
  <c r="I453" i="13"/>
  <c r="M448" i="13"/>
  <c r="L448" i="13"/>
  <c r="N448" i="13" s="1"/>
  <c r="L447" i="13"/>
  <c r="M446" i="13"/>
  <c r="N445" i="13"/>
  <c r="M444" i="13"/>
  <c r="J444" i="13"/>
  <c r="I441" i="13"/>
  <c r="K441" i="13" s="1"/>
  <c r="I440" i="13"/>
  <c r="M430" i="13"/>
  <c r="M428" i="13" s="1"/>
  <c r="M426" i="13" s="1"/>
  <c r="L430" i="13"/>
  <c r="N430" i="13" s="1"/>
  <c r="L429" i="13"/>
  <c r="N429" i="13" s="1"/>
  <c r="N427" i="13"/>
  <c r="J426" i="13"/>
  <c r="K425" i="13"/>
  <c r="K424" i="13"/>
  <c r="K423" i="13"/>
  <c r="K422" i="13"/>
  <c r="K421" i="13"/>
  <c r="K420" i="13"/>
  <c r="J419" i="13"/>
  <c r="J418" i="13"/>
  <c r="K417" i="13"/>
  <c r="J417" i="13"/>
  <c r="I419" i="13" s="1"/>
  <c r="K419" i="13" s="1"/>
  <c r="K416" i="13"/>
  <c r="J416" i="13"/>
  <c r="I418" i="13" s="1"/>
  <c r="K418" i="13" s="1"/>
  <c r="K415" i="13"/>
  <c r="J415" i="13"/>
  <c r="K414" i="13"/>
  <c r="J414" i="13"/>
  <c r="K413" i="13"/>
  <c r="J413" i="13"/>
  <c r="K412" i="13"/>
  <c r="J412" i="13"/>
  <c r="I411" i="13"/>
  <c r="K411" i="13" s="1"/>
  <c r="I410" i="13"/>
  <c r="K410" i="13" s="1"/>
  <c r="I409" i="13"/>
  <c r="K409" i="13" s="1"/>
  <c r="K408" i="13"/>
  <c r="K407" i="13"/>
  <c r="K406" i="13"/>
  <c r="K405" i="13"/>
  <c r="K404" i="13"/>
  <c r="K403" i="13"/>
  <c r="K402" i="13"/>
  <c r="J402" i="13"/>
  <c r="J392" i="13" s="1"/>
  <c r="K401" i="13"/>
  <c r="J401" i="13"/>
  <c r="K400" i="13"/>
  <c r="K399" i="13"/>
  <c r="K398" i="13"/>
  <c r="K397" i="13"/>
  <c r="K396" i="13"/>
  <c r="K395" i="13"/>
  <c r="K394" i="13"/>
  <c r="J394" i="13"/>
  <c r="K393" i="13"/>
  <c r="J393" i="13"/>
  <c r="I392" i="13"/>
  <c r="J391" i="13"/>
  <c r="J390" i="13" s="1"/>
  <c r="I391" i="13"/>
  <c r="K391" i="13" s="1"/>
  <c r="I390" i="13"/>
  <c r="K389" i="13"/>
  <c r="K388" i="13"/>
  <c r="K387" i="13"/>
  <c r="K386" i="13"/>
  <c r="K385" i="13"/>
  <c r="K384" i="13"/>
  <c r="K383" i="13"/>
  <c r="J383" i="13"/>
  <c r="J377" i="13" s="1"/>
  <c r="K382" i="13"/>
  <c r="J382" i="13"/>
  <c r="K381" i="13"/>
  <c r="K380" i="13"/>
  <c r="K379" i="13"/>
  <c r="K378" i="13"/>
  <c r="J376" i="13"/>
  <c r="J359" i="13" s="1"/>
  <c r="J350" i="13" s="1"/>
  <c r="K375" i="13"/>
  <c r="K374" i="13"/>
  <c r="K373" i="13"/>
  <c r="K372" i="13"/>
  <c r="K371" i="13"/>
  <c r="K370" i="13"/>
  <c r="J369" i="13"/>
  <c r="J368" i="13"/>
  <c r="K367" i="13"/>
  <c r="K366" i="13"/>
  <c r="K365" i="13"/>
  <c r="K364" i="13"/>
  <c r="K363" i="13"/>
  <c r="K362" i="13"/>
  <c r="J361" i="13"/>
  <c r="I361" i="13"/>
  <c r="I377" i="13" s="1"/>
  <c r="J360" i="13"/>
  <c r="I359" i="13"/>
  <c r="I368" i="13" s="1"/>
  <c r="K368" i="13" s="1"/>
  <c r="M354" i="13"/>
  <c r="M352" i="13" s="1"/>
  <c r="M350" i="13" s="1"/>
  <c r="L354" i="13"/>
  <c r="N354" i="13" s="1"/>
  <c r="L353" i="13"/>
  <c r="N351" i="13"/>
  <c r="I347" i="13"/>
  <c r="K347" i="13" s="1"/>
  <c r="I346" i="13"/>
  <c r="K346" i="13" s="1"/>
  <c r="I345" i="13"/>
  <c r="J344" i="13"/>
  <c r="M334" i="13"/>
  <c r="M332" i="13" s="1"/>
  <c r="M330" i="13" s="1"/>
  <c r="L334" i="13"/>
  <c r="N334" i="13" s="1"/>
  <c r="L333" i="13"/>
  <c r="N331" i="13"/>
  <c r="J330" i="13"/>
  <c r="I327" i="13"/>
  <c r="K327" i="13" s="1"/>
  <c r="I326" i="13"/>
  <c r="I324" i="13"/>
  <c r="I323" i="13"/>
  <c r="K323" i="13" s="1"/>
  <c r="I322" i="13"/>
  <c r="K322" i="13" s="1"/>
  <c r="I321" i="13"/>
  <c r="I320" i="13"/>
  <c r="K320" i="13" s="1"/>
  <c r="I319" i="13"/>
  <c r="K319" i="13" s="1"/>
  <c r="I318" i="13"/>
  <c r="I317" i="13"/>
  <c r="K317" i="13" s="1"/>
  <c r="I316" i="13"/>
  <c r="I315" i="13"/>
  <c r="I314" i="13"/>
  <c r="K314" i="13" s="1"/>
  <c r="I313" i="13"/>
  <c r="I312" i="13"/>
  <c r="K312" i="13" s="1"/>
  <c r="M301" i="13"/>
  <c r="M299" i="13" s="1"/>
  <c r="M296" i="13" s="1"/>
  <c r="L301" i="13"/>
  <c r="L300" i="13"/>
  <c r="N300" i="13" s="1"/>
  <c r="N298" i="13"/>
  <c r="J296" i="13"/>
  <c r="I293" i="13"/>
  <c r="K293" i="13" s="1"/>
  <c r="I292" i="13"/>
  <c r="K292" i="13" s="1"/>
  <c r="I291" i="13"/>
  <c r="K291" i="13" s="1"/>
  <c r="M280" i="13"/>
  <c r="M278" i="13" s="1"/>
  <c r="M275" i="13" s="1"/>
  <c r="L280" i="13"/>
  <c r="L279" i="13"/>
  <c r="N279" i="13" s="1"/>
  <c r="N277" i="13"/>
  <c r="J276" i="13"/>
  <c r="J275" i="13"/>
  <c r="I272" i="13"/>
  <c r="K272" i="13" s="1"/>
  <c r="I271" i="13"/>
  <c r="J270" i="13"/>
  <c r="I268" i="13"/>
  <c r="K268" i="13" s="1"/>
  <c r="I266" i="13"/>
  <c r="K266" i="13" s="1"/>
  <c r="I264" i="13"/>
  <c r="K264" i="13" s="1"/>
  <c r="J263" i="13"/>
  <c r="I263" i="13"/>
  <c r="J262" i="13"/>
  <c r="I260" i="13"/>
  <c r="K260" i="13" s="1"/>
  <c r="J259" i="13"/>
  <c r="M249" i="13"/>
  <c r="M247" i="13" s="1"/>
  <c r="M244" i="13" s="1"/>
  <c r="M242" i="13" s="1"/>
  <c r="L249" i="13"/>
  <c r="L248" i="13"/>
  <c r="N248" i="13" s="1"/>
  <c r="N246" i="13"/>
  <c r="J245" i="13"/>
  <c r="J244" i="13"/>
  <c r="K241" i="13"/>
  <c r="J241" i="13"/>
  <c r="J240" i="13"/>
  <c r="J228" i="13" s="1"/>
  <c r="I240" i="13"/>
  <c r="K239" i="13"/>
  <c r="J239" i="13"/>
  <c r="J238" i="13"/>
  <c r="I238" i="13"/>
  <c r="K237" i="13"/>
  <c r="J237" i="13"/>
  <c r="J236" i="13"/>
  <c r="I236" i="13"/>
  <c r="J235" i="13"/>
  <c r="I235" i="13"/>
  <c r="K234" i="13"/>
  <c r="J234" i="13"/>
  <c r="L232" i="13"/>
  <c r="L231" i="13"/>
  <c r="N231" i="13" s="1"/>
  <c r="M230" i="13"/>
  <c r="N229" i="13"/>
  <c r="M228" i="13"/>
  <c r="I224" i="13"/>
  <c r="L218" i="13"/>
  <c r="N217" i="13"/>
  <c r="M216" i="13"/>
  <c r="N215" i="13"/>
  <c r="M214" i="13"/>
  <c r="J214" i="13"/>
  <c r="I211" i="13"/>
  <c r="K211" i="13" s="1"/>
  <c r="I209" i="13"/>
  <c r="L203" i="13"/>
  <c r="N202" i="13"/>
  <c r="M201" i="13"/>
  <c r="N200" i="13"/>
  <c r="M199" i="13"/>
  <c r="J199" i="13"/>
  <c r="I195" i="13"/>
  <c r="L189" i="13"/>
  <c r="L188" i="13"/>
  <c r="N188" i="13" s="1"/>
  <c r="M187" i="13"/>
  <c r="M185" i="13" s="1"/>
  <c r="N186" i="13"/>
  <c r="J185" i="13"/>
  <c r="I182" i="13"/>
  <c r="K182" i="13" s="1"/>
  <c r="I181" i="13"/>
  <c r="K181" i="13" s="1"/>
  <c r="I180" i="13"/>
  <c r="I179" i="13"/>
  <c r="K179" i="13" s="1"/>
  <c r="L173" i="13"/>
  <c r="N173" i="13" s="1"/>
  <c r="L172" i="13"/>
  <c r="M171" i="13"/>
  <c r="N170" i="13"/>
  <c r="M169" i="13"/>
  <c r="J169" i="13"/>
  <c r="K164" i="13"/>
  <c r="K158" i="13"/>
  <c r="J158" i="13"/>
  <c r="I158" i="13"/>
  <c r="I155" i="13"/>
  <c r="J149" i="13"/>
  <c r="L148" i="13"/>
  <c r="N148" i="13" s="1"/>
  <c r="N147" i="13"/>
  <c r="M146" i="13"/>
  <c r="N145" i="13"/>
  <c r="M144" i="13"/>
  <c r="J144" i="13"/>
  <c r="L141" i="13"/>
  <c r="N141" i="13" s="1"/>
  <c r="I141" i="13"/>
  <c r="K141" i="13" s="1"/>
  <c r="L140" i="13"/>
  <c r="N140" i="13" s="1"/>
  <c r="I140" i="13"/>
  <c r="K140" i="13" s="1"/>
  <c r="L138" i="13"/>
  <c r="N138" i="13" s="1"/>
  <c r="I138" i="13"/>
  <c r="L132" i="13"/>
  <c r="N132" i="13" s="1"/>
  <c r="M131" i="13"/>
  <c r="M129" i="13" s="1"/>
  <c r="N130" i="13"/>
  <c r="J129" i="13"/>
  <c r="J68" i="13" s="1"/>
  <c r="L126" i="13"/>
  <c r="N126" i="13" s="1"/>
  <c r="I126" i="13"/>
  <c r="L125" i="13"/>
  <c r="N125" i="13" s="1"/>
  <c r="I125" i="13"/>
  <c r="I114" i="13" s="1"/>
  <c r="K114" i="13" s="1"/>
  <c r="I124" i="13"/>
  <c r="K124" i="13" s="1"/>
  <c r="L117" i="13"/>
  <c r="M116" i="13"/>
  <c r="N115" i="13"/>
  <c r="M114" i="13"/>
  <c r="J114" i="13"/>
  <c r="L111" i="13"/>
  <c r="N111" i="13" s="1"/>
  <c r="I111" i="13"/>
  <c r="K111" i="13" s="1"/>
  <c r="L110" i="13"/>
  <c r="N110" i="13" s="1"/>
  <c r="I110" i="13"/>
  <c r="K110" i="13" s="1"/>
  <c r="L104" i="13"/>
  <c r="L103" i="13" s="1"/>
  <c r="M103" i="13"/>
  <c r="N102" i="13"/>
  <c r="M101" i="13"/>
  <c r="J101" i="13"/>
  <c r="L98" i="13"/>
  <c r="N98" i="13" s="1"/>
  <c r="I98" i="13"/>
  <c r="K98" i="13" s="1"/>
  <c r="L92" i="13"/>
  <c r="L91" i="13" s="1"/>
  <c r="M91" i="13"/>
  <c r="N90" i="13"/>
  <c r="M89" i="13"/>
  <c r="J89" i="13"/>
  <c r="J84" i="13"/>
  <c r="I83" i="13"/>
  <c r="L77" i="13"/>
  <c r="M76" i="13"/>
  <c r="N75" i="13"/>
  <c r="M74" i="13"/>
  <c r="J74" i="13"/>
  <c r="M73" i="13"/>
  <c r="L72" i="13"/>
  <c r="N72" i="13" s="1"/>
  <c r="M71" i="13"/>
  <c r="N70" i="13"/>
  <c r="M68" i="13"/>
  <c r="I62" i="13"/>
  <c r="K62" i="13" s="1"/>
  <c r="L56" i="13"/>
  <c r="N56" i="13" s="1"/>
  <c r="L55" i="13"/>
  <c r="M54" i="13"/>
  <c r="N53" i="13"/>
  <c r="M52" i="13"/>
  <c r="J52" i="13"/>
  <c r="I48" i="13"/>
  <c r="I33" i="13" s="1"/>
  <c r="K33" i="13" s="1"/>
  <c r="I47" i="13"/>
  <c r="K47" i="13" s="1"/>
  <c r="I46" i="13"/>
  <c r="K46" i="13" s="1"/>
  <c r="I45" i="13"/>
  <c r="K45" i="13" s="1"/>
  <c r="I44" i="13"/>
  <c r="I43" i="13"/>
  <c r="K43" i="13" s="1"/>
  <c r="L37" i="13"/>
  <c r="N37" i="13" s="1"/>
  <c r="L36" i="13"/>
  <c r="N36" i="13" s="1"/>
  <c r="M35" i="13"/>
  <c r="M32" i="13" s="1"/>
  <c r="L35" i="13"/>
  <c r="N35" i="13" s="1"/>
  <c r="N34" i="13"/>
  <c r="J33" i="13"/>
  <c r="J32" i="13"/>
  <c r="I28" i="13"/>
  <c r="K28" i="13" s="1"/>
  <c r="I27" i="13"/>
  <c r="K27" i="13" s="1"/>
  <c r="I26" i="13"/>
  <c r="K26" i="13" s="1"/>
  <c r="I25" i="13"/>
  <c r="I24" i="13"/>
  <c r="I23" i="13"/>
  <c r="K23" i="13" s="1"/>
  <c r="I22" i="13"/>
  <c r="K22" i="13" s="1"/>
  <c r="J21" i="13"/>
  <c r="J10" i="13" s="1"/>
  <c r="J20" i="13"/>
  <c r="L14" i="13"/>
  <c r="N14" i="13" s="1"/>
  <c r="L13" i="13"/>
  <c r="N13" i="13" s="1"/>
  <c r="M12" i="13"/>
  <c r="L12" i="13"/>
  <c r="N11" i="13"/>
  <c r="M9" i="13"/>
  <c r="J9" i="13"/>
  <c r="J528" i="12"/>
  <c r="I528" i="12"/>
  <c r="J527" i="12"/>
  <c r="I527" i="12"/>
  <c r="J526" i="12"/>
  <c r="I526" i="12"/>
  <c r="K526" i="12" s="1"/>
  <c r="J525" i="12"/>
  <c r="I525" i="12"/>
  <c r="K525" i="12" s="1"/>
  <c r="J524" i="12"/>
  <c r="I524" i="12"/>
  <c r="J523" i="12"/>
  <c r="I523" i="12"/>
  <c r="J522" i="12"/>
  <c r="I522" i="12"/>
  <c r="J521" i="12"/>
  <c r="I521" i="12"/>
  <c r="J517" i="12"/>
  <c r="I517" i="12"/>
  <c r="J514" i="12"/>
  <c r="I514" i="12"/>
  <c r="J513" i="12"/>
  <c r="I513" i="12"/>
  <c r="K519" i="12" s="1"/>
  <c r="J510" i="12"/>
  <c r="I510" i="12"/>
  <c r="I504" i="12"/>
  <c r="M494" i="12"/>
  <c r="L494" i="12"/>
  <c r="L493" i="12"/>
  <c r="N493" i="12" s="1"/>
  <c r="M492" i="12"/>
  <c r="N491" i="12"/>
  <c r="M490" i="12"/>
  <c r="J489" i="12"/>
  <c r="I489" i="12"/>
  <c r="K489" i="12" s="1"/>
  <c r="J488" i="12"/>
  <c r="J473" i="12" s="1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J483" i="12"/>
  <c r="I483" i="12"/>
  <c r="K483" i="12" s="1"/>
  <c r="J482" i="12"/>
  <c r="I482" i="12"/>
  <c r="K482" i="12" s="1"/>
  <c r="M477" i="12"/>
  <c r="L477" i="12"/>
  <c r="N477" i="12" s="1"/>
  <c r="L476" i="12"/>
  <c r="M475" i="12"/>
  <c r="N474" i="12"/>
  <c r="M473" i="12"/>
  <c r="K472" i="12"/>
  <c r="K471" i="12"/>
  <c r="K470" i="12"/>
  <c r="K469" i="12"/>
  <c r="K468" i="12"/>
  <c r="J466" i="12"/>
  <c r="I466" i="12"/>
  <c r="M461" i="12"/>
  <c r="L461" i="12"/>
  <c r="N461" i="12" s="1"/>
  <c r="L460" i="12"/>
  <c r="N460" i="12" s="1"/>
  <c r="M459" i="12"/>
  <c r="N458" i="12"/>
  <c r="M457" i="12"/>
  <c r="J457" i="12"/>
  <c r="I456" i="12"/>
  <c r="K456" i="12" s="1"/>
  <c r="I455" i="12"/>
  <c r="K455" i="12" s="1"/>
  <c r="I454" i="12"/>
  <c r="K454" i="12" s="1"/>
  <c r="I453" i="12"/>
  <c r="K453" i="12" s="1"/>
  <c r="M448" i="12"/>
  <c r="M446" i="12" s="1"/>
  <c r="M444" i="12" s="1"/>
  <c r="L448" i="12"/>
  <c r="N448" i="12" s="1"/>
  <c r="L447" i="12"/>
  <c r="N445" i="12"/>
  <c r="J444" i="12"/>
  <c r="I441" i="12"/>
  <c r="K441" i="12" s="1"/>
  <c r="I440" i="12"/>
  <c r="K440" i="12" s="1"/>
  <c r="M430" i="12"/>
  <c r="L430" i="12"/>
  <c r="L429" i="12"/>
  <c r="N429" i="12" s="1"/>
  <c r="M428" i="12"/>
  <c r="N427" i="12"/>
  <c r="M426" i="12"/>
  <c r="J426" i="12"/>
  <c r="K425" i="12"/>
  <c r="K424" i="12"/>
  <c r="K423" i="12"/>
  <c r="K422" i="12"/>
  <c r="K421" i="12"/>
  <c r="K420" i="12"/>
  <c r="J419" i="12"/>
  <c r="J418" i="12"/>
  <c r="K417" i="12"/>
  <c r="J417" i="12"/>
  <c r="I419" i="12" s="1"/>
  <c r="K419" i="12" s="1"/>
  <c r="K416" i="12"/>
  <c r="J416" i="12"/>
  <c r="I418" i="12" s="1"/>
  <c r="K418" i="12" s="1"/>
  <c r="K415" i="12"/>
  <c r="J415" i="12"/>
  <c r="K414" i="12"/>
  <c r="J414" i="12"/>
  <c r="K413" i="12"/>
  <c r="J413" i="12"/>
  <c r="K412" i="12"/>
  <c r="J412" i="12"/>
  <c r="I411" i="12"/>
  <c r="K411" i="12" s="1"/>
  <c r="I410" i="12"/>
  <c r="K410" i="12" s="1"/>
  <c r="I409" i="12"/>
  <c r="K409" i="12" s="1"/>
  <c r="K408" i="12"/>
  <c r="K407" i="12"/>
  <c r="K406" i="12"/>
  <c r="K405" i="12"/>
  <c r="K404" i="12"/>
  <c r="K403" i="12"/>
  <c r="K402" i="12"/>
  <c r="J402" i="12"/>
  <c r="K401" i="12"/>
  <c r="J401" i="12"/>
  <c r="J391" i="12" s="1"/>
  <c r="J390" i="12" s="1"/>
  <c r="K400" i="12"/>
  <c r="K399" i="12"/>
  <c r="K398" i="12"/>
  <c r="K397" i="12"/>
  <c r="K396" i="12"/>
  <c r="K395" i="12"/>
  <c r="K394" i="12"/>
  <c r="J394" i="12"/>
  <c r="K393" i="12"/>
  <c r="J393" i="12"/>
  <c r="J392" i="12"/>
  <c r="I392" i="12"/>
  <c r="I391" i="12"/>
  <c r="I390" i="12"/>
  <c r="K390" i="12" s="1"/>
  <c r="K389" i="12"/>
  <c r="K388" i="12"/>
  <c r="K387" i="12"/>
  <c r="K386" i="12"/>
  <c r="K385" i="12"/>
  <c r="K384" i="12"/>
  <c r="K383" i="12"/>
  <c r="J383" i="12"/>
  <c r="K382" i="12"/>
  <c r="J382" i="12"/>
  <c r="J376" i="12" s="1"/>
  <c r="K381" i="12"/>
  <c r="K380" i="12"/>
  <c r="K379" i="12"/>
  <c r="K378" i="12"/>
  <c r="J377" i="12"/>
  <c r="K375" i="12"/>
  <c r="K374" i="12"/>
  <c r="K373" i="12"/>
  <c r="K372" i="12"/>
  <c r="K371" i="12"/>
  <c r="K370" i="12"/>
  <c r="J369" i="12"/>
  <c r="J368" i="12"/>
  <c r="K367" i="12"/>
  <c r="K366" i="12"/>
  <c r="K365" i="12"/>
  <c r="K364" i="12"/>
  <c r="K363" i="12"/>
  <c r="K362" i="12"/>
  <c r="J361" i="12"/>
  <c r="I361" i="12"/>
  <c r="J360" i="12"/>
  <c r="I360" i="12"/>
  <c r="K360" i="12" s="1"/>
  <c r="J359" i="12"/>
  <c r="J350" i="12" s="1"/>
  <c r="I359" i="12"/>
  <c r="M354" i="12"/>
  <c r="L354" i="12"/>
  <c r="N354" i="12" s="1"/>
  <c r="L353" i="12"/>
  <c r="N353" i="12" s="1"/>
  <c r="M352" i="12"/>
  <c r="N351" i="12"/>
  <c r="M350" i="12"/>
  <c r="I347" i="12"/>
  <c r="K347" i="12" s="1"/>
  <c r="I346" i="12"/>
  <c r="K346" i="12" s="1"/>
  <c r="I345" i="12"/>
  <c r="K345" i="12" s="1"/>
  <c r="J344" i="12"/>
  <c r="J330" i="12" s="1"/>
  <c r="M334" i="12"/>
  <c r="L334" i="12"/>
  <c r="N334" i="12" s="1"/>
  <c r="L333" i="12"/>
  <c r="N333" i="12" s="1"/>
  <c r="M332" i="12"/>
  <c r="N331" i="12"/>
  <c r="M330" i="12"/>
  <c r="I327" i="12"/>
  <c r="K327" i="12" s="1"/>
  <c r="I326" i="12"/>
  <c r="I324" i="12"/>
  <c r="K324" i="12" s="1"/>
  <c r="I323" i="12"/>
  <c r="K323" i="12" s="1"/>
  <c r="I322" i="12"/>
  <c r="K322" i="12" s="1"/>
  <c r="I321" i="12"/>
  <c r="I320" i="12"/>
  <c r="K320" i="12" s="1"/>
  <c r="I319" i="12"/>
  <c r="K319" i="12" s="1"/>
  <c r="I318" i="12"/>
  <c r="K318" i="12" s="1"/>
  <c r="I317" i="12"/>
  <c r="I316" i="12"/>
  <c r="I315" i="12"/>
  <c r="K315" i="12" s="1"/>
  <c r="I314" i="12"/>
  <c r="I313" i="12"/>
  <c r="K313" i="12" s="1"/>
  <c r="I312" i="12"/>
  <c r="M301" i="12"/>
  <c r="L301" i="12"/>
  <c r="N301" i="12" s="1"/>
  <c r="L300" i="12"/>
  <c r="M299" i="12"/>
  <c r="M296" i="12" s="1"/>
  <c r="M242" i="12" s="1"/>
  <c r="N298" i="12"/>
  <c r="J296" i="12"/>
  <c r="I293" i="12"/>
  <c r="K293" i="12" s="1"/>
  <c r="I292" i="12"/>
  <c r="K292" i="12" s="1"/>
  <c r="I291" i="12"/>
  <c r="K291" i="12" s="1"/>
  <c r="M280" i="12"/>
  <c r="L280" i="12"/>
  <c r="N280" i="12" s="1"/>
  <c r="L279" i="12"/>
  <c r="M278" i="12"/>
  <c r="M275" i="12" s="1"/>
  <c r="N277" i="12"/>
  <c r="J276" i="12"/>
  <c r="J275" i="12"/>
  <c r="I272" i="12"/>
  <c r="K272" i="12" s="1"/>
  <c r="I271" i="12"/>
  <c r="K271" i="12" s="1"/>
  <c r="J270" i="12"/>
  <c r="J244" i="12" s="1"/>
  <c r="I268" i="12"/>
  <c r="K268" i="12" s="1"/>
  <c r="I266" i="12"/>
  <c r="K266" i="12" s="1"/>
  <c r="I264" i="12"/>
  <c r="K264" i="12" s="1"/>
  <c r="J263" i="12"/>
  <c r="J245" i="12" s="1"/>
  <c r="I263" i="12"/>
  <c r="I265" i="12" s="1"/>
  <c r="I267" i="12" s="1"/>
  <c r="K267" i="12" s="1"/>
  <c r="J262" i="12"/>
  <c r="I260" i="12"/>
  <c r="K260" i="12" s="1"/>
  <c r="M249" i="12"/>
  <c r="L249" i="12"/>
  <c r="N249" i="12" s="1"/>
  <c r="L248" i="12"/>
  <c r="M247" i="12"/>
  <c r="M244" i="12" s="1"/>
  <c r="N246" i="12"/>
  <c r="K241" i="12"/>
  <c r="J241" i="12"/>
  <c r="J240" i="12"/>
  <c r="J228" i="12" s="1"/>
  <c r="I240" i="12"/>
  <c r="K239" i="12"/>
  <c r="J239" i="12"/>
  <c r="J238" i="12"/>
  <c r="I238" i="12"/>
  <c r="K237" i="12"/>
  <c r="J237" i="12"/>
  <c r="J236" i="12"/>
  <c r="I236" i="12"/>
  <c r="J235" i="12"/>
  <c r="I235" i="12"/>
  <c r="K234" i="12"/>
  <c r="J234" i="12"/>
  <c r="L232" i="12"/>
  <c r="N232" i="12" s="1"/>
  <c r="L231" i="12"/>
  <c r="M230" i="12"/>
  <c r="N229" i="12"/>
  <c r="M228" i="12"/>
  <c r="I224" i="12"/>
  <c r="L218" i="12"/>
  <c r="N217" i="12"/>
  <c r="M216" i="12"/>
  <c r="N215" i="12"/>
  <c r="M214" i="12"/>
  <c r="J214" i="12"/>
  <c r="I211" i="12"/>
  <c r="K211" i="12" s="1"/>
  <c r="I209" i="12"/>
  <c r="L203" i="12"/>
  <c r="N203" i="12" s="1"/>
  <c r="N202" i="12"/>
  <c r="M201" i="12"/>
  <c r="N200" i="12"/>
  <c r="M199" i="12"/>
  <c r="J199" i="12"/>
  <c r="I195" i="12"/>
  <c r="I185" i="12" s="1"/>
  <c r="K185" i="12" s="1"/>
  <c r="L189" i="12"/>
  <c r="N189" i="12" s="1"/>
  <c r="L188" i="12"/>
  <c r="M187" i="12"/>
  <c r="N186" i="12"/>
  <c r="M185" i="12"/>
  <c r="J185" i="12"/>
  <c r="I182" i="12"/>
  <c r="K182" i="12" s="1"/>
  <c r="I181" i="12"/>
  <c r="K181" i="12" s="1"/>
  <c r="I180" i="12"/>
  <c r="I179" i="12"/>
  <c r="K179" i="12" s="1"/>
  <c r="L173" i="12"/>
  <c r="N173" i="12" s="1"/>
  <c r="L172" i="12"/>
  <c r="N172" i="12" s="1"/>
  <c r="M171" i="12"/>
  <c r="N170" i="12"/>
  <c r="M169" i="12"/>
  <c r="J169" i="12"/>
  <c r="K164" i="12"/>
  <c r="J158" i="12"/>
  <c r="I158" i="12"/>
  <c r="K158" i="12" s="1"/>
  <c r="I155" i="12"/>
  <c r="K155" i="12" s="1"/>
  <c r="J149" i="12"/>
  <c r="J144" i="12" s="1"/>
  <c r="L148" i="12"/>
  <c r="N148" i="12" s="1"/>
  <c r="N147" i="12"/>
  <c r="M146" i="12"/>
  <c r="N145" i="12"/>
  <c r="M144" i="12"/>
  <c r="L141" i="12"/>
  <c r="N141" i="12" s="1"/>
  <c r="I141" i="12"/>
  <c r="K141" i="12" s="1"/>
  <c r="L140" i="12"/>
  <c r="N140" i="12" s="1"/>
  <c r="I140" i="12"/>
  <c r="K140" i="12" s="1"/>
  <c r="L138" i="12"/>
  <c r="N138" i="12" s="1"/>
  <c r="I138" i="12"/>
  <c r="L132" i="12"/>
  <c r="M131" i="12"/>
  <c r="N130" i="12"/>
  <c r="M129" i="12"/>
  <c r="J129" i="12"/>
  <c r="L126" i="12"/>
  <c r="N126" i="12" s="1"/>
  <c r="I126" i="12"/>
  <c r="L125" i="12"/>
  <c r="N125" i="12" s="1"/>
  <c r="I125" i="12"/>
  <c r="K125" i="12" s="1"/>
  <c r="I124" i="12"/>
  <c r="K124" i="12" s="1"/>
  <c r="L117" i="12"/>
  <c r="N117" i="12" s="1"/>
  <c r="M116" i="12"/>
  <c r="N115" i="12"/>
  <c r="M114" i="12"/>
  <c r="J114" i="12"/>
  <c r="L111" i="12"/>
  <c r="N111" i="12" s="1"/>
  <c r="I111" i="12"/>
  <c r="L110" i="12"/>
  <c r="N110" i="12" s="1"/>
  <c r="I110" i="12"/>
  <c r="K110" i="12" s="1"/>
  <c r="L104" i="12"/>
  <c r="N104" i="12" s="1"/>
  <c r="M103" i="12"/>
  <c r="N102" i="12"/>
  <c r="M101" i="12"/>
  <c r="J101" i="12"/>
  <c r="L98" i="12"/>
  <c r="N98" i="12" s="1"/>
  <c r="I98" i="12"/>
  <c r="L92" i="12"/>
  <c r="N92" i="12" s="1"/>
  <c r="M91" i="12"/>
  <c r="M89" i="12" s="1"/>
  <c r="N90" i="12"/>
  <c r="J89" i="12"/>
  <c r="J84" i="12"/>
  <c r="I83" i="12"/>
  <c r="K83" i="12" s="1"/>
  <c r="L77" i="12"/>
  <c r="L76" i="12" s="1"/>
  <c r="L74" i="12" s="1"/>
  <c r="M76" i="12"/>
  <c r="N75" i="12"/>
  <c r="M74" i="12"/>
  <c r="J74" i="12"/>
  <c r="M73" i="12"/>
  <c r="L72" i="12"/>
  <c r="M71" i="12"/>
  <c r="N70" i="12"/>
  <c r="M68" i="12"/>
  <c r="J68" i="12"/>
  <c r="I62" i="12"/>
  <c r="K62" i="12" s="1"/>
  <c r="L56" i="12"/>
  <c r="N56" i="12" s="1"/>
  <c r="L55" i="12"/>
  <c r="N55" i="12" s="1"/>
  <c r="M54" i="12"/>
  <c r="M52" i="12" s="1"/>
  <c r="N53" i="12"/>
  <c r="J52" i="12"/>
  <c r="I48" i="12"/>
  <c r="K48" i="12" s="1"/>
  <c r="I47" i="12"/>
  <c r="K47" i="12" s="1"/>
  <c r="I46" i="12"/>
  <c r="K46" i="12" s="1"/>
  <c r="I45" i="12"/>
  <c r="K45" i="12" s="1"/>
  <c r="I44" i="12"/>
  <c r="K44" i="12" s="1"/>
  <c r="I43" i="12"/>
  <c r="K43" i="12" s="1"/>
  <c r="L37" i="12"/>
  <c r="N37" i="12" s="1"/>
  <c r="L36" i="12"/>
  <c r="N36" i="12" s="1"/>
  <c r="M35" i="12"/>
  <c r="M32" i="12" s="1"/>
  <c r="L35" i="12"/>
  <c r="N34" i="12"/>
  <c r="J33" i="12"/>
  <c r="J32" i="12"/>
  <c r="I28" i="12"/>
  <c r="K28" i="12" s="1"/>
  <c r="I27" i="12"/>
  <c r="K27" i="12" s="1"/>
  <c r="I26" i="12"/>
  <c r="K26" i="12" s="1"/>
  <c r="I25" i="12"/>
  <c r="I24" i="12"/>
  <c r="K24" i="12" s="1"/>
  <c r="I23" i="12"/>
  <c r="K23" i="12" s="1"/>
  <c r="I22" i="12"/>
  <c r="J21" i="12"/>
  <c r="J20" i="12"/>
  <c r="J9" i="12" s="1"/>
  <c r="L14" i="12"/>
  <c r="N14" i="12" s="1"/>
  <c r="L13" i="12"/>
  <c r="N13" i="12" s="1"/>
  <c r="M12" i="12"/>
  <c r="M9" i="12" s="1"/>
  <c r="L12" i="12"/>
  <c r="N12" i="12" s="1"/>
  <c r="N11" i="12"/>
  <c r="J10" i="12"/>
  <c r="M6" i="12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17" i="11"/>
  <c r="I517" i="11"/>
  <c r="J514" i="11"/>
  <c r="J513" i="11" s="1"/>
  <c r="I514" i="11"/>
  <c r="I513" i="11"/>
  <c r="K515" i="11" s="1"/>
  <c r="J510" i="11"/>
  <c r="I510" i="11"/>
  <c r="J504" i="11"/>
  <c r="J490" i="11" s="1"/>
  <c r="I504" i="11"/>
  <c r="K511" i="11" s="1"/>
  <c r="M494" i="11"/>
  <c r="L494" i="11"/>
  <c r="N494" i="11" s="1"/>
  <c r="L493" i="11"/>
  <c r="M492" i="11"/>
  <c r="N491" i="11"/>
  <c r="M490" i="11"/>
  <c r="J489" i="11"/>
  <c r="I489" i="11"/>
  <c r="K489" i="11" s="1"/>
  <c r="J488" i="11"/>
  <c r="J473" i="11" s="1"/>
  <c r="I488" i="11"/>
  <c r="J487" i="11"/>
  <c r="I487" i="11"/>
  <c r="K487" i="11" s="1"/>
  <c r="J486" i="11"/>
  <c r="I486" i="11"/>
  <c r="J485" i="11"/>
  <c r="I485" i="11"/>
  <c r="K485" i="11" s="1"/>
  <c r="J484" i="11"/>
  <c r="I484" i="11"/>
  <c r="J483" i="11"/>
  <c r="I483" i="11"/>
  <c r="K483" i="11" s="1"/>
  <c r="J482" i="11"/>
  <c r="I482" i="11"/>
  <c r="M480" i="11"/>
  <c r="M477" i="11" s="1"/>
  <c r="M475" i="11" s="1"/>
  <c r="M473" i="11" s="1"/>
  <c r="L477" i="11"/>
  <c r="N477" i="11" s="1"/>
  <c r="L476" i="11"/>
  <c r="N476" i="11" s="1"/>
  <c r="N474" i="11"/>
  <c r="K472" i="11"/>
  <c r="K471" i="11"/>
  <c r="K470" i="11"/>
  <c r="K469" i="11"/>
  <c r="K468" i="11"/>
  <c r="J466" i="11"/>
  <c r="I466" i="11"/>
  <c r="M465" i="11"/>
  <c r="M464" i="11"/>
  <c r="L461" i="11"/>
  <c r="L460" i="11"/>
  <c r="N460" i="11" s="1"/>
  <c r="N458" i="11"/>
  <c r="J457" i="11"/>
  <c r="I456" i="11"/>
  <c r="K456" i="11" s="1"/>
  <c r="I455" i="11"/>
  <c r="K455" i="11" s="1"/>
  <c r="I454" i="11"/>
  <c r="K454" i="11" s="1"/>
  <c r="I453" i="11"/>
  <c r="M448" i="11"/>
  <c r="L448" i="11"/>
  <c r="L447" i="11"/>
  <c r="N447" i="11" s="1"/>
  <c r="M446" i="11"/>
  <c r="N445" i="11"/>
  <c r="M444" i="11"/>
  <c r="J444" i="11"/>
  <c r="I441" i="11"/>
  <c r="K441" i="11" s="1"/>
  <c r="I440" i="11"/>
  <c r="K440" i="11" s="1"/>
  <c r="M430" i="11"/>
  <c r="M428" i="11" s="1"/>
  <c r="M426" i="11" s="1"/>
  <c r="L430" i="11"/>
  <c r="N430" i="11" s="1"/>
  <c r="L429" i="11"/>
  <c r="N427" i="11"/>
  <c r="J426" i="11"/>
  <c r="K425" i="11"/>
  <c r="K424" i="11"/>
  <c r="K423" i="11"/>
  <c r="K422" i="11"/>
  <c r="K421" i="11"/>
  <c r="K420" i="11"/>
  <c r="J419" i="11"/>
  <c r="J418" i="11"/>
  <c r="K417" i="11"/>
  <c r="J417" i="11"/>
  <c r="I419" i="11" s="1"/>
  <c r="K419" i="11" s="1"/>
  <c r="K416" i="11"/>
  <c r="J416" i="11"/>
  <c r="I418" i="11" s="1"/>
  <c r="K418" i="11" s="1"/>
  <c r="K415" i="11"/>
  <c r="J415" i="11"/>
  <c r="K414" i="11"/>
  <c r="J414" i="11"/>
  <c r="K413" i="11"/>
  <c r="J413" i="11"/>
  <c r="K412" i="11"/>
  <c r="J412" i="11"/>
  <c r="I411" i="11"/>
  <c r="K411" i="11" s="1"/>
  <c r="I410" i="11"/>
  <c r="K410" i="11" s="1"/>
  <c r="I409" i="11"/>
  <c r="K409" i="11" s="1"/>
  <c r="K408" i="11"/>
  <c r="K407" i="11"/>
  <c r="K406" i="11"/>
  <c r="K405" i="11"/>
  <c r="K404" i="11"/>
  <c r="K403" i="11"/>
  <c r="K402" i="11"/>
  <c r="J402" i="11"/>
  <c r="K401" i="11"/>
  <c r="J401" i="11"/>
  <c r="K400" i="11"/>
  <c r="K399" i="11"/>
  <c r="K398" i="11"/>
  <c r="K397" i="11"/>
  <c r="K396" i="11"/>
  <c r="K395" i="11"/>
  <c r="K394" i="11"/>
  <c r="J394" i="11"/>
  <c r="K393" i="11"/>
  <c r="J393" i="11"/>
  <c r="J392" i="11"/>
  <c r="I392" i="11"/>
  <c r="K392" i="11" s="1"/>
  <c r="J391" i="11"/>
  <c r="J390" i="11" s="1"/>
  <c r="I391" i="11"/>
  <c r="I390" i="11"/>
  <c r="K389" i="11"/>
  <c r="K388" i="11"/>
  <c r="K387" i="11"/>
  <c r="K386" i="11"/>
  <c r="K385" i="11"/>
  <c r="K384" i="11"/>
  <c r="K383" i="11"/>
  <c r="J383" i="11"/>
  <c r="K382" i="11"/>
  <c r="J382" i="11"/>
  <c r="K381" i="11"/>
  <c r="K380" i="11"/>
  <c r="K379" i="11"/>
  <c r="K378" i="11"/>
  <c r="J377" i="11"/>
  <c r="J376" i="11"/>
  <c r="K375" i="11"/>
  <c r="K374" i="11"/>
  <c r="K373" i="11"/>
  <c r="K372" i="11"/>
  <c r="K371" i="11"/>
  <c r="K370" i="11"/>
  <c r="J369" i="11"/>
  <c r="J368" i="11"/>
  <c r="K367" i="11"/>
  <c r="K366" i="11"/>
  <c r="K365" i="11"/>
  <c r="K364" i="11"/>
  <c r="K363" i="11"/>
  <c r="K362" i="11"/>
  <c r="J361" i="11"/>
  <c r="I361" i="11"/>
  <c r="I369" i="11" s="1"/>
  <c r="J360" i="11"/>
  <c r="I360" i="11"/>
  <c r="K360" i="11" s="1"/>
  <c r="J359" i="11"/>
  <c r="I359" i="11"/>
  <c r="M354" i="11"/>
  <c r="M352" i="11" s="1"/>
  <c r="M350" i="11" s="1"/>
  <c r="L354" i="11"/>
  <c r="N354" i="11" s="1"/>
  <c r="L353" i="11"/>
  <c r="N351" i="11"/>
  <c r="J350" i="11"/>
  <c r="I347" i="11"/>
  <c r="K347" i="11" s="1"/>
  <c r="I346" i="11"/>
  <c r="K346" i="11" s="1"/>
  <c r="I345" i="11"/>
  <c r="J344" i="11"/>
  <c r="M334" i="11"/>
  <c r="M332" i="11" s="1"/>
  <c r="M330" i="11" s="1"/>
  <c r="L334" i="11"/>
  <c r="N334" i="11" s="1"/>
  <c r="L333" i="11"/>
  <c r="N331" i="11"/>
  <c r="J330" i="11"/>
  <c r="I327" i="11"/>
  <c r="K327" i="11" s="1"/>
  <c r="I326" i="11"/>
  <c r="I324" i="11"/>
  <c r="I323" i="11"/>
  <c r="K323" i="11" s="1"/>
  <c r="I322" i="11"/>
  <c r="K322" i="11" s="1"/>
  <c r="I321" i="11"/>
  <c r="I320" i="11"/>
  <c r="I319" i="11"/>
  <c r="K319" i="11" s="1"/>
  <c r="I318" i="11"/>
  <c r="K318" i="11" s="1"/>
  <c r="I317" i="11"/>
  <c r="K317" i="11" s="1"/>
  <c r="I316" i="11"/>
  <c r="I315" i="11"/>
  <c r="I314" i="11"/>
  <c r="K314" i="11" s="1"/>
  <c r="I313" i="11"/>
  <c r="I312" i="11"/>
  <c r="M301" i="11"/>
  <c r="L301" i="11"/>
  <c r="N301" i="11" s="1"/>
  <c r="L300" i="11"/>
  <c r="M299" i="11"/>
  <c r="M296" i="11" s="1"/>
  <c r="N298" i="11"/>
  <c r="J296" i="11"/>
  <c r="I293" i="11"/>
  <c r="K293" i="11" s="1"/>
  <c r="I292" i="11"/>
  <c r="K292" i="11" s="1"/>
  <c r="I291" i="11"/>
  <c r="K291" i="11" s="1"/>
  <c r="M284" i="11"/>
  <c r="M283" i="11"/>
  <c r="M281" i="11"/>
  <c r="M280" i="11" s="1"/>
  <c r="L280" i="11"/>
  <c r="L279" i="11"/>
  <c r="N277" i="11"/>
  <c r="J276" i="11"/>
  <c r="J275" i="11"/>
  <c r="I272" i="11"/>
  <c r="K272" i="11" s="1"/>
  <c r="I271" i="11"/>
  <c r="J270" i="11"/>
  <c r="J244" i="11" s="1"/>
  <c r="I268" i="11"/>
  <c r="K268" i="11" s="1"/>
  <c r="I266" i="11"/>
  <c r="K266" i="11" s="1"/>
  <c r="I264" i="11"/>
  <c r="K264" i="11" s="1"/>
  <c r="J263" i="11"/>
  <c r="J259" i="11" s="1"/>
  <c r="I263" i="11"/>
  <c r="I245" i="11" s="1"/>
  <c r="K245" i="11" s="1"/>
  <c r="J262" i="11"/>
  <c r="I260" i="11"/>
  <c r="K260" i="11" s="1"/>
  <c r="M252" i="11"/>
  <c r="M249" i="11" s="1"/>
  <c r="M247" i="11" s="1"/>
  <c r="M244" i="11" s="1"/>
  <c r="M250" i="11"/>
  <c r="L249" i="11"/>
  <c r="L248" i="11"/>
  <c r="N248" i="11" s="1"/>
  <c r="N246" i="11"/>
  <c r="J245" i="11"/>
  <c r="K241" i="11"/>
  <c r="J241" i="11"/>
  <c r="J240" i="11"/>
  <c r="J228" i="11" s="1"/>
  <c r="I240" i="11"/>
  <c r="K239" i="11"/>
  <c r="J239" i="11"/>
  <c r="J238" i="11"/>
  <c r="I238" i="11"/>
  <c r="K237" i="11"/>
  <c r="J237" i="11"/>
  <c r="J236" i="11"/>
  <c r="I236" i="11"/>
  <c r="I228" i="11" s="1"/>
  <c r="J235" i="11"/>
  <c r="I235" i="11"/>
  <c r="K234" i="11"/>
  <c r="J234" i="11"/>
  <c r="L232" i="11"/>
  <c r="N232" i="11" s="1"/>
  <c r="L231" i="11"/>
  <c r="N231" i="11" s="1"/>
  <c r="M230" i="11"/>
  <c r="M228" i="11" s="1"/>
  <c r="N229" i="11"/>
  <c r="I224" i="11"/>
  <c r="K224" i="11" s="1"/>
  <c r="L218" i="11"/>
  <c r="N217" i="11"/>
  <c r="M216" i="11"/>
  <c r="N215" i="11"/>
  <c r="M214" i="11"/>
  <c r="J214" i="11"/>
  <c r="I211" i="11"/>
  <c r="K211" i="11" s="1"/>
  <c r="I209" i="11"/>
  <c r="L203" i="11"/>
  <c r="N202" i="11"/>
  <c r="M201" i="11"/>
  <c r="N200" i="11"/>
  <c r="M199" i="11"/>
  <c r="J199" i="11"/>
  <c r="I195" i="11"/>
  <c r="L189" i="11"/>
  <c r="N189" i="11" s="1"/>
  <c r="L188" i="11"/>
  <c r="N188" i="11" s="1"/>
  <c r="M187" i="11"/>
  <c r="N186" i="11"/>
  <c r="M185" i="11"/>
  <c r="J185" i="11"/>
  <c r="I182" i="11"/>
  <c r="K182" i="11" s="1"/>
  <c r="I181" i="11"/>
  <c r="K181" i="11" s="1"/>
  <c r="I180" i="11"/>
  <c r="K180" i="11" s="1"/>
  <c r="I179" i="11"/>
  <c r="K179" i="11" s="1"/>
  <c r="L173" i="11"/>
  <c r="L172" i="11"/>
  <c r="N172" i="11" s="1"/>
  <c r="M171" i="11"/>
  <c r="N170" i="11"/>
  <c r="M169" i="11"/>
  <c r="J169" i="11"/>
  <c r="K164" i="11"/>
  <c r="K158" i="11"/>
  <c r="J158" i="11"/>
  <c r="I158" i="11"/>
  <c r="I155" i="11"/>
  <c r="J149" i="11"/>
  <c r="L148" i="11"/>
  <c r="N148" i="11" s="1"/>
  <c r="N147" i="11"/>
  <c r="M146" i="11"/>
  <c r="N145" i="11"/>
  <c r="M144" i="11"/>
  <c r="J144" i="11"/>
  <c r="L141" i="11"/>
  <c r="N141" i="11" s="1"/>
  <c r="I141" i="11"/>
  <c r="K141" i="11" s="1"/>
  <c r="L140" i="11"/>
  <c r="N140" i="11" s="1"/>
  <c r="I140" i="11"/>
  <c r="K140" i="11" s="1"/>
  <c r="L138" i="11"/>
  <c r="N138" i="11" s="1"/>
  <c r="I138" i="11"/>
  <c r="L132" i="11"/>
  <c r="N132" i="11" s="1"/>
  <c r="M131" i="11"/>
  <c r="N130" i="11"/>
  <c r="M129" i="11"/>
  <c r="J129" i="11"/>
  <c r="L126" i="11"/>
  <c r="N126" i="11" s="1"/>
  <c r="I126" i="11"/>
  <c r="K126" i="11" s="1"/>
  <c r="L125" i="11"/>
  <c r="N125" i="11" s="1"/>
  <c r="I125" i="11"/>
  <c r="I124" i="11"/>
  <c r="K124" i="11" s="1"/>
  <c r="L117" i="11"/>
  <c r="L116" i="11" s="1"/>
  <c r="M116" i="11"/>
  <c r="N115" i="11"/>
  <c r="M114" i="11"/>
  <c r="J114" i="11"/>
  <c r="L111" i="11"/>
  <c r="N111" i="11" s="1"/>
  <c r="I111" i="11"/>
  <c r="K111" i="11" s="1"/>
  <c r="L110" i="11"/>
  <c r="N110" i="11" s="1"/>
  <c r="I110" i="11"/>
  <c r="K110" i="11" s="1"/>
  <c r="L104" i="11"/>
  <c r="M103" i="11"/>
  <c r="N102" i="11"/>
  <c r="M101" i="11"/>
  <c r="J101" i="11"/>
  <c r="L98" i="11"/>
  <c r="N98" i="11" s="1"/>
  <c r="I98" i="11"/>
  <c r="K98" i="11" s="1"/>
  <c r="L92" i="11"/>
  <c r="M91" i="11"/>
  <c r="N90" i="11"/>
  <c r="M89" i="11"/>
  <c r="J89" i="11"/>
  <c r="J84" i="11"/>
  <c r="I83" i="11"/>
  <c r="L77" i="11"/>
  <c r="M76" i="11"/>
  <c r="N75" i="11"/>
  <c r="M74" i="11"/>
  <c r="J74" i="11"/>
  <c r="M73" i="11"/>
  <c r="L72" i="11"/>
  <c r="N72" i="11" s="1"/>
  <c r="M71" i="11"/>
  <c r="N70" i="11"/>
  <c r="M68" i="11"/>
  <c r="J68" i="11"/>
  <c r="I62" i="11"/>
  <c r="L56" i="11"/>
  <c r="N56" i="11" s="1"/>
  <c r="L55" i="11"/>
  <c r="M54" i="11"/>
  <c r="N53" i="11"/>
  <c r="M52" i="11"/>
  <c r="J52" i="11"/>
  <c r="I48" i="11"/>
  <c r="I47" i="11"/>
  <c r="K47" i="11" s="1"/>
  <c r="I46" i="11"/>
  <c r="K46" i="11" s="1"/>
  <c r="I45" i="11"/>
  <c r="K45" i="11" s="1"/>
  <c r="I44" i="11"/>
  <c r="K44" i="11" s="1"/>
  <c r="I43" i="11"/>
  <c r="K43" i="11" s="1"/>
  <c r="L37" i="11"/>
  <c r="N37" i="11" s="1"/>
  <c r="L36" i="11"/>
  <c r="N36" i="11" s="1"/>
  <c r="M35" i="11"/>
  <c r="M32" i="11" s="1"/>
  <c r="L35" i="11"/>
  <c r="N34" i="11"/>
  <c r="J33" i="11"/>
  <c r="J32" i="11"/>
  <c r="I28" i="11"/>
  <c r="K28" i="11" s="1"/>
  <c r="I27" i="11"/>
  <c r="I26" i="11"/>
  <c r="K26" i="11" s="1"/>
  <c r="I25" i="11"/>
  <c r="K25" i="11" s="1"/>
  <c r="I24" i="11"/>
  <c r="K24" i="11" s="1"/>
  <c r="I23" i="11"/>
  <c r="K23" i="11" s="1"/>
  <c r="I22" i="11"/>
  <c r="J21" i="11"/>
  <c r="J10" i="11" s="1"/>
  <c r="J20" i="11"/>
  <c r="L14" i="11"/>
  <c r="N14" i="11" s="1"/>
  <c r="L13" i="11"/>
  <c r="N13" i="11" s="1"/>
  <c r="M12" i="11"/>
  <c r="L12" i="11"/>
  <c r="L9" i="11" s="1"/>
  <c r="N9" i="11" s="1"/>
  <c r="N11" i="11"/>
  <c r="M9" i="11"/>
  <c r="J9" i="11"/>
  <c r="J528" i="10"/>
  <c r="I528" i="10"/>
  <c r="J527" i="10"/>
  <c r="I527" i="10"/>
  <c r="J526" i="10"/>
  <c r="I526" i="10"/>
  <c r="K526" i="10" s="1"/>
  <c r="J525" i="10"/>
  <c r="I525" i="10"/>
  <c r="K525" i="10" s="1"/>
  <c r="J524" i="10"/>
  <c r="I524" i="10"/>
  <c r="J523" i="10"/>
  <c r="I523" i="10"/>
  <c r="J522" i="10"/>
  <c r="I522" i="10"/>
  <c r="J521" i="10"/>
  <c r="I521" i="10"/>
  <c r="J517" i="10"/>
  <c r="I517" i="10"/>
  <c r="J514" i="10"/>
  <c r="J513" i="10" s="1"/>
  <c r="I514" i="10"/>
  <c r="I513" i="10"/>
  <c r="J510" i="10"/>
  <c r="J504" i="10" s="1"/>
  <c r="J490" i="10" s="1"/>
  <c r="I510" i="10"/>
  <c r="I504" i="10"/>
  <c r="I490" i="10" s="1"/>
  <c r="M494" i="10"/>
  <c r="L494" i="10"/>
  <c r="N494" i="10" s="1"/>
  <c r="L493" i="10"/>
  <c r="M492" i="10"/>
  <c r="N491" i="10"/>
  <c r="M490" i="10"/>
  <c r="J489" i="10"/>
  <c r="I489" i="10"/>
  <c r="K489" i="10" s="1"/>
  <c r="J488" i="10"/>
  <c r="I488" i="10"/>
  <c r="J487" i="10"/>
  <c r="I487" i="10"/>
  <c r="K487" i="10" s="1"/>
  <c r="J486" i="10"/>
  <c r="I486" i="10"/>
  <c r="J485" i="10"/>
  <c r="I485" i="10"/>
  <c r="K485" i="10" s="1"/>
  <c r="J484" i="10"/>
  <c r="I484" i="10"/>
  <c r="I473" i="10" s="1"/>
  <c r="J483" i="10"/>
  <c r="I483" i="10"/>
  <c r="K483" i="10" s="1"/>
  <c r="J482" i="10"/>
  <c r="I482" i="10"/>
  <c r="M477" i="10"/>
  <c r="M475" i="10" s="1"/>
  <c r="M473" i="10" s="1"/>
  <c r="L477" i="10"/>
  <c r="N477" i="10" s="1"/>
  <c r="L476" i="10"/>
  <c r="N474" i="10"/>
  <c r="K472" i="10"/>
  <c r="K471" i="10"/>
  <c r="K470" i="10"/>
  <c r="K469" i="10"/>
  <c r="K468" i="10"/>
  <c r="J466" i="10"/>
  <c r="I466" i="10"/>
  <c r="M461" i="10"/>
  <c r="M459" i="10" s="1"/>
  <c r="M457" i="10" s="1"/>
  <c r="L461" i="10"/>
  <c r="N461" i="10" s="1"/>
  <c r="L460" i="10"/>
  <c r="N458" i="10"/>
  <c r="J457" i="10"/>
  <c r="I456" i="10"/>
  <c r="K456" i="10" s="1"/>
  <c r="I455" i="10"/>
  <c r="K455" i="10" s="1"/>
  <c r="I454" i="10"/>
  <c r="K454" i="10" s="1"/>
  <c r="I453" i="10"/>
  <c r="M448" i="10"/>
  <c r="M446" i="10" s="1"/>
  <c r="M444" i="10" s="1"/>
  <c r="L448" i="10"/>
  <c r="L447" i="10"/>
  <c r="N447" i="10" s="1"/>
  <c r="N445" i="10"/>
  <c r="J444" i="10"/>
  <c r="I441" i="10"/>
  <c r="K441" i="10" s="1"/>
  <c r="I440" i="10"/>
  <c r="K440" i="10" s="1"/>
  <c r="M430" i="10"/>
  <c r="L430" i="10"/>
  <c r="L429" i="10"/>
  <c r="N429" i="10" s="1"/>
  <c r="M428" i="10"/>
  <c r="M426" i="10" s="1"/>
  <c r="N427" i="10"/>
  <c r="J426" i="10"/>
  <c r="K425" i="10"/>
  <c r="K424" i="10"/>
  <c r="K423" i="10"/>
  <c r="K422" i="10"/>
  <c r="K421" i="10"/>
  <c r="K420" i="10"/>
  <c r="J419" i="10"/>
  <c r="J418" i="10"/>
  <c r="K417" i="10"/>
  <c r="J417" i="10"/>
  <c r="I419" i="10" s="1"/>
  <c r="K419" i="10" s="1"/>
  <c r="K416" i="10"/>
  <c r="J416" i="10"/>
  <c r="I418" i="10" s="1"/>
  <c r="K418" i="10" s="1"/>
  <c r="K415" i="10"/>
  <c r="J415" i="10"/>
  <c r="K414" i="10"/>
  <c r="J414" i="10"/>
  <c r="K413" i="10"/>
  <c r="J413" i="10"/>
  <c r="K412" i="10"/>
  <c r="J412" i="10"/>
  <c r="I411" i="10"/>
  <c r="K411" i="10" s="1"/>
  <c r="I410" i="10"/>
  <c r="K410" i="10" s="1"/>
  <c r="I409" i="10"/>
  <c r="K409" i="10" s="1"/>
  <c r="K408" i="10"/>
  <c r="K407" i="10"/>
  <c r="K406" i="10"/>
  <c r="K405" i="10"/>
  <c r="K404" i="10"/>
  <c r="K403" i="10"/>
  <c r="K402" i="10"/>
  <c r="J402" i="10"/>
  <c r="J392" i="10" s="1"/>
  <c r="K401" i="10"/>
  <c r="J401" i="10"/>
  <c r="K400" i="10"/>
  <c r="K399" i="10"/>
  <c r="K398" i="10"/>
  <c r="K397" i="10"/>
  <c r="K396" i="10"/>
  <c r="K395" i="10"/>
  <c r="K394" i="10"/>
  <c r="J394" i="10"/>
  <c r="K393" i="10"/>
  <c r="J393" i="10"/>
  <c r="J391" i="10" s="1"/>
  <c r="I392" i="10"/>
  <c r="I391" i="10"/>
  <c r="I390" i="10"/>
  <c r="K389" i="10"/>
  <c r="K388" i="10"/>
  <c r="K387" i="10"/>
  <c r="K386" i="10"/>
  <c r="K385" i="10"/>
  <c r="K384" i="10"/>
  <c r="K383" i="10"/>
  <c r="J383" i="10"/>
  <c r="K382" i="10"/>
  <c r="J382" i="10"/>
  <c r="J376" i="10" s="1"/>
  <c r="K381" i="10"/>
  <c r="K380" i="10"/>
  <c r="K379" i="10"/>
  <c r="K378" i="10"/>
  <c r="J377" i="10"/>
  <c r="K375" i="10"/>
  <c r="K374" i="10"/>
  <c r="K373" i="10"/>
  <c r="K372" i="10"/>
  <c r="K371" i="10"/>
  <c r="K370" i="10"/>
  <c r="J369" i="10"/>
  <c r="J368" i="10"/>
  <c r="K367" i="10"/>
  <c r="K366" i="10"/>
  <c r="K365" i="10"/>
  <c r="K364" i="10"/>
  <c r="K363" i="10"/>
  <c r="K362" i="10"/>
  <c r="J361" i="10"/>
  <c r="I361" i="10"/>
  <c r="I377" i="10" s="1"/>
  <c r="K377" i="10" s="1"/>
  <c r="J360" i="10"/>
  <c r="I360" i="10"/>
  <c r="K360" i="10" s="1"/>
  <c r="I359" i="10"/>
  <c r="I376" i="10" s="1"/>
  <c r="M354" i="10"/>
  <c r="L354" i="10"/>
  <c r="N354" i="10" s="1"/>
  <c r="L353" i="10"/>
  <c r="M352" i="10"/>
  <c r="M350" i="10" s="1"/>
  <c r="N351" i="10"/>
  <c r="I347" i="10"/>
  <c r="K347" i="10" s="1"/>
  <c r="I346" i="10"/>
  <c r="K346" i="10" s="1"/>
  <c r="I345" i="10"/>
  <c r="J344" i="10"/>
  <c r="J330" i="10" s="1"/>
  <c r="M334" i="10"/>
  <c r="L334" i="10"/>
  <c r="N334" i="10" s="1"/>
  <c r="L333" i="10"/>
  <c r="M332" i="10"/>
  <c r="N331" i="10"/>
  <c r="M330" i="10"/>
  <c r="I327" i="10"/>
  <c r="K327" i="10" s="1"/>
  <c r="I326" i="10"/>
  <c r="I324" i="10"/>
  <c r="I323" i="10"/>
  <c r="K323" i="10" s="1"/>
  <c r="I322" i="10"/>
  <c r="K322" i="10" s="1"/>
  <c r="I321" i="10"/>
  <c r="I320" i="10"/>
  <c r="K320" i="10" s="1"/>
  <c r="I319" i="10"/>
  <c r="I318" i="10"/>
  <c r="K318" i="10" s="1"/>
  <c r="I317" i="10"/>
  <c r="K317" i="10" s="1"/>
  <c r="I316" i="10"/>
  <c r="I315" i="10"/>
  <c r="I314" i="10"/>
  <c r="K314" i="10" s="1"/>
  <c r="I313" i="10"/>
  <c r="K313" i="10" s="1"/>
  <c r="I312" i="10"/>
  <c r="M301" i="10"/>
  <c r="L301" i="10"/>
  <c r="L300" i="10"/>
  <c r="N300" i="10" s="1"/>
  <c r="N298" i="10"/>
  <c r="J296" i="10"/>
  <c r="I293" i="10"/>
  <c r="K293" i="10" s="1"/>
  <c r="I292" i="10"/>
  <c r="I291" i="10"/>
  <c r="K291" i="10" s="1"/>
  <c r="M280" i="10"/>
  <c r="L280" i="10"/>
  <c r="L279" i="10"/>
  <c r="N279" i="10" s="1"/>
  <c r="N277" i="10"/>
  <c r="J276" i="10"/>
  <c r="J275" i="10"/>
  <c r="I272" i="10"/>
  <c r="K272" i="10" s="1"/>
  <c r="I271" i="10"/>
  <c r="J270" i="10"/>
  <c r="I268" i="10"/>
  <c r="K268" i="10" s="1"/>
  <c r="I266" i="10"/>
  <c r="I264" i="10"/>
  <c r="K264" i="10" s="1"/>
  <c r="J263" i="10"/>
  <c r="J245" i="10" s="1"/>
  <c r="I263" i="10"/>
  <c r="J262" i="10"/>
  <c r="I260" i="10"/>
  <c r="K260" i="10" s="1"/>
  <c r="M249" i="10"/>
  <c r="M247" i="10" s="1"/>
  <c r="L249" i="10"/>
  <c r="N249" i="10" s="1"/>
  <c r="L248" i="10"/>
  <c r="N248" i="10" s="1"/>
  <c r="N246" i="10"/>
  <c r="M244" i="10"/>
  <c r="J244" i="10"/>
  <c r="K241" i="10"/>
  <c r="J241" i="10"/>
  <c r="J240" i="10"/>
  <c r="J228" i="10" s="1"/>
  <c r="I240" i="10"/>
  <c r="K239" i="10"/>
  <c r="J239" i="10"/>
  <c r="J238" i="10"/>
  <c r="I238" i="10"/>
  <c r="K237" i="10"/>
  <c r="J237" i="10"/>
  <c r="J236" i="10"/>
  <c r="I236" i="10"/>
  <c r="I228" i="10" s="1"/>
  <c r="J235" i="10"/>
  <c r="I235" i="10"/>
  <c r="K234" i="10"/>
  <c r="J234" i="10"/>
  <c r="L232" i="10"/>
  <c r="N232" i="10" s="1"/>
  <c r="L231" i="10"/>
  <c r="N231" i="10" s="1"/>
  <c r="M230" i="10"/>
  <c r="N229" i="10"/>
  <c r="M228" i="10"/>
  <c r="I224" i="10"/>
  <c r="K224" i="10" s="1"/>
  <c r="L218" i="10"/>
  <c r="N218" i="10" s="1"/>
  <c r="N217" i="10"/>
  <c r="M216" i="10"/>
  <c r="N215" i="10"/>
  <c r="M214" i="10"/>
  <c r="J214" i="10"/>
  <c r="I211" i="10"/>
  <c r="K211" i="10" s="1"/>
  <c r="I209" i="10"/>
  <c r="L203" i="10"/>
  <c r="N203" i="10" s="1"/>
  <c r="N202" i="10"/>
  <c r="M201" i="10"/>
  <c r="N200" i="10"/>
  <c r="M199" i="10"/>
  <c r="J199" i="10"/>
  <c r="I195" i="10"/>
  <c r="I185" i="10" s="1"/>
  <c r="K185" i="10" s="1"/>
  <c r="L189" i="10"/>
  <c r="N189" i="10" s="1"/>
  <c r="L188" i="10"/>
  <c r="N188" i="10" s="1"/>
  <c r="M187" i="10"/>
  <c r="N186" i="10"/>
  <c r="M185" i="10"/>
  <c r="J185" i="10"/>
  <c r="I182" i="10"/>
  <c r="K182" i="10" s="1"/>
  <c r="I181" i="10"/>
  <c r="K181" i="10" s="1"/>
  <c r="I180" i="10"/>
  <c r="I179" i="10"/>
  <c r="K179" i="10" s="1"/>
  <c r="L173" i="10"/>
  <c r="N173" i="10" s="1"/>
  <c r="L172" i="10"/>
  <c r="M171" i="10"/>
  <c r="N170" i="10"/>
  <c r="M169" i="10"/>
  <c r="J169" i="10"/>
  <c r="K164" i="10"/>
  <c r="J158" i="10"/>
  <c r="I158" i="10"/>
  <c r="K158" i="10" s="1"/>
  <c r="I155" i="10"/>
  <c r="J149" i="10"/>
  <c r="L148" i="10"/>
  <c r="N148" i="10" s="1"/>
  <c r="N147" i="10"/>
  <c r="M146" i="10"/>
  <c r="N145" i="10"/>
  <c r="M144" i="10"/>
  <c r="J144" i="10"/>
  <c r="L141" i="10"/>
  <c r="N141" i="10" s="1"/>
  <c r="I141" i="10"/>
  <c r="K141" i="10" s="1"/>
  <c r="L140" i="10"/>
  <c r="N140" i="10" s="1"/>
  <c r="I140" i="10"/>
  <c r="K140" i="10" s="1"/>
  <c r="L138" i="10"/>
  <c r="N138" i="10" s="1"/>
  <c r="I138" i="10"/>
  <c r="L132" i="10"/>
  <c r="N132" i="10" s="1"/>
  <c r="M131" i="10"/>
  <c r="N130" i="10"/>
  <c r="M129" i="10"/>
  <c r="J129" i="10"/>
  <c r="L126" i="10"/>
  <c r="N126" i="10" s="1"/>
  <c r="I126" i="10"/>
  <c r="K126" i="10" s="1"/>
  <c r="L125" i="10"/>
  <c r="N125" i="10" s="1"/>
  <c r="I125" i="10"/>
  <c r="K125" i="10" s="1"/>
  <c r="I124" i="10"/>
  <c r="K124" i="10" s="1"/>
  <c r="L117" i="10"/>
  <c r="N117" i="10" s="1"/>
  <c r="M116" i="10"/>
  <c r="N115" i="10"/>
  <c r="M114" i="10"/>
  <c r="J114" i="10"/>
  <c r="L111" i="10"/>
  <c r="N111" i="10" s="1"/>
  <c r="I111" i="10"/>
  <c r="L110" i="10"/>
  <c r="N110" i="10" s="1"/>
  <c r="I110" i="10"/>
  <c r="K110" i="10" s="1"/>
  <c r="L104" i="10"/>
  <c r="N104" i="10" s="1"/>
  <c r="M103" i="10"/>
  <c r="N102" i="10"/>
  <c r="M101" i="10"/>
  <c r="J101" i="10"/>
  <c r="L98" i="10"/>
  <c r="N98" i="10" s="1"/>
  <c r="I98" i="10"/>
  <c r="L92" i="10"/>
  <c r="M91" i="10"/>
  <c r="N90" i="10"/>
  <c r="M89" i="10"/>
  <c r="J89" i="10"/>
  <c r="J84" i="10"/>
  <c r="I83" i="10"/>
  <c r="L77" i="10"/>
  <c r="M76" i="10"/>
  <c r="N75" i="10"/>
  <c r="M74" i="10"/>
  <c r="J74" i="10"/>
  <c r="M73" i="10"/>
  <c r="M71" i="10" s="1"/>
  <c r="M68" i="10" s="1"/>
  <c r="L72" i="10"/>
  <c r="N72" i="10" s="1"/>
  <c r="N70" i="10"/>
  <c r="J68" i="10"/>
  <c r="I62" i="10"/>
  <c r="I63" i="10" s="1"/>
  <c r="K63" i="10" s="1"/>
  <c r="L56" i="10"/>
  <c r="N56" i="10" s="1"/>
  <c r="L55" i="10"/>
  <c r="N55" i="10" s="1"/>
  <c r="M54" i="10"/>
  <c r="N53" i="10"/>
  <c r="M52" i="10"/>
  <c r="J52" i="10"/>
  <c r="I48" i="10"/>
  <c r="I47" i="10"/>
  <c r="K47" i="10" s="1"/>
  <c r="I46" i="10"/>
  <c r="K46" i="10" s="1"/>
  <c r="I45" i="10"/>
  <c r="K45" i="10" s="1"/>
  <c r="I44" i="10"/>
  <c r="I43" i="10"/>
  <c r="K43" i="10" s="1"/>
  <c r="L37" i="10"/>
  <c r="N37" i="10" s="1"/>
  <c r="L36" i="10"/>
  <c r="N36" i="10" s="1"/>
  <c r="M35" i="10"/>
  <c r="L35" i="10"/>
  <c r="N34" i="10"/>
  <c r="J33" i="10"/>
  <c r="M32" i="10"/>
  <c r="M6" i="10" s="1"/>
  <c r="J32" i="10"/>
  <c r="I28" i="10"/>
  <c r="K28" i="10" s="1"/>
  <c r="I27" i="10"/>
  <c r="K27" i="10" s="1"/>
  <c r="I26" i="10"/>
  <c r="K26" i="10" s="1"/>
  <c r="I25" i="10"/>
  <c r="K25" i="10" s="1"/>
  <c r="I24" i="10"/>
  <c r="K24" i="10" s="1"/>
  <c r="I23" i="10"/>
  <c r="I22" i="10"/>
  <c r="J21" i="10"/>
  <c r="J10" i="10" s="1"/>
  <c r="J20" i="10"/>
  <c r="L14" i="10"/>
  <c r="N14" i="10" s="1"/>
  <c r="L13" i="10"/>
  <c r="N13" i="10" s="1"/>
  <c r="M12" i="10"/>
  <c r="L12" i="10"/>
  <c r="N12" i="10" s="1"/>
  <c r="N11" i="10"/>
  <c r="M9" i="10"/>
  <c r="J9" i="10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17" i="9"/>
  <c r="I517" i="9"/>
  <c r="J514" i="9"/>
  <c r="I514" i="9"/>
  <c r="J513" i="9"/>
  <c r="I513" i="9"/>
  <c r="K519" i="9" s="1"/>
  <c r="J510" i="9"/>
  <c r="I510" i="9"/>
  <c r="J504" i="9"/>
  <c r="I504" i="9"/>
  <c r="K509" i="9" s="1"/>
  <c r="M494" i="9"/>
  <c r="L494" i="9"/>
  <c r="L493" i="9"/>
  <c r="N493" i="9" s="1"/>
  <c r="N491" i="9"/>
  <c r="J490" i="9"/>
  <c r="J489" i="9"/>
  <c r="I489" i="9"/>
  <c r="K489" i="9" s="1"/>
  <c r="J488" i="9"/>
  <c r="J473" i="9" s="1"/>
  <c r="I488" i="9"/>
  <c r="J487" i="9"/>
  <c r="I487" i="9"/>
  <c r="K487" i="9" s="1"/>
  <c r="J486" i="9"/>
  <c r="I486" i="9"/>
  <c r="J485" i="9"/>
  <c r="I485" i="9"/>
  <c r="K485" i="9" s="1"/>
  <c r="J484" i="9"/>
  <c r="I484" i="9"/>
  <c r="I473" i="9" s="1"/>
  <c r="J483" i="9"/>
  <c r="I483" i="9"/>
  <c r="K483" i="9" s="1"/>
  <c r="J482" i="9"/>
  <c r="I482" i="9"/>
  <c r="M477" i="9"/>
  <c r="L477" i="9"/>
  <c r="L476" i="9"/>
  <c r="N476" i="9" s="1"/>
  <c r="M475" i="9"/>
  <c r="M473" i="9" s="1"/>
  <c r="N474" i="9"/>
  <c r="K472" i="9"/>
  <c r="K471" i="9"/>
  <c r="K470" i="9"/>
  <c r="K469" i="9"/>
  <c r="K468" i="9"/>
  <c r="J466" i="9"/>
  <c r="J457" i="9" s="1"/>
  <c r="I466" i="9"/>
  <c r="M461" i="9"/>
  <c r="L461" i="9"/>
  <c r="N461" i="9" s="1"/>
  <c r="L460" i="9"/>
  <c r="N460" i="9" s="1"/>
  <c r="M459" i="9"/>
  <c r="N458" i="9"/>
  <c r="M457" i="9"/>
  <c r="I456" i="9"/>
  <c r="K456" i="9" s="1"/>
  <c r="I455" i="9"/>
  <c r="K455" i="9" s="1"/>
  <c r="I454" i="9"/>
  <c r="K454" i="9" s="1"/>
  <c r="I453" i="9"/>
  <c r="K453" i="9" s="1"/>
  <c r="M448" i="9"/>
  <c r="M446" i="9" s="1"/>
  <c r="M444" i="9" s="1"/>
  <c r="L448" i="9"/>
  <c r="N448" i="9" s="1"/>
  <c r="L447" i="9"/>
  <c r="N445" i="9"/>
  <c r="J444" i="9"/>
  <c r="I441" i="9"/>
  <c r="K441" i="9" s="1"/>
  <c r="I440" i="9"/>
  <c r="M430" i="9"/>
  <c r="L430" i="9"/>
  <c r="L429" i="9"/>
  <c r="N429" i="9" s="1"/>
  <c r="N427" i="9"/>
  <c r="J426" i="9"/>
  <c r="K425" i="9"/>
  <c r="K424" i="9"/>
  <c r="K423" i="9"/>
  <c r="K422" i="9"/>
  <c r="K421" i="9"/>
  <c r="K420" i="9"/>
  <c r="J419" i="9"/>
  <c r="J418" i="9"/>
  <c r="K417" i="9"/>
  <c r="J417" i="9"/>
  <c r="I419" i="9" s="1"/>
  <c r="K419" i="9" s="1"/>
  <c r="K416" i="9"/>
  <c r="J416" i="9"/>
  <c r="I418" i="9" s="1"/>
  <c r="K418" i="9" s="1"/>
  <c r="K415" i="9"/>
  <c r="J415" i="9"/>
  <c r="K414" i="9"/>
  <c r="J414" i="9"/>
  <c r="K413" i="9"/>
  <c r="J413" i="9"/>
  <c r="K412" i="9"/>
  <c r="J412" i="9"/>
  <c r="I411" i="9"/>
  <c r="K411" i="9" s="1"/>
  <c r="I410" i="9"/>
  <c r="K410" i="9" s="1"/>
  <c r="I409" i="9"/>
  <c r="K409" i="9" s="1"/>
  <c r="K408" i="9"/>
  <c r="K407" i="9"/>
  <c r="K406" i="9"/>
  <c r="K405" i="9"/>
  <c r="K404" i="9"/>
  <c r="K403" i="9"/>
  <c r="K402" i="9"/>
  <c r="J402" i="9"/>
  <c r="K401" i="9"/>
  <c r="J401" i="9"/>
  <c r="J391" i="9" s="1"/>
  <c r="J390" i="9" s="1"/>
  <c r="K400" i="9"/>
  <c r="K399" i="9"/>
  <c r="K398" i="9"/>
  <c r="K397" i="9"/>
  <c r="K396" i="9"/>
  <c r="K395" i="9"/>
  <c r="K394" i="9"/>
  <c r="J394" i="9"/>
  <c r="J392" i="9" s="1"/>
  <c r="K393" i="9"/>
  <c r="J393" i="9"/>
  <c r="I392" i="9"/>
  <c r="I391" i="9"/>
  <c r="I390" i="9"/>
  <c r="K390" i="9" s="1"/>
  <c r="K389" i="9"/>
  <c r="K388" i="9"/>
  <c r="K387" i="9"/>
  <c r="K386" i="9"/>
  <c r="K385" i="9"/>
  <c r="K384" i="9"/>
  <c r="K383" i="9"/>
  <c r="J383" i="9"/>
  <c r="K382" i="9"/>
  <c r="J382" i="9"/>
  <c r="J376" i="9" s="1"/>
  <c r="J359" i="9" s="1"/>
  <c r="K381" i="9"/>
  <c r="K380" i="9"/>
  <c r="K379" i="9"/>
  <c r="K378" i="9"/>
  <c r="J377" i="9"/>
  <c r="K375" i="9"/>
  <c r="K374" i="9"/>
  <c r="K373" i="9"/>
  <c r="K372" i="9"/>
  <c r="K371" i="9"/>
  <c r="K370" i="9"/>
  <c r="J369" i="9"/>
  <c r="J368" i="9"/>
  <c r="K367" i="9"/>
  <c r="K366" i="9"/>
  <c r="K365" i="9"/>
  <c r="K364" i="9"/>
  <c r="K363" i="9"/>
  <c r="K362" i="9"/>
  <c r="J361" i="9"/>
  <c r="I361" i="9"/>
  <c r="J360" i="9"/>
  <c r="I360" i="9"/>
  <c r="K360" i="9" s="1"/>
  <c r="I359" i="9"/>
  <c r="I368" i="9" s="1"/>
  <c r="K368" i="9" s="1"/>
  <c r="M354" i="9"/>
  <c r="L354" i="9"/>
  <c r="L353" i="9"/>
  <c r="N353" i="9" s="1"/>
  <c r="N351" i="9"/>
  <c r="J350" i="9"/>
  <c r="I347" i="9"/>
  <c r="K347" i="9" s="1"/>
  <c r="I346" i="9"/>
  <c r="K346" i="9" s="1"/>
  <c r="I345" i="9"/>
  <c r="K345" i="9" s="1"/>
  <c r="J344" i="9"/>
  <c r="M334" i="9"/>
  <c r="L334" i="9"/>
  <c r="L333" i="9"/>
  <c r="N333" i="9" s="1"/>
  <c r="N331" i="9"/>
  <c r="J330" i="9"/>
  <c r="I327" i="9"/>
  <c r="I326" i="9"/>
  <c r="K326" i="9" s="1"/>
  <c r="I324" i="9"/>
  <c r="K324" i="9" s="1"/>
  <c r="I323" i="9"/>
  <c r="I322" i="9"/>
  <c r="K322" i="9" s="1"/>
  <c r="I321" i="9"/>
  <c r="I320" i="9"/>
  <c r="I319" i="9"/>
  <c r="K319" i="9" s="1"/>
  <c r="I318" i="9"/>
  <c r="K318" i="9" s="1"/>
  <c r="I317" i="9"/>
  <c r="K317" i="9" s="1"/>
  <c r="I316" i="9"/>
  <c r="I315" i="9"/>
  <c r="K315" i="9" s="1"/>
  <c r="I314" i="9"/>
  <c r="I313" i="9"/>
  <c r="K313" i="9" s="1"/>
  <c r="I312" i="9"/>
  <c r="M301" i="9"/>
  <c r="L301" i="9"/>
  <c r="N301" i="9" s="1"/>
  <c r="L300" i="9"/>
  <c r="N300" i="9" s="1"/>
  <c r="M299" i="9"/>
  <c r="M296" i="9" s="1"/>
  <c r="N298" i="9"/>
  <c r="J296" i="9"/>
  <c r="I293" i="9"/>
  <c r="K293" i="9" s="1"/>
  <c r="I292" i="9"/>
  <c r="K292" i="9" s="1"/>
  <c r="I291" i="9"/>
  <c r="K291" i="9" s="1"/>
  <c r="M280" i="9"/>
  <c r="L280" i="9"/>
  <c r="N280" i="9" s="1"/>
  <c r="L279" i="9"/>
  <c r="M278" i="9"/>
  <c r="M275" i="9" s="1"/>
  <c r="N277" i="9"/>
  <c r="J276" i="9"/>
  <c r="J275" i="9"/>
  <c r="I272" i="9"/>
  <c r="I271" i="9"/>
  <c r="K271" i="9" s="1"/>
  <c r="J270" i="9"/>
  <c r="J244" i="9" s="1"/>
  <c r="I268" i="9"/>
  <c r="K268" i="9" s="1"/>
  <c r="I266" i="9"/>
  <c r="K266" i="9" s="1"/>
  <c r="I264" i="9"/>
  <c r="J263" i="9"/>
  <c r="I263" i="9"/>
  <c r="K263" i="9" s="1"/>
  <c r="J262" i="9"/>
  <c r="I260" i="9"/>
  <c r="K260" i="9" s="1"/>
  <c r="J259" i="9"/>
  <c r="M249" i="9"/>
  <c r="L249" i="9"/>
  <c r="N249" i="9" s="1"/>
  <c r="L248" i="9"/>
  <c r="N248" i="9" s="1"/>
  <c r="M247" i="9"/>
  <c r="M244" i="9" s="1"/>
  <c r="N246" i="9"/>
  <c r="J245" i="9"/>
  <c r="K241" i="9"/>
  <c r="J241" i="9"/>
  <c r="J240" i="9"/>
  <c r="J228" i="9" s="1"/>
  <c r="I240" i="9"/>
  <c r="K239" i="9"/>
  <c r="J239" i="9"/>
  <c r="J238" i="9"/>
  <c r="I238" i="9"/>
  <c r="K237" i="9"/>
  <c r="J237" i="9"/>
  <c r="J236" i="9"/>
  <c r="I236" i="9"/>
  <c r="J235" i="9"/>
  <c r="I235" i="9"/>
  <c r="K234" i="9"/>
  <c r="J234" i="9"/>
  <c r="L232" i="9"/>
  <c r="N232" i="9" s="1"/>
  <c r="L231" i="9"/>
  <c r="M230" i="9"/>
  <c r="N229" i="9"/>
  <c r="M228" i="9"/>
  <c r="I224" i="9"/>
  <c r="I214" i="9" s="1"/>
  <c r="K214" i="9" s="1"/>
  <c r="L218" i="9"/>
  <c r="N217" i="9"/>
  <c r="M216" i="9"/>
  <c r="N215" i="9"/>
  <c r="M214" i="9"/>
  <c r="J214" i="9"/>
  <c r="I211" i="9"/>
  <c r="K211" i="9" s="1"/>
  <c r="I209" i="9"/>
  <c r="K209" i="9" s="1"/>
  <c r="L203" i="9"/>
  <c r="N202" i="9"/>
  <c r="M201" i="9"/>
  <c r="N200" i="9"/>
  <c r="M199" i="9"/>
  <c r="J199" i="9"/>
  <c r="I195" i="9"/>
  <c r="L189" i="9"/>
  <c r="N189" i="9" s="1"/>
  <c r="L188" i="9"/>
  <c r="M187" i="9"/>
  <c r="N186" i="9"/>
  <c r="M185" i="9"/>
  <c r="J185" i="9"/>
  <c r="I182" i="9"/>
  <c r="K182" i="9" s="1"/>
  <c r="I181" i="9"/>
  <c r="K181" i="9" s="1"/>
  <c r="I180" i="9"/>
  <c r="K180" i="9" s="1"/>
  <c r="I179" i="9"/>
  <c r="K179" i="9" s="1"/>
  <c r="L173" i="9"/>
  <c r="N173" i="9" s="1"/>
  <c r="L172" i="9"/>
  <c r="N172" i="9" s="1"/>
  <c r="M171" i="9"/>
  <c r="N170" i="9"/>
  <c r="M169" i="9"/>
  <c r="J169" i="9"/>
  <c r="K164" i="9"/>
  <c r="K158" i="9"/>
  <c r="J158" i="9"/>
  <c r="I158" i="9"/>
  <c r="I155" i="9"/>
  <c r="K155" i="9" s="1"/>
  <c r="J149" i="9"/>
  <c r="J144" i="9" s="1"/>
  <c r="L148" i="9"/>
  <c r="N148" i="9" s="1"/>
  <c r="N147" i="9"/>
  <c r="M146" i="9"/>
  <c r="N145" i="9"/>
  <c r="M144" i="9"/>
  <c r="L141" i="9"/>
  <c r="N141" i="9" s="1"/>
  <c r="I141" i="9"/>
  <c r="K141" i="9" s="1"/>
  <c r="L140" i="9"/>
  <c r="N140" i="9" s="1"/>
  <c r="I140" i="9"/>
  <c r="K140" i="9" s="1"/>
  <c r="L138" i="9"/>
  <c r="N138" i="9" s="1"/>
  <c r="I138" i="9"/>
  <c r="K138" i="9" s="1"/>
  <c r="L132" i="9"/>
  <c r="M131" i="9"/>
  <c r="N130" i="9"/>
  <c r="M129" i="9"/>
  <c r="J129" i="9"/>
  <c r="L126" i="9"/>
  <c r="N126" i="9" s="1"/>
  <c r="I126" i="9"/>
  <c r="K126" i="9" s="1"/>
  <c r="L125" i="9"/>
  <c r="N125" i="9" s="1"/>
  <c r="I125" i="9"/>
  <c r="I114" i="9" s="1"/>
  <c r="K114" i="9" s="1"/>
  <c r="I124" i="9"/>
  <c r="K124" i="9" s="1"/>
  <c r="L117" i="9"/>
  <c r="N117" i="9" s="1"/>
  <c r="M116" i="9"/>
  <c r="N115" i="9"/>
  <c r="M114" i="9"/>
  <c r="J114" i="9"/>
  <c r="L111" i="9"/>
  <c r="N111" i="9" s="1"/>
  <c r="I111" i="9"/>
  <c r="I101" i="9" s="1"/>
  <c r="K101" i="9" s="1"/>
  <c r="L110" i="9"/>
  <c r="N110" i="9" s="1"/>
  <c r="I110" i="9"/>
  <c r="K110" i="9" s="1"/>
  <c r="L104" i="9"/>
  <c r="N104" i="9" s="1"/>
  <c r="M103" i="9"/>
  <c r="N102" i="9"/>
  <c r="M101" i="9"/>
  <c r="J101" i="9"/>
  <c r="L98" i="9"/>
  <c r="N98" i="9" s="1"/>
  <c r="I98" i="9"/>
  <c r="L92" i="9"/>
  <c r="M91" i="9"/>
  <c r="N90" i="9"/>
  <c r="M89" i="9"/>
  <c r="J89" i="9"/>
  <c r="J84" i="9"/>
  <c r="I83" i="9"/>
  <c r="K83" i="9" s="1"/>
  <c r="L77" i="9"/>
  <c r="L76" i="9" s="1"/>
  <c r="L74" i="9" s="1"/>
  <c r="M76" i="9"/>
  <c r="N75" i="9"/>
  <c r="J74" i="9"/>
  <c r="M73" i="9"/>
  <c r="L72" i="9"/>
  <c r="N72" i="9" s="1"/>
  <c r="M71" i="9"/>
  <c r="N70" i="9"/>
  <c r="M68" i="9"/>
  <c r="J68" i="9"/>
  <c r="I62" i="9"/>
  <c r="I63" i="9" s="1"/>
  <c r="K63" i="9" s="1"/>
  <c r="L56" i="9"/>
  <c r="N56" i="9" s="1"/>
  <c r="L55" i="9"/>
  <c r="N55" i="9" s="1"/>
  <c r="M54" i="9"/>
  <c r="N53" i="9"/>
  <c r="M52" i="9"/>
  <c r="J52" i="9"/>
  <c r="I48" i="9"/>
  <c r="K48" i="9" s="1"/>
  <c r="I47" i="9"/>
  <c r="K47" i="9" s="1"/>
  <c r="I46" i="9"/>
  <c r="K46" i="9" s="1"/>
  <c r="I45" i="9"/>
  <c r="K45" i="9" s="1"/>
  <c r="I44" i="9"/>
  <c r="K44" i="9" s="1"/>
  <c r="I43" i="9"/>
  <c r="K43" i="9" s="1"/>
  <c r="L37" i="9"/>
  <c r="N37" i="9" s="1"/>
  <c r="L36" i="9"/>
  <c r="N36" i="9" s="1"/>
  <c r="M35" i="9"/>
  <c r="M32" i="9" s="1"/>
  <c r="L35" i="9"/>
  <c r="N34" i="9"/>
  <c r="J33" i="9"/>
  <c r="J32" i="9"/>
  <c r="I28" i="9"/>
  <c r="K28" i="9" s="1"/>
  <c r="I27" i="9"/>
  <c r="K27" i="9" s="1"/>
  <c r="I26" i="9"/>
  <c r="K26" i="9" s="1"/>
  <c r="I25" i="9"/>
  <c r="K25" i="9" s="1"/>
  <c r="I24" i="9"/>
  <c r="K24" i="9" s="1"/>
  <c r="I23" i="9"/>
  <c r="K23" i="9" s="1"/>
  <c r="I22" i="9"/>
  <c r="J21" i="9"/>
  <c r="J20" i="9"/>
  <c r="J9" i="9" s="1"/>
  <c r="L14" i="9"/>
  <c r="N14" i="9" s="1"/>
  <c r="L13" i="9"/>
  <c r="N13" i="9" s="1"/>
  <c r="M12" i="9"/>
  <c r="M9" i="9" s="1"/>
  <c r="M6" i="9" s="1"/>
  <c r="L12" i="9"/>
  <c r="L9" i="9" s="1"/>
  <c r="N11" i="9"/>
  <c r="J10" i="9"/>
  <c r="J528" i="8"/>
  <c r="I528" i="8"/>
  <c r="J527" i="8"/>
  <c r="I527" i="8"/>
  <c r="J526" i="8"/>
  <c r="I526" i="8"/>
  <c r="K526" i="8" s="1"/>
  <c r="J525" i="8"/>
  <c r="I525" i="8"/>
  <c r="K525" i="8" s="1"/>
  <c r="J524" i="8"/>
  <c r="I524" i="8"/>
  <c r="J523" i="8"/>
  <c r="I523" i="8"/>
  <c r="J522" i="8"/>
  <c r="I522" i="8"/>
  <c r="J521" i="8"/>
  <c r="I521" i="8"/>
  <c r="J517" i="8"/>
  <c r="I517" i="8"/>
  <c r="J514" i="8"/>
  <c r="J513" i="8" s="1"/>
  <c r="I514" i="8"/>
  <c r="I513" i="8"/>
  <c r="J510" i="8"/>
  <c r="I510" i="8"/>
  <c r="J504" i="8"/>
  <c r="J490" i="8" s="1"/>
  <c r="I504" i="8"/>
  <c r="K506" i="8" s="1"/>
  <c r="M494" i="8"/>
  <c r="L494" i="8"/>
  <c r="N494" i="8" s="1"/>
  <c r="L493" i="8"/>
  <c r="M492" i="8"/>
  <c r="N491" i="8"/>
  <c r="M490" i="8"/>
  <c r="J489" i="8"/>
  <c r="I489" i="8"/>
  <c r="K489" i="8" s="1"/>
  <c r="J488" i="8"/>
  <c r="I488" i="8"/>
  <c r="J487" i="8"/>
  <c r="I487" i="8"/>
  <c r="K487" i="8" s="1"/>
  <c r="J486" i="8"/>
  <c r="I486" i="8"/>
  <c r="J485" i="8"/>
  <c r="I485" i="8"/>
  <c r="K485" i="8" s="1"/>
  <c r="J484" i="8"/>
  <c r="I484" i="8"/>
  <c r="I473" i="8" s="1"/>
  <c r="J483" i="8"/>
  <c r="I483" i="8"/>
  <c r="K483" i="8" s="1"/>
  <c r="J482" i="8"/>
  <c r="I482" i="8"/>
  <c r="M477" i="8"/>
  <c r="M475" i="8" s="1"/>
  <c r="M473" i="8" s="1"/>
  <c r="L477" i="8"/>
  <c r="N477" i="8" s="1"/>
  <c r="L476" i="8"/>
  <c r="N474" i="8"/>
  <c r="K472" i="8"/>
  <c r="K471" i="8"/>
  <c r="K470" i="8"/>
  <c r="K469" i="8"/>
  <c r="K468" i="8"/>
  <c r="J466" i="8"/>
  <c r="I466" i="8"/>
  <c r="K466" i="8" s="1"/>
  <c r="M461" i="8"/>
  <c r="L461" i="8"/>
  <c r="L460" i="8"/>
  <c r="N460" i="8" s="1"/>
  <c r="N458" i="8"/>
  <c r="J457" i="8"/>
  <c r="I456" i="8"/>
  <c r="K456" i="8" s="1"/>
  <c r="I455" i="8"/>
  <c r="K455" i="8" s="1"/>
  <c r="I454" i="8"/>
  <c r="K454" i="8" s="1"/>
  <c r="I453" i="8"/>
  <c r="M448" i="8"/>
  <c r="L448" i="8"/>
  <c r="L447" i="8"/>
  <c r="N447" i="8" s="1"/>
  <c r="M446" i="8"/>
  <c r="N445" i="8"/>
  <c r="M444" i="8"/>
  <c r="J444" i="8"/>
  <c r="I441" i="8"/>
  <c r="K441" i="8" s="1"/>
  <c r="I440" i="8"/>
  <c r="M430" i="8"/>
  <c r="L430" i="8"/>
  <c r="N430" i="8" s="1"/>
  <c r="L429" i="8"/>
  <c r="N429" i="8" s="1"/>
  <c r="M428" i="8"/>
  <c r="N427" i="8"/>
  <c r="M426" i="8"/>
  <c r="J426" i="8"/>
  <c r="K425" i="8"/>
  <c r="K424" i="8"/>
  <c r="K423" i="8"/>
  <c r="K422" i="8"/>
  <c r="K421" i="8"/>
  <c r="K420" i="8"/>
  <c r="J419" i="8"/>
  <c r="J418" i="8"/>
  <c r="K417" i="8"/>
  <c r="J417" i="8"/>
  <c r="I419" i="8" s="1"/>
  <c r="K419" i="8" s="1"/>
  <c r="K416" i="8"/>
  <c r="J416" i="8"/>
  <c r="I418" i="8" s="1"/>
  <c r="K418" i="8" s="1"/>
  <c r="K415" i="8"/>
  <c r="J415" i="8"/>
  <c r="K414" i="8"/>
  <c r="J414" i="8"/>
  <c r="K413" i="8"/>
  <c r="J413" i="8"/>
  <c r="K412" i="8"/>
  <c r="J412" i="8"/>
  <c r="I411" i="8"/>
  <c r="K411" i="8" s="1"/>
  <c r="I410" i="8"/>
  <c r="K410" i="8" s="1"/>
  <c r="I409" i="8"/>
  <c r="K409" i="8" s="1"/>
  <c r="K408" i="8"/>
  <c r="K407" i="8"/>
  <c r="K406" i="8"/>
  <c r="K405" i="8"/>
  <c r="K404" i="8"/>
  <c r="K403" i="8"/>
  <c r="K402" i="8"/>
  <c r="J402" i="8"/>
  <c r="J392" i="8" s="1"/>
  <c r="K401" i="8"/>
  <c r="J401" i="8"/>
  <c r="K400" i="8"/>
  <c r="K399" i="8"/>
  <c r="K398" i="8"/>
  <c r="K397" i="8"/>
  <c r="K396" i="8"/>
  <c r="K395" i="8"/>
  <c r="K394" i="8"/>
  <c r="J394" i="8"/>
  <c r="K393" i="8"/>
  <c r="J393" i="8"/>
  <c r="J391" i="8" s="1"/>
  <c r="J390" i="8" s="1"/>
  <c r="I392" i="8"/>
  <c r="K392" i="8" s="1"/>
  <c r="I391" i="8"/>
  <c r="K391" i="8" s="1"/>
  <c r="I390" i="8"/>
  <c r="K390" i="8" s="1"/>
  <c r="K389" i="8"/>
  <c r="K388" i="8"/>
  <c r="K387" i="8"/>
  <c r="K386" i="8"/>
  <c r="K385" i="8"/>
  <c r="K384" i="8"/>
  <c r="K383" i="8"/>
  <c r="J383" i="8"/>
  <c r="K382" i="8"/>
  <c r="J382" i="8"/>
  <c r="K381" i="8"/>
  <c r="K380" i="8"/>
  <c r="K379" i="8"/>
  <c r="K378" i="8"/>
  <c r="J377" i="8"/>
  <c r="J376" i="8"/>
  <c r="J359" i="8" s="1"/>
  <c r="J350" i="8" s="1"/>
  <c r="K375" i="8"/>
  <c r="K374" i="8"/>
  <c r="K373" i="8"/>
  <c r="K372" i="8"/>
  <c r="K371" i="8"/>
  <c r="K370" i="8"/>
  <c r="J369" i="8"/>
  <c r="J368" i="8"/>
  <c r="K367" i="8"/>
  <c r="K366" i="8"/>
  <c r="K365" i="8"/>
  <c r="K364" i="8"/>
  <c r="K363" i="8"/>
  <c r="K362" i="8"/>
  <c r="J361" i="8"/>
  <c r="I361" i="8"/>
  <c r="J360" i="8"/>
  <c r="I360" i="8"/>
  <c r="I359" i="8"/>
  <c r="M354" i="8"/>
  <c r="L354" i="8"/>
  <c r="N354" i="8" s="1"/>
  <c r="L353" i="8"/>
  <c r="M352" i="8"/>
  <c r="N351" i="8"/>
  <c r="M350" i="8"/>
  <c r="I347" i="8"/>
  <c r="K347" i="8" s="1"/>
  <c r="I346" i="8"/>
  <c r="K346" i="8" s="1"/>
  <c r="I345" i="8"/>
  <c r="J344" i="8"/>
  <c r="J330" i="8" s="1"/>
  <c r="M334" i="8"/>
  <c r="L334" i="8"/>
  <c r="N334" i="8" s="1"/>
  <c r="L333" i="8"/>
  <c r="N333" i="8" s="1"/>
  <c r="M332" i="8"/>
  <c r="N331" i="8"/>
  <c r="M330" i="8"/>
  <c r="I327" i="8"/>
  <c r="K327" i="8" s="1"/>
  <c r="I326" i="8"/>
  <c r="I324" i="8"/>
  <c r="I323" i="8"/>
  <c r="K323" i="8" s="1"/>
  <c r="I322" i="8"/>
  <c r="K322" i="8" s="1"/>
  <c r="I321" i="8"/>
  <c r="I320" i="8"/>
  <c r="K320" i="8" s="1"/>
  <c r="I319" i="8"/>
  <c r="I318" i="8"/>
  <c r="K318" i="8" s="1"/>
  <c r="I317" i="8"/>
  <c r="K317" i="8" s="1"/>
  <c r="I316" i="8"/>
  <c r="I315" i="8"/>
  <c r="I314" i="8"/>
  <c r="K314" i="8" s="1"/>
  <c r="I313" i="8"/>
  <c r="K313" i="8" s="1"/>
  <c r="I312" i="8"/>
  <c r="M301" i="8"/>
  <c r="L301" i="8"/>
  <c r="L300" i="8"/>
  <c r="N300" i="8" s="1"/>
  <c r="N298" i="8"/>
  <c r="J296" i="8"/>
  <c r="I293" i="8"/>
  <c r="K293" i="8" s="1"/>
  <c r="I292" i="8"/>
  <c r="I291" i="8"/>
  <c r="M280" i="8"/>
  <c r="L280" i="8"/>
  <c r="L279" i="8"/>
  <c r="N277" i="8"/>
  <c r="J276" i="8"/>
  <c r="J275" i="8"/>
  <c r="I272" i="8"/>
  <c r="K272" i="8" s="1"/>
  <c r="I271" i="8"/>
  <c r="J270" i="8"/>
  <c r="I268" i="8"/>
  <c r="K268" i="8" s="1"/>
  <c r="I266" i="8"/>
  <c r="I264" i="8"/>
  <c r="K264" i="8" s="1"/>
  <c r="J263" i="8"/>
  <c r="I263" i="8"/>
  <c r="J262" i="8"/>
  <c r="I260" i="8"/>
  <c r="K260" i="8" s="1"/>
  <c r="M249" i="8"/>
  <c r="L249" i="8"/>
  <c r="L248" i="8"/>
  <c r="N246" i="8"/>
  <c r="J244" i="8"/>
  <c r="K241" i="8"/>
  <c r="J241" i="8"/>
  <c r="J240" i="8"/>
  <c r="J228" i="8" s="1"/>
  <c r="I240" i="8"/>
  <c r="K239" i="8"/>
  <c r="J239" i="8"/>
  <c r="J238" i="8"/>
  <c r="I238" i="8"/>
  <c r="K237" i="8"/>
  <c r="J237" i="8"/>
  <c r="J236" i="8"/>
  <c r="I236" i="8"/>
  <c r="J235" i="8"/>
  <c r="I235" i="8"/>
  <c r="K234" i="8"/>
  <c r="J234" i="8"/>
  <c r="L232" i="8"/>
  <c r="N232" i="8" s="1"/>
  <c r="L231" i="8"/>
  <c r="M230" i="8"/>
  <c r="N229" i="8"/>
  <c r="M228" i="8"/>
  <c r="I224" i="8"/>
  <c r="K224" i="8" s="1"/>
  <c r="L218" i="8"/>
  <c r="N218" i="8" s="1"/>
  <c r="N217" i="8"/>
  <c r="M216" i="8"/>
  <c r="N215" i="8"/>
  <c r="M214" i="8"/>
  <c r="J214" i="8"/>
  <c r="I211" i="8"/>
  <c r="K211" i="8" s="1"/>
  <c r="I209" i="8"/>
  <c r="L203" i="8"/>
  <c r="L201" i="8" s="1"/>
  <c r="N202" i="8"/>
  <c r="M201" i="8"/>
  <c r="N200" i="8"/>
  <c r="M199" i="8"/>
  <c r="J199" i="8"/>
  <c r="I195" i="8"/>
  <c r="L189" i="8"/>
  <c r="N189" i="8" s="1"/>
  <c r="L188" i="8"/>
  <c r="M187" i="8"/>
  <c r="M185" i="8" s="1"/>
  <c r="N186" i="8"/>
  <c r="J185" i="8"/>
  <c r="I182" i="8"/>
  <c r="K182" i="8" s="1"/>
  <c r="I181" i="8"/>
  <c r="K181" i="8" s="1"/>
  <c r="I180" i="8"/>
  <c r="K180" i="8" s="1"/>
  <c r="I179" i="8"/>
  <c r="K179" i="8" s="1"/>
  <c r="L173" i="8"/>
  <c r="N173" i="8" s="1"/>
  <c r="L172" i="8"/>
  <c r="N172" i="8" s="1"/>
  <c r="M171" i="8"/>
  <c r="M169" i="8" s="1"/>
  <c r="N170" i="8"/>
  <c r="J169" i="8"/>
  <c r="K164" i="8"/>
  <c r="K158" i="8"/>
  <c r="J158" i="8"/>
  <c r="I158" i="8"/>
  <c r="I155" i="8"/>
  <c r="I149" i="8" s="1"/>
  <c r="K149" i="8" s="1"/>
  <c r="J149" i="8"/>
  <c r="J144" i="8" s="1"/>
  <c r="L148" i="8"/>
  <c r="N147" i="8"/>
  <c r="M146" i="8"/>
  <c r="N145" i="8"/>
  <c r="L141" i="8"/>
  <c r="N141" i="8" s="1"/>
  <c r="I141" i="8"/>
  <c r="K141" i="8" s="1"/>
  <c r="L140" i="8"/>
  <c r="N140" i="8" s="1"/>
  <c r="I140" i="8"/>
  <c r="K140" i="8" s="1"/>
  <c r="L138" i="8"/>
  <c r="N138" i="8" s="1"/>
  <c r="I138" i="8"/>
  <c r="L132" i="8"/>
  <c r="M131" i="8"/>
  <c r="M129" i="8" s="1"/>
  <c r="N130" i="8"/>
  <c r="J129" i="8"/>
  <c r="L126" i="8"/>
  <c r="N126" i="8" s="1"/>
  <c r="I126" i="8"/>
  <c r="K126" i="8" s="1"/>
  <c r="L125" i="8"/>
  <c r="N125" i="8" s="1"/>
  <c r="I125" i="8"/>
  <c r="I124" i="8"/>
  <c r="K124" i="8" s="1"/>
  <c r="L117" i="8"/>
  <c r="M116" i="8"/>
  <c r="M114" i="8" s="1"/>
  <c r="N115" i="8"/>
  <c r="J114" i="8"/>
  <c r="L111" i="8"/>
  <c r="N111" i="8" s="1"/>
  <c r="I111" i="8"/>
  <c r="K111" i="8" s="1"/>
  <c r="L110" i="8"/>
  <c r="N110" i="8" s="1"/>
  <c r="I110" i="8"/>
  <c r="K110" i="8" s="1"/>
  <c r="L104" i="8"/>
  <c r="M103" i="8"/>
  <c r="M101" i="8" s="1"/>
  <c r="N102" i="8"/>
  <c r="J101" i="8"/>
  <c r="L98" i="8"/>
  <c r="N98" i="8" s="1"/>
  <c r="I98" i="8"/>
  <c r="L92" i="8"/>
  <c r="M91" i="8"/>
  <c r="N90" i="8"/>
  <c r="M89" i="8"/>
  <c r="J89" i="8"/>
  <c r="J84" i="8"/>
  <c r="I83" i="8"/>
  <c r="K83" i="8" s="1"/>
  <c r="L77" i="8"/>
  <c r="L76" i="8" s="1"/>
  <c r="M76" i="8"/>
  <c r="N75" i="8"/>
  <c r="M74" i="8"/>
  <c r="J74" i="8"/>
  <c r="M73" i="8"/>
  <c r="L72" i="8"/>
  <c r="M71" i="8"/>
  <c r="N70" i="8"/>
  <c r="M68" i="8"/>
  <c r="J68" i="8"/>
  <c r="I62" i="8"/>
  <c r="K62" i="8" s="1"/>
  <c r="L56" i="8"/>
  <c r="N56" i="8" s="1"/>
  <c r="L55" i="8"/>
  <c r="M54" i="8"/>
  <c r="M52" i="8" s="1"/>
  <c r="N53" i="8"/>
  <c r="J52" i="8"/>
  <c r="I48" i="8"/>
  <c r="I33" i="8" s="1"/>
  <c r="K33" i="8" s="1"/>
  <c r="I47" i="8"/>
  <c r="K47" i="8" s="1"/>
  <c r="I46" i="8"/>
  <c r="K46" i="8" s="1"/>
  <c r="I45" i="8"/>
  <c r="K45" i="8" s="1"/>
  <c r="I44" i="8"/>
  <c r="K44" i="8" s="1"/>
  <c r="I43" i="8"/>
  <c r="K43" i="8" s="1"/>
  <c r="L37" i="8"/>
  <c r="N37" i="8" s="1"/>
  <c r="L36" i="8"/>
  <c r="N36" i="8" s="1"/>
  <c r="M35" i="8"/>
  <c r="L35" i="8"/>
  <c r="N34" i="8"/>
  <c r="J33" i="8"/>
  <c r="M32" i="8"/>
  <c r="J32" i="8"/>
  <c r="K28" i="8"/>
  <c r="I27" i="8"/>
  <c r="K27" i="8" s="1"/>
  <c r="I26" i="8"/>
  <c r="K26" i="8" s="1"/>
  <c r="I25" i="8"/>
  <c r="K25" i="8" s="1"/>
  <c r="I24" i="8"/>
  <c r="K24" i="8" s="1"/>
  <c r="I23" i="8"/>
  <c r="I22" i="8"/>
  <c r="J21" i="8"/>
  <c r="J10" i="8" s="1"/>
  <c r="J20" i="8"/>
  <c r="L14" i="8"/>
  <c r="N14" i="8" s="1"/>
  <c r="L13" i="8"/>
  <c r="N13" i="8" s="1"/>
  <c r="M12" i="8"/>
  <c r="L12" i="8"/>
  <c r="L9" i="8" s="1"/>
  <c r="N11" i="8"/>
  <c r="J9" i="8"/>
  <c r="J528" i="7"/>
  <c r="I528" i="7"/>
  <c r="J527" i="7"/>
  <c r="I527" i="7"/>
  <c r="J526" i="7"/>
  <c r="I526" i="7"/>
  <c r="K526" i="7" s="1"/>
  <c r="J525" i="7"/>
  <c r="I525" i="7"/>
  <c r="K525" i="7" s="1"/>
  <c r="J524" i="7"/>
  <c r="I524" i="7"/>
  <c r="J523" i="7"/>
  <c r="I523" i="7"/>
  <c r="J522" i="7"/>
  <c r="I522" i="7"/>
  <c r="J521" i="7"/>
  <c r="I521" i="7"/>
  <c r="J517" i="7"/>
  <c r="I517" i="7"/>
  <c r="J514" i="7"/>
  <c r="I514" i="7"/>
  <c r="J513" i="7"/>
  <c r="I513" i="7"/>
  <c r="K518" i="7" s="1"/>
  <c r="J510" i="7"/>
  <c r="I510" i="7"/>
  <c r="J504" i="7"/>
  <c r="I504" i="7"/>
  <c r="K507" i="7" s="1"/>
  <c r="M494" i="7"/>
  <c r="M492" i="7" s="1"/>
  <c r="M490" i="7" s="1"/>
  <c r="L494" i="7"/>
  <c r="N494" i="7" s="1"/>
  <c r="L493" i="7"/>
  <c r="N493" i="7" s="1"/>
  <c r="N491" i="7"/>
  <c r="J490" i="7"/>
  <c r="J489" i="7"/>
  <c r="I489" i="7"/>
  <c r="K489" i="7" s="1"/>
  <c r="J488" i="7"/>
  <c r="I488" i="7"/>
  <c r="J487" i="7"/>
  <c r="I487" i="7"/>
  <c r="K487" i="7" s="1"/>
  <c r="J486" i="7"/>
  <c r="I486" i="7"/>
  <c r="J485" i="7"/>
  <c r="I485" i="7"/>
  <c r="K485" i="7" s="1"/>
  <c r="J484" i="7"/>
  <c r="I484" i="7"/>
  <c r="I473" i="7" s="1"/>
  <c r="J483" i="7"/>
  <c r="I483" i="7"/>
  <c r="K483" i="7" s="1"/>
  <c r="J482" i="7"/>
  <c r="I482" i="7"/>
  <c r="M477" i="7"/>
  <c r="L477" i="7"/>
  <c r="N477" i="7" s="1"/>
  <c r="L476" i="7"/>
  <c r="N476" i="7" s="1"/>
  <c r="M475" i="7"/>
  <c r="N474" i="7"/>
  <c r="M473" i="7"/>
  <c r="K472" i="7"/>
  <c r="K471" i="7"/>
  <c r="K470" i="7"/>
  <c r="K469" i="7"/>
  <c r="K468" i="7"/>
  <c r="J466" i="7"/>
  <c r="I466" i="7"/>
  <c r="M461" i="7"/>
  <c r="L461" i="7"/>
  <c r="L460" i="7"/>
  <c r="N458" i="7"/>
  <c r="J457" i="7"/>
  <c r="I456" i="7"/>
  <c r="K456" i="7" s="1"/>
  <c r="I455" i="7"/>
  <c r="K455" i="7" s="1"/>
  <c r="I454" i="7"/>
  <c r="K454" i="7" s="1"/>
  <c r="I453" i="7"/>
  <c r="M448" i="7"/>
  <c r="L448" i="7"/>
  <c r="N448" i="7" s="1"/>
  <c r="L447" i="7"/>
  <c r="M446" i="7"/>
  <c r="N445" i="7"/>
  <c r="M444" i="7"/>
  <c r="J444" i="7"/>
  <c r="I441" i="7"/>
  <c r="K441" i="7" s="1"/>
  <c r="I440" i="7"/>
  <c r="K440" i="7" s="1"/>
  <c r="M430" i="7"/>
  <c r="M428" i="7" s="1"/>
  <c r="M426" i="7" s="1"/>
  <c r="L430" i="7"/>
  <c r="N430" i="7" s="1"/>
  <c r="L429" i="7"/>
  <c r="N427" i="7"/>
  <c r="J426" i="7"/>
  <c r="K425" i="7"/>
  <c r="K424" i="7"/>
  <c r="K423" i="7"/>
  <c r="K422" i="7"/>
  <c r="K421" i="7"/>
  <c r="K420" i="7"/>
  <c r="J419" i="7"/>
  <c r="J418" i="7"/>
  <c r="K417" i="7"/>
  <c r="J417" i="7"/>
  <c r="I419" i="7" s="1"/>
  <c r="K419" i="7" s="1"/>
  <c r="K416" i="7"/>
  <c r="J416" i="7"/>
  <c r="I418" i="7" s="1"/>
  <c r="K418" i="7" s="1"/>
  <c r="K415" i="7"/>
  <c r="J415" i="7"/>
  <c r="K414" i="7"/>
  <c r="J414" i="7"/>
  <c r="K413" i="7"/>
  <c r="J413" i="7"/>
  <c r="K412" i="7"/>
  <c r="J412" i="7"/>
  <c r="I411" i="7"/>
  <c r="K411" i="7" s="1"/>
  <c r="I410" i="7"/>
  <c r="K410" i="7" s="1"/>
  <c r="I409" i="7"/>
  <c r="K409" i="7" s="1"/>
  <c r="K408" i="7"/>
  <c r="K407" i="7"/>
  <c r="K406" i="7"/>
  <c r="K405" i="7"/>
  <c r="K404" i="7"/>
  <c r="K403" i="7"/>
  <c r="K402" i="7"/>
  <c r="J402" i="7"/>
  <c r="K401" i="7"/>
  <c r="J401" i="7"/>
  <c r="K400" i="7"/>
  <c r="K399" i="7"/>
  <c r="K398" i="7"/>
  <c r="K397" i="7"/>
  <c r="K396" i="7"/>
  <c r="K395" i="7"/>
  <c r="K394" i="7"/>
  <c r="J394" i="7"/>
  <c r="J392" i="7" s="1"/>
  <c r="K393" i="7"/>
  <c r="J393" i="7"/>
  <c r="J391" i="7" s="1"/>
  <c r="J390" i="7" s="1"/>
  <c r="I392" i="7"/>
  <c r="I391" i="7"/>
  <c r="K391" i="7" s="1"/>
  <c r="I390" i="7"/>
  <c r="K389" i="7"/>
  <c r="K388" i="7"/>
  <c r="K387" i="7"/>
  <c r="K386" i="7"/>
  <c r="K385" i="7"/>
  <c r="K384" i="7"/>
  <c r="K383" i="7"/>
  <c r="J383" i="7"/>
  <c r="K382" i="7"/>
  <c r="J382" i="7"/>
  <c r="K381" i="7"/>
  <c r="K380" i="7"/>
  <c r="K379" i="7"/>
  <c r="K378" i="7"/>
  <c r="J377" i="7"/>
  <c r="J376" i="7"/>
  <c r="J359" i="7" s="1"/>
  <c r="K375" i="7"/>
  <c r="K374" i="7"/>
  <c r="K373" i="7"/>
  <c r="K372" i="7"/>
  <c r="K371" i="7"/>
  <c r="K370" i="7"/>
  <c r="J369" i="7"/>
  <c r="J368" i="7"/>
  <c r="K367" i="7"/>
  <c r="K366" i="7"/>
  <c r="K365" i="7"/>
  <c r="K364" i="7"/>
  <c r="K363" i="7"/>
  <c r="K362" i="7"/>
  <c r="J361" i="7"/>
  <c r="I361" i="7"/>
  <c r="J360" i="7"/>
  <c r="I360" i="7"/>
  <c r="I359" i="7"/>
  <c r="M354" i="7"/>
  <c r="M352" i="7" s="1"/>
  <c r="M350" i="7" s="1"/>
  <c r="L354" i="7"/>
  <c r="N354" i="7" s="1"/>
  <c r="L353" i="7"/>
  <c r="N351" i="7"/>
  <c r="J350" i="7"/>
  <c r="I347" i="7"/>
  <c r="K347" i="7" s="1"/>
  <c r="I346" i="7"/>
  <c r="I345" i="7"/>
  <c r="K345" i="7" s="1"/>
  <c r="J344" i="7"/>
  <c r="M334" i="7"/>
  <c r="M332" i="7" s="1"/>
  <c r="M330" i="7" s="1"/>
  <c r="L334" i="7"/>
  <c r="N334" i="7" s="1"/>
  <c r="L333" i="7"/>
  <c r="N331" i="7"/>
  <c r="J330" i="7"/>
  <c r="I327" i="7"/>
  <c r="I326" i="7"/>
  <c r="I324" i="7"/>
  <c r="K324" i="7" s="1"/>
  <c r="I323" i="7"/>
  <c r="K323" i="7" s="1"/>
  <c r="I322" i="7"/>
  <c r="K322" i="7" s="1"/>
  <c r="I321" i="7"/>
  <c r="I320" i="7"/>
  <c r="K320" i="7" s="1"/>
  <c r="I319" i="7"/>
  <c r="K319" i="7" s="1"/>
  <c r="I318" i="7"/>
  <c r="K318" i="7" s="1"/>
  <c r="I317" i="7"/>
  <c r="K317" i="7" s="1"/>
  <c r="I316" i="7"/>
  <c r="I315" i="7"/>
  <c r="K315" i="7" s="1"/>
  <c r="I314" i="7"/>
  <c r="I313" i="7"/>
  <c r="K313" i="7" s="1"/>
  <c r="I312" i="7"/>
  <c r="M301" i="7"/>
  <c r="L301" i="7"/>
  <c r="L300" i="7"/>
  <c r="N300" i="7" s="1"/>
  <c r="N298" i="7"/>
  <c r="J296" i="7"/>
  <c r="I293" i="7"/>
  <c r="K293" i="7" s="1"/>
  <c r="I292" i="7"/>
  <c r="K292" i="7" s="1"/>
  <c r="I291" i="7"/>
  <c r="K291" i="7" s="1"/>
  <c r="M280" i="7"/>
  <c r="L280" i="7"/>
  <c r="L279" i="7"/>
  <c r="N277" i="7"/>
  <c r="J276" i="7"/>
  <c r="J275" i="7"/>
  <c r="I272" i="7"/>
  <c r="K272" i="7" s="1"/>
  <c r="I271" i="7"/>
  <c r="K271" i="7" s="1"/>
  <c r="J270" i="7"/>
  <c r="J244" i="7" s="1"/>
  <c r="I268" i="7"/>
  <c r="K268" i="7" s="1"/>
  <c r="I266" i="7"/>
  <c r="K266" i="7" s="1"/>
  <c r="I264" i="7"/>
  <c r="J263" i="7"/>
  <c r="J245" i="7" s="1"/>
  <c r="I263" i="7"/>
  <c r="I265" i="7" s="1"/>
  <c r="I267" i="7" s="1"/>
  <c r="K267" i="7" s="1"/>
  <c r="J262" i="7"/>
  <c r="I260" i="7"/>
  <c r="K260" i="7" s="1"/>
  <c r="J259" i="7"/>
  <c r="M249" i="7"/>
  <c r="L249" i="7"/>
  <c r="L248" i="7"/>
  <c r="N246" i="7"/>
  <c r="K241" i="7"/>
  <c r="J241" i="7"/>
  <c r="J240" i="7"/>
  <c r="J228" i="7" s="1"/>
  <c r="I240" i="7"/>
  <c r="K239" i="7"/>
  <c r="J239" i="7"/>
  <c r="J238" i="7"/>
  <c r="I238" i="7"/>
  <c r="K237" i="7"/>
  <c r="J237" i="7"/>
  <c r="J236" i="7"/>
  <c r="I236" i="7"/>
  <c r="J235" i="7"/>
  <c r="I235" i="7"/>
  <c r="K234" i="7"/>
  <c r="J234" i="7"/>
  <c r="L232" i="7"/>
  <c r="N232" i="7" s="1"/>
  <c r="L231" i="7"/>
  <c r="M230" i="7"/>
  <c r="N229" i="7"/>
  <c r="M228" i="7"/>
  <c r="I224" i="7"/>
  <c r="K224" i="7" s="1"/>
  <c r="L218" i="7"/>
  <c r="N218" i="7" s="1"/>
  <c r="N217" i="7"/>
  <c r="M216" i="7"/>
  <c r="N215" i="7"/>
  <c r="M214" i="7"/>
  <c r="J214" i="7"/>
  <c r="I211" i="7"/>
  <c r="K211" i="7" s="1"/>
  <c r="I209" i="7"/>
  <c r="K209" i="7" s="1"/>
  <c r="L203" i="7"/>
  <c r="N203" i="7" s="1"/>
  <c r="N202" i="7"/>
  <c r="M201" i="7"/>
  <c r="N200" i="7"/>
  <c r="M199" i="7"/>
  <c r="J199" i="7"/>
  <c r="I195" i="7"/>
  <c r="I185" i="7" s="1"/>
  <c r="K185" i="7" s="1"/>
  <c r="L189" i="7"/>
  <c r="N189" i="7" s="1"/>
  <c r="L188" i="7"/>
  <c r="M187" i="7"/>
  <c r="N186" i="7"/>
  <c r="M185" i="7"/>
  <c r="J185" i="7"/>
  <c r="I182" i="7"/>
  <c r="K182" i="7" s="1"/>
  <c r="I181" i="7"/>
  <c r="K181" i="7" s="1"/>
  <c r="I180" i="7"/>
  <c r="K180" i="7" s="1"/>
  <c r="I179" i="7"/>
  <c r="K179" i="7" s="1"/>
  <c r="L173" i="7"/>
  <c r="N173" i="7" s="1"/>
  <c r="L172" i="7"/>
  <c r="M171" i="7"/>
  <c r="N170" i="7"/>
  <c r="M169" i="7"/>
  <c r="J169" i="7"/>
  <c r="K164" i="7"/>
  <c r="J158" i="7"/>
  <c r="J144" i="7" s="1"/>
  <c r="I158" i="7"/>
  <c r="K158" i="7" s="1"/>
  <c r="I155" i="7"/>
  <c r="K155" i="7" s="1"/>
  <c r="J149" i="7"/>
  <c r="L148" i="7"/>
  <c r="N148" i="7" s="1"/>
  <c r="N147" i="7"/>
  <c r="M146" i="7"/>
  <c r="N145" i="7"/>
  <c r="M144" i="7"/>
  <c r="L141" i="7"/>
  <c r="N141" i="7" s="1"/>
  <c r="I141" i="7"/>
  <c r="K141" i="7" s="1"/>
  <c r="L140" i="7"/>
  <c r="N140" i="7" s="1"/>
  <c r="I140" i="7"/>
  <c r="K140" i="7" s="1"/>
  <c r="N139" i="7"/>
  <c r="N138" i="7"/>
  <c r="I138" i="7"/>
  <c r="M137" i="7"/>
  <c r="L137" i="7"/>
  <c r="N137" i="7" s="1"/>
  <c r="L132" i="7"/>
  <c r="M131" i="7"/>
  <c r="N130" i="7"/>
  <c r="M129" i="7"/>
  <c r="J129" i="7"/>
  <c r="L126" i="7"/>
  <c r="N126" i="7" s="1"/>
  <c r="I126" i="7"/>
  <c r="K126" i="7" s="1"/>
  <c r="L125" i="7"/>
  <c r="N125" i="7" s="1"/>
  <c r="I125" i="7"/>
  <c r="I124" i="7"/>
  <c r="K124" i="7" s="1"/>
  <c r="L117" i="7"/>
  <c r="N117" i="7" s="1"/>
  <c r="M116" i="7"/>
  <c r="N115" i="7"/>
  <c r="M114" i="7"/>
  <c r="J114" i="7"/>
  <c r="L111" i="7"/>
  <c r="N111" i="7" s="1"/>
  <c r="I111" i="7"/>
  <c r="K111" i="7" s="1"/>
  <c r="L110" i="7"/>
  <c r="N110" i="7" s="1"/>
  <c r="I110" i="7"/>
  <c r="K110" i="7" s="1"/>
  <c r="L104" i="7"/>
  <c r="N104" i="7" s="1"/>
  <c r="M103" i="7"/>
  <c r="M101" i="7" s="1"/>
  <c r="M101" i="1" s="1"/>
  <c r="N102" i="7"/>
  <c r="J101" i="7"/>
  <c r="L98" i="7"/>
  <c r="N98" i="7" s="1"/>
  <c r="I98" i="7"/>
  <c r="K98" i="7" s="1"/>
  <c r="L92" i="7"/>
  <c r="N92" i="7" s="1"/>
  <c r="M91" i="7"/>
  <c r="M89" i="7" s="1"/>
  <c r="N90" i="7"/>
  <c r="J89" i="7"/>
  <c r="J84" i="7"/>
  <c r="I83" i="7"/>
  <c r="K83" i="7" s="1"/>
  <c r="L77" i="7"/>
  <c r="L76" i="7" s="1"/>
  <c r="N76" i="7" s="1"/>
  <c r="M76" i="7"/>
  <c r="N75" i="7"/>
  <c r="M74" i="7"/>
  <c r="J74" i="7"/>
  <c r="M73" i="7"/>
  <c r="L72" i="7"/>
  <c r="M71" i="7"/>
  <c r="N70" i="7"/>
  <c r="M68" i="7"/>
  <c r="J68" i="7"/>
  <c r="I62" i="7"/>
  <c r="K62" i="7" s="1"/>
  <c r="L56" i="7"/>
  <c r="N56" i="7" s="1"/>
  <c r="L55" i="7"/>
  <c r="N55" i="7" s="1"/>
  <c r="M54" i="7"/>
  <c r="N53" i="7"/>
  <c r="M52" i="7"/>
  <c r="J52" i="7"/>
  <c r="I48" i="7"/>
  <c r="K48" i="7" s="1"/>
  <c r="I47" i="7"/>
  <c r="K47" i="7" s="1"/>
  <c r="I46" i="7"/>
  <c r="K46" i="7" s="1"/>
  <c r="I45" i="7"/>
  <c r="K45" i="7" s="1"/>
  <c r="I44" i="7"/>
  <c r="K44" i="7" s="1"/>
  <c r="I43" i="7"/>
  <c r="K43" i="7" s="1"/>
  <c r="L37" i="7"/>
  <c r="N37" i="7" s="1"/>
  <c r="L36" i="7"/>
  <c r="N36" i="7" s="1"/>
  <c r="M35" i="7"/>
  <c r="L35" i="7"/>
  <c r="L32" i="7" s="1"/>
  <c r="N34" i="7"/>
  <c r="J33" i="7"/>
  <c r="J32" i="7"/>
  <c r="I28" i="7"/>
  <c r="K28" i="7" s="1"/>
  <c r="I27" i="7"/>
  <c r="K27" i="7" s="1"/>
  <c r="I26" i="7"/>
  <c r="K26" i="7" s="1"/>
  <c r="I25" i="7"/>
  <c r="K25" i="7" s="1"/>
  <c r="I24" i="7"/>
  <c r="I23" i="7"/>
  <c r="I22" i="7"/>
  <c r="K22" i="7" s="1"/>
  <c r="J21" i="7"/>
  <c r="J10" i="7" s="1"/>
  <c r="J20" i="7"/>
  <c r="J9" i="7" s="1"/>
  <c r="L14" i="7"/>
  <c r="N14" i="7" s="1"/>
  <c r="L13" i="7"/>
  <c r="N13" i="7" s="1"/>
  <c r="M12" i="7"/>
  <c r="L12" i="7"/>
  <c r="N11" i="7"/>
  <c r="M9" i="7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17" i="6"/>
  <c r="I517" i="6"/>
  <c r="J514" i="6"/>
  <c r="J513" i="6" s="1"/>
  <c r="I514" i="6"/>
  <c r="I513" i="6"/>
  <c r="J510" i="6"/>
  <c r="I510" i="6"/>
  <c r="J504" i="6"/>
  <c r="I504" i="6"/>
  <c r="M494" i="6"/>
  <c r="L494" i="6"/>
  <c r="N494" i="6" s="1"/>
  <c r="L493" i="6"/>
  <c r="M492" i="6"/>
  <c r="N491" i="6"/>
  <c r="M490" i="6"/>
  <c r="J489" i="6"/>
  <c r="I489" i="6"/>
  <c r="K489" i="6" s="1"/>
  <c r="J488" i="6"/>
  <c r="J473" i="6" s="1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J483" i="6"/>
  <c r="I483" i="6"/>
  <c r="K483" i="6" s="1"/>
  <c r="J482" i="6"/>
  <c r="I482" i="6"/>
  <c r="K482" i="6" s="1"/>
  <c r="M477" i="6"/>
  <c r="M475" i="6" s="1"/>
  <c r="M473" i="6" s="1"/>
  <c r="L477" i="6"/>
  <c r="N477" i="6" s="1"/>
  <c r="L476" i="6"/>
  <c r="N474" i="6"/>
  <c r="K472" i="6"/>
  <c r="K471" i="6"/>
  <c r="K470" i="6"/>
  <c r="K469" i="6"/>
  <c r="K468" i="6"/>
  <c r="J466" i="6"/>
  <c r="J457" i="6" s="1"/>
  <c r="I466" i="6"/>
  <c r="K466" i="6" s="1"/>
  <c r="M461" i="6"/>
  <c r="L461" i="6"/>
  <c r="N461" i="6" s="1"/>
  <c r="L460" i="6"/>
  <c r="N460" i="6" s="1"/>
  <c r="M459" i="6"/>
  <c r="M457" i="6" s="1"/>
  <c r="N458" i="6"/>
  <c r="I456" i="6"/>
  <c r="K456" i="6" s="1"/>
  <c r="I455" i="6"/>
  <c r="K455" i="6" s="1"/>
  <c r="I454" i="6"/>
  <c r="K454" i="6" s="1"/>
  <c r="I453" i="6"/>
  <c r="M448" i="6"/>
  <c r="M446" i="6" s="1"/>
  <c r="M444" i="6" s="1"/>
  <c r="L448" i="6"/>
  <c r="N448" i="6" s="1"/>
  <c r="L447" i="6"/>
  <c r="N445" i="6"/>
  <c r="J444" i="6"/>
  <c r="I441" i="6"/>
  <c r="K441" i="6" s="1"/>
  <c r="I440" i="6"/>
  <c r="M430" i="6"/>
  <c r="L430" i="6"/>
  <c r="N430" i="6" s="1"/>
  <c r="L429" i="6"/>
  <c r="M428" i="6"/>
  <c r="N427" i="6"/>
  <c r="M426" i="6"/>
  <c r="J426" i="6"/>
  <c r="K425" i="6"/>
  <c r="K424" i="6"/>
  <c r="K423" i="6"/>
  <c r="K422" i="6"/>
  <c r="K421" i="6"/>
  <c r="K420" i="6"/>
  <c r="J419" i="6"/>
  <c r="J418" i="6"/>
  <c r="K417" i="6"/>
  <c r="J417" i="6"/>
  <c r="I419" i="6" s="1"/>
  <c r="K419" i="6" s="1"/>
  <c r="K416" i="6"/>
  <c r="J416" i="6"/>
  <c r="I418" i="6" s="1"/>
  <c r="K418" i="6" s="1"/>
  <c r="K415" i="6"/>
  <c r="J415" i="6"/>
  <c r="K414" i="6"/>
  <c r="J414" i="6"/>
  <c r="K413" i="6"/>
  <c r="J413" i="6"/>
  <c r="K412" i="6"/>
  <c r="J412" i="6"/>
  <c r="I411" i="6"/>
  <c r="K411" i="6" s="1"/>
  <c r="I410" i="6"/>
  <c r="K410" i="6" s="1"/>
  <c r="I409" i="6"/>
  <c r="K409" i="6" s="1"/>
  <c r="K408" i="6"/>
  <c r="K407" i="6"/>
  <c r="K406" i="6"/>
  <c r="K405" i="6"/>
  <c r="K404" i="6"/>
  <c r="K403" i="6"/>
  <c r="K402" i="6"/>
  <c r="J402" i="6"/>
  <c r="K401" i="6"/>
  <c r="J401" i="6"/>
  <c r="K400" i="6"/>
  <c r="K399" i="6"/>
  <c r="K398" i="6"/>
  <c r="K397" i="6"/>
  <c r="K396" i="6"/>
  <c r="K395" i="6"/>
  <c r="K394" i="6"/>
  <c r="J394" i="6"/>
  <c r="K393" i="6"/>
  <c r="J393" i="6"/>
  <c r="J392" i="6"/>
  <c r="I392" i="6"/>
  <c r="K392" i="6" s="1"/>
  <c r="J391" i="6"/>
  <c r="J390" i="6" s="1"/>
  <c r="I391" i="6"/>
  <c r="K391" i="6" s="1"/>
  <c r="I390" i="6"/>
  <c r="K390" i="6" s="1"/>
  <c r="K389" i="6"/>
  <c r="K388" i="6"/>
  <c r="K387" i="6"/>
  <c r="K386" i="6"/>
  <c r="K385" i="6"/>
  <c r="K384" i="6"/>
  <c r="K383" i="6"/>
  <c r="J383" i="6"/>
  <c r="J377" i="6" s="1"/>
  <c r="K382" i="6"/>
  <c r="J382" i="6"/>
  <c r="J376" i="6" s="1"/>
  <c r="J359" i="6" s="1"/>
  <c r="K381" i="6"/>
  <c r="K380" i="6"/>
  <c r="K379" i="6"/>
  <c r="K378" i="6"/>
  <c r="K375" i="6"/>
  <c r="K374" i="6"/>
  <c r="K373" i="6"/>
  <c r="K372" i="6"/>
  <c r="K371" i="6"/>
  <c r="K370" i="6"/>
  <c r="J369" i="6"/>
  <c r="J368" i="6"/>
  <c r="K367" i="6"/>
  <c r="K366" i="6"/>
  <c r="K365" i="6"/>
  <c r="K364" i="6"/>
  <c r="K363" i="6"/>
  <c r="K362" i="6"/>
  <c r="J361" i="6"/>
  <c r="I361" i="6"/>
  <c r="I377" i="6" s="1"/>
  <c r="K377" i="6" s="1"/>
  <c r="J360" i="6"/>
  <c r="I360" i="6"/>
  <c r="K360" i="6" s="1"/>
  <c r="I359" i="6"/>
  <c r="I376" i="6" s="1"/>
  <c r="K376" i="6" s="1"/>
  <c r="M354" i="6"/>
  <c r="L354" i="6"/>
  <c r="N354" i="6" s="1"/>
  <c r="L353" i="6"/>
  <c r="M352" i="6"/>
  <c r="N351" i="6"/>
  <c r="M350" i="6"/>
  <c r="I347" i="6"/>
  <c r="K347" i="6" s="1"/>
  <c r="I346" i="6"/>
  <c r="K346" i="6" s="1"/>
  <c r="I345" i="6"/>
  <c r="J344" i="6"/>
  <c r="J330" i="6" s="1"/>
  <c r="J330" i="1" s="1"/>
  <c r="M334" i="6"/>
  <c r="L334" i="6"/>
  <c r="N334" i="6" s="1"/>
  <c r="L333" i="6"/>
  <c r="M332" i="6"/>
  <c r="N331" i="6"/>
  <c r="M330" i="6"/>
  <c r="I327" i="6"/>
  <c r="K327" i="6" s="1"/>
  <c r="I326" i="6"/>
  <c r="I324" i="6"/>
  <c r="K324" i="6" s="1"/>
  <c r="I323" i="6"/>
  <c r="I322" i="6"/>
  <c r="K322" i="6" s="1"/>
  <c r="I321" i="6"/>
  <c r="I320" i="6"/>
  <c r="K320" i="6" s="1"/>
  <c r="I319" i="6"/>
  <c r="K319" i="6" s="1"/>
  <c r="I318" i="6"/>
  <c r="I317" i="6"/>
  <c r="K317" i="6" s="1"/>
  <c r="I316" i="6"/>
  <c r="I315" i="6"/>
  <c r="I314" i="6"/>
  <c r="K314" i="6" s="1"/>
  <c r="I313" i="6"/>
  <c r="K313" i="6" s="1"/>
  <c r="I312" i="6"/>
  <c r="M301" i="6"/>
  <c r="L301" i="6"/>
  <c r="N301" i="6" s="1"/>
  <c r="L300" i="6"/>
  <c r="N300" i="6" s="1"/>
  <c r="M299" i="6"/>
  <c r="M296" i="6" s="1"/>
  <c r="N298" i="6"/>
  <c r="J296" i="6"/>
  <c r="I293" i="6"/>
  <c r="K293" i="6" s="1"/>
  <c r="I292" i="6"/>
  <c r="I291" i="6"/>
  <c r="M280" i="6"/>
  <c r="L280" i="6"/>
  <c r="N280" i="6" s="1"/>
  <c r="L279" i="6"/>
  <c r="N279" i="6" s="1"/>
  <c r="M278" i="6"/>
  <c r="M275" i="6" s="1"/>
  <c r="N277" i="6"/>
  <c r="J276" i="6"/>
  <c r="J275" i="6"/>
  <c r="I272" i="6"/>
  <c r="K272" i="6" s="1"/>
  <c r="I271" i="6"/>
  <c r="K271" i="6" s="1"/>
  <c r="J270" i="6"/>
  <c r="I268" i="6"/>
  <c r="K268" i="6" s="1"/>
  <c r="I266" i="6"/>
  <c r="K266" i="6" s="1"/>
  <c r="I264" i="6"/>
  <c r="J263" i="6"/>
  <c r="I263" i="6"/>
  <c r="J262" i="6"/>
  <c r="I260" i="6"/>
  <c r="K260" i="6" s="1"/>
  <c r="M249" i="6"/>
  <c r="L249" i="6"/>
  <c r="N249" i="6" s="1"/>
  <c r="L248" i="6"/>
  <c r="N248" i="6" s="1"/>
  <c r="M247" i="6"/>
  <c r="M244" i="6" s="1"/>
  <c r="M242" i="6" s="1"/>
  <c r="N246" i="6"/>
  <c r="J245" i="6"/>
  <c r="J244" i="6"/>
  <c r="K241" i="6"/>
  <c r="J241" i="6"/>
  <c r="J240" i="6"/>
  <c r="I240" i="6"/>
  <c r="K239" i="6"/>
  <c r="J239" i="6"/>
  <c r="J238" i="6"/>
  <c r="I238" i="6"/>
  <c r="K237" i="6"/>
  <c r="J237" i="6"/>
  <c r="J236" i="6"/>
  <c r="I236" i="6"/>
  <c r="J235" i="6"/>
  <c r="I235" i="6"/>
  <c r="K234" i="6"/>
  <c r="J234" i="6"/>
  <c r="L232" i="6"/>
  <c r="N232" i="6" s="1"/>
  <c r="L231" i="6"/>
  <c r="N231" i="6" s="1"/>
  <c r="M230" i="6"/>
  <c r="N229" i="6"/>
  <c r="M228" i="6"/>
  <c r="I224" i="6"/>
  <c r="K224" i="6" s="1"/>
  <c r="L218" i="6"/>
  <c r="N218" i="6" s="1"/>
  <c r="N217" i="6"/>
  <c r="M216" i="6"/>
  <c r="N215" i="6"/>
  <c r="M214" i="6"/>
  <c r="J214" i="6"/>
  <c r="I211" i="6"/>
  <c r="K211" i="6" s="1"/>
  <c r="I209" i="6"/>
  <c r="K209" i="6" s="1"/>
  <c r="L203" i="6"/>
  <c r="N203" i="6" s="1"/>
  <c r="N202" i="6"/>
  <c r="M201" i="6"/>
  <c r="N200" i="6"/>
  <c r="M199" i="6"/>
  <c r="J199" i="6"/>
  <c r="I195" i="6"/>
  <c r="K195" i="6" s="1"/>
  <c r="L189" i="6"/>
  <c r="N189" i="6" s="1"/>
  <c r="L188" i="6"/>
  <c r="N188" i="6" s="1"/>
  <c r="M187" i="6"/>
  <c r="M185" i="6" s="1"/>
  <c r="N186" i="6"/>
  <c r="J185" i="6"/>
  <c r="I182" i="6"/>
  <c r="K182" i="6" s="1"/>
  <c r="I181" i="6"/>
  <c r="K181" i="6" s="1"/>
  <c r="I180" i="6"/>
  <c r="K180" i="6" s="1"/>
  <c r="I179" i="6"/>
  <c r="K179" i="6" s="1"/>
  <c r="L173" i="6"/>
  <c r="N173" i="6" s="1"/>
  <c r="L172" i="6"/>
  <c r="M171" i="6"/>
  <c r="N170" i="6"/>
  <c r="M169" i="6"/>
  <c r="J169" i="6"/>
  <c r="K164" i="6"/>
  <c r="K158" i="6"/>
  <c r="J158" i="6"/>
  <c r="I158" i="6"/>
  <c r="I155" i="6"/>
  <c r="J149" i="6"/>
  <c r="J144" i="6" s="1"/>
  <c r="L148" i="6"/>
  <c r="N147" i="6"/>
  <c r="M146" i="6"/>
  <c r="N145" i="6"/>
  <c r="M144" i="6"/>
  <c r="L141" i="6"/>
  <c r="N141" i="6" s="1"/>
  <c r="I141" i="6"/>
  <c r="K141" i="6" s="1"/>
  <c r="L140" i="6"/>
  <c r="N140" i="6" s="1"/>
  <c r="I140" i="6"/>
  <c r="K140" i="6" s="1"/>
  <c r="L138" i="6"/>
  <c r="N138" i="6" s="1"/>
  <c r="I138" i="6"/>
  <c r="K138" i="6" s="1"/>
  <c r="L132" i="6"/>
  <c r="M131" i="6"/>
  <c r="M129" i="6" s="1"/>
  <c r="N130" i="6"/>
  <c r="J129" i="6"/>
  <c r="L126" i="6"/>
  <c r="N126" i="6" s="1"/>
  <c r="I126" i="6"/>
  <c r="K126" i="6" s="1"/>
  <c r="L125" i="6"/>
  <c r="N125" i="6" s="1"/>
  <c r="I125" i="6"/>
  <c r="I124" i="6"/>
  <c r="K124" i="6" s="1"/>
  <c r="L117" i="6"/>
  <c r="M116" i="6"/>
  <c r="N115" i="6"/>
  <c r="M114" i="6"/>
  <c r="J114" i="6"/>
  <c r="L111" i="6"/>
  <c r="N111" i="6" s="1"/>
  <c r="I111" i="6"/>
  <c r="K111" i="6" s="1"/>
  <c r="L110" i="6"/>
  <c r="N110" i="6" s="1"/>
  <c r="I110" i="6"/>
  <c r="K110" i="6" s="1"/>
  <c r="L104" i="6"/>
  <c r="M103" i="6"/>
  <c r="N102" i="6"/>
  <c r="M101" i="6"/>
  <c r="J101" i="6"/>
  <c r="L98" i="6"/>
  <c r="N98" i="6" s="1"/>
  <c r="I98" i="6"/>
  <c r="K98" i="6" s="1"/>
  <c r="L92" i="6"/>
  <c r="M91" i="6"/>
  <c r="N90" i="6"/>
  <c r="M89" i="6"/>
  <c r="J89" i="6"/>
  <c r="J84" i="6"/>
  <c r="I83" i="6"/>
  <c r="K83" i="6" s="1"/>
  <c r="L77" i="6"/>
  <c r="M76" i="6"/>
  <c r="N75" i="6"/>
  <c r="M74" i="6"/>
  <c r="J74" i="6"/>
  <c r="M73" i="6"/>
  <c r="L72" i="6"/>
  <c r="N72" i="6" s="1"/>
  <c r="M71" i="6"/>
  <c r="M68" i="6" s="1"/>
  <c r="N70" i="6"/>
  <c r="J68" i="6"/>
  <c r="I62" i="6"/>
  <c r="L56" i="6"/>
  <c r="N56" i="6" s="1"/>
  <c r="L55" i="6"/>
  <c r="M54" i="6"/>
  <c r="N53" i="6"/>
  <c r="M52" i="6"/>
  <c r="J52" i="6"/>
  <c r="I48" i="6"/>
  <c r="K48" i="6" s="1"/>
  <c r="I47" i="6"/>
  <c r="K47" i="6" s="1"/>
  <c r="I46" i="6"/>
  <c r="K46" i="6" s="1"/>
  <c r="I45" i="6"/>
  <c r="K45" i="6" s="1"/>
  <c r="I44" i="6"/>
  <c r="I43" i="6"/>
  <c r="K43" i="6" s="1"/>
  <c r="L37" i="6"/>
  <c r="N37" i="6" s="1"/>
  <c r="L36" i="6"/>
  <c r="N36" i="6" s="1"/>
  <c r="M35" i="6"/>
  <c r="M32" i="6" s="1"/>
  <c r="L35" i="6"/>
  <c r="N35" i="6" s="1"/>
  <c r="N34" i="6"/>
  <c r="J33" i="6"/>
  <c r="J32" i="6"/>
  <c r="I28" i="6"/>
  <c r="K28" i="6" s="1"/>
  <c r="I27" i="6"/>
  <c r="K27" i="6" s="1"/>
  <c r="I26" i="6"/>
  <c r="K26" i="6" s="1"/>
  <c r="I25" i="6"/>
  <c r="K25" i="6" s="1"/>
  <c r="I24" i="6"/>
  <c r="K24" i="6" s="1"/>
  <c r="I23" i="6"/>
  <c r="K23" i="6" s="1"/>
  <c r="I22" i="6"/>
  <c r="J21" i="6"/>
  <c r="J20" i="6"/>
  <c r="L14" i="6"/>
  <c r="N14" i="6" s="1"/>
  <c r="L13" i="6"/>
  <c r="N13" i="6" s="1"/>
  <c r="M12" i="6"/>
  <c r="L12" i="6"/>
  <c r="N11" i="6"/>
  <c r="J10" i="6"/>
  <c r="M9" i="6"/>
  <c r="M6" i="6"/>
  <c r="J528" i="5"/>
  <c r="I528" i="5"/>
  <c r="J527" i="5"/>
  <c r="I527" i="5"/>
  <c r="J526" i="5"/>
  <c r="I526" i="5"/>
  <c r="K526" i="5" s="1"/>
  <c r="J525" i="5"/>
  <c r="I525" i="5"/>
  <c r="K525" i="5" s="1"/>
  <c r="J524" i="5"/>
  <c r="I524" i="5"/>
  <c r="J523" i="5"/>
  <c r="I523" i="5"/>
  <c r="J522" i="5"/>
  <c r="I522" i="5"/>
  <c r="J521" i="5"/>
  <c r="I521" i="5"/>
  <c r="J517" i="5"/>
  <c r="I517" i="5"/>
  <c r="J514" i="5"/>
  <c r="J513" i="5" s="1"/>
  <c r="I514" i="5"/>
  <c r="I513" i="5"/>
  <c r="K516" i="5" s="1"/>
  <c r="J510" i="5"/>
  <c r="J504" i="5" s="1"/>
  <c r="J490" i="5" s="1"/>
  <c r="I510" i="5"/>
  <c r="I504" i="5"/>
  <c r="M494" i="5"/>
  <c r="L494" i="5"/>
  <c r="N494" i="5" s="1"/>
  <c r="L493" i="5"/>
  <c r="M492" i="5"/>
  <c r="N491" i="5"/>
  <c r="M490" i="5"/>
  <c r="J489" i="5"/>
  <c r="I489" i="5"/>
  <c r="K489" i="5" s="1"/>
  <c r="J488" i="5"/>
  <c r="J473" i="5" s="1"/>
  <c r="I488" i="5"/>
  <c r="J487" i="5"/>
  <c r="I487" i="5"/>
  <c r="K487" i="5" s="1"/>
  <c r="J486" i="5"/>
  <c r="I486" i="5"/>
  <c r="J485" i="5"/>
  <c r="I485" i="5"/>
  <c r="K485" i="5" s="1"/>
  <c r="J484" i="5"/>
  <c r="I484" i="5"/>
  <c r="J483" i="5"/>
  <c r="I483" i="5"/>
  <c r="K483" i="5" s="1"/>
  <c r="J482" i="5"/>
  <c r="I482" i="5"/>
  <c r="M477" i="5"/>
  <c r="L477" i="5"/>
  <c r="L476" i="5"/>
  <c r="N476" i="5" s="1"/>
  <c r="N474" i="5"/>
  <c r="K472" i="5"/>
  <c r="K471" i="5"/>
  <c r="K470" i="5"/>
  <c r="K469" i="5"/>
  <c r="K468" i="5"/>
  <c r="J466" i="5"/>
  <c r="I466" i="5"/>
  <c r="I457" i="5" s="1"/>
  <c r="M461" i="5"/>
  <c r="L461" i="5"/>
  <c r="N461" i="5" s="1"/>
  <c r="L460" i="5"/>
  <c r="M459" i="5"/>
  <c r="M457" i="5" s="1"/>
  <c r="N458" i="5"/>
  <c r="J457" i="5"/>
  <c r="I456" i="5"/>
  <c r="K456" i="5" s="1"/>
  <c r="I455" i="5"/>
  <c r="K455" i="5" s="1"/>
  <c r="I454" i="5"/>
  <c r="K454" i="5" s="1"/>
  <c r="I453" i="5"/>
  <c r="M448" i="5"/>
  <c r="M446" i="5" s="1"/>
  <c r="M444" i="5" s="1"/>
  <c r="L448" i="5"/>
  <c r="N448" i="5" s="1"/>
  <c r="L447" i="5"/>
  <c r="N445" i="5"/>
  <c r="J444" i="5"/>
  <c r="I441" i="5"/>
  <c r="K441" i="5" s="1"/>
  <c r="I440" i="5"/>
  <c r="I426" i="5" s="1"/>
  <c r="K426" i="5" s="1"/>
  <c r="M430" i="5"/>
  <c r="L430" i="5"/>
  <c r="N430" i="5" s="1"/>
  <c r="L429" i="5"/>
  <c r="N429" i="5" s="1"/>
  <c r="M428" i="5"/>
  <c r="M426" i="5" s="1"/>
  <c r="N427" i="5"/>
  <c r="J426" i="5"/>
  <c r="K425" i="5"/>
  <c r="K424" i="5"/>
  <c r="K423" i="5"/>
  <c r="K422" i="5"/>
  <c r="K421" i="5"/>
  <c r="K420" i="5"/>
  <c r="J419" i="5"/>
  <c r="J418" i="5"/>
  <c r="K417" i="5"/>
  <c r="J417" i="5"/>
  <c r="I419" i="5" s="1"/>
  <c r="K419" i="5" s="1"/>
  <c r="K416" i="5"/>
  <c r="J416" i="5"/>
  <c r="I418" i="5" s="1"/>
  <c r="K418" i="5" s="1"/>
  <c r="K415" i="5"/>
  <c r="J415" i="5"/>
  <c r="K414" i="5"/>
  <c r="J414" i="5"/>
  <c r="K413" i="5"/>
  <c r="J413" i="5"/>
  <c r="K412" i="5"/>
  <c r="J412" i="5"/>
  <c r="I411" i="5"/>
  <c r="K411" i="5" s="1"/>
  <c r="I410" i="5"/>
  <c r="K410" i="5" s="1"/>
  <c r="I409" i="5"/>
  <c r="K409" i="5" s="1"/>
  <c r="K408" i="5"/>
  <c r="K407" i="5"/>
  <c r="K406" i="5"/>
  <c r="K405" i="5"/>
  <c r="K404" i="5"/>
  <c r="K403" i="5"/>
  <c r="K402" i="5"/>
  <c r="J402" i="5"/>
  <c r="J392" i="5" s="1"/>
  <c r="K401" i="5"/>
  <c r="J401" i="5"/>
  <c r="K400" i="5"/>
  <c r="K399" i="5"/>
  <c r="K398" i="5"/>
  <c r="K397" i="5"/>
  <c r="K396" i="5"/>
  <c r="K395" i="5"/>
  <c r="K394" i="5"/>
  <c r="J394" i="5"/>
  <c r="K393" i="5"/>
  <c r="J393" i="5"/>
  <c r="I392" i="5"/>
  <c r="K392" i="5" s="1"/>
  <c r="J391" i="5"/>
  <c r="J390" i="5" s="1"/>
  <c r="I391" i="5"/>
  <c r="I390" i="5"/>
  <c r="K389" i="5"/>
  <c r="K388" i="5"/>
  <c r="K387" i="5"/>
  <c r="K386" i="5"/>
  <c r="K385" i="5"/>
  <c r="K384" i="5"/>
  <c r="K383" i="5"/>
  <c r="J383" i="5"/>
  <c r="J383" i="1" s="1"/>
  <c r="K382" i="5"/>
  <c r="J382" i="5"/>
  <c r="K381" i="5"/>
  <c r="K380" i="5"/>
  <c r="K379" i="5"/>
  <c r="K378" i="5"/>
  <c r="J377" i="5"/>
  <c r="J376" i="5"/>
  <c r="K375" i="5"/>
  <c r="K374" i="5"/>
  <c r="K373" i="5"/>
  <c r="K372" i="5"/>
  <c r="K371" i="5"/>
  <c r="K370" i="5"/>
  <c r="J369" i="5"/>
  <c r="J369" i="1" s="1"/>
  <c r="J368" i="5"/>
  <c r="K367" i="5"/>
  <c r="K366" i="5"/>
  <c r="K365" i="5"/>
  <c r="K364" i="5"/>
  <c r="K363" i="5"/>
  <c r="K362" i="5"/>
  <c r="J361" i="5"/>
  <c r="I361" i="5"/>
  <c r="I377" i="5" s="1"/>
  <c r="K377" i="5" s="1"/>
  <c r="J360" i="5"/>
  <c r="I360" i="5"/>
  <c r="K360" i="5" s="1"/>
  <c r="J359" i="5"/>
  <c r="J350" i="5" s="1"/>
  <c r="I359" i="5"/>
  <c r="I350" i="5" s="1"/>
  <c r="K350" i="5" s="1"/>
  <c r="M354" i="5"/>
  <c r="L354" i="5"/>
  <c r="N354" i="5" s="1"/>
  <c r="L353" i="5"/>
  <c r="M352" i="5"/>
  <c r="M350" i="5" s="1"/>
  <c r="N351" i="5"/>
  <c r="I347" i="5"/>
  <c r="K347" i="5" s="1"/>
  <c r="I346" i="5"/>
  <c r="K346" i="5" s="1"/>
  <c r="I345" i="5"/>
  <c r="J344" i="5"/>
  <c r="J330" i="5" s="1"/>
  <c r="M334" i="5"/>
  <c r="L334" i="5"/>
  <c r="N334" i="5" s="1"/>
  <c r="L333" i="5"/>
  <c r="M332" i="5"/>
  <c r="N331" i="5"/>
  <c r="M330" i="5"/>
  <c r="I327" i="5"/>
  <c r="K327" i="5" s="1"/>
  <c r="I326" i="5"/>
  <c r="I324" i="5"/>
  <c r="I323" i="5"/>
  <c r="K323" i="5" s="1"/>
  <c r="I322" i="5"/>
  <c r="K322" i="5" s="1"/>
  <c r="I321" i="5"/>
  <c r="I320" i="5"/>
  <c r="K320" i="5" s="1"/>
  <c r="I319" i="5"/>
  <c r="K319" i="5" s="1"/>
  <c r="I318" i="5"/>
  <c r="K318" i="5" s="1"/>
  <c r="I317" i="5"/>
  <c r="K317" i="5" s="1"/>
  <c r="I316" i="5"/>
  <c r="I315" i="5"/>
  <c r="I314" i="5"/>
  <c r="K314" i="5" s="1"/>
  <c r="I313" i="5"/>
  <c r="K313" i="5" s="1"/>
  <c r="I312" i="5"/>
  <c r="K312" i="5" s="1"/>
  <c r="M301" i="5"/>
  <c r="L301" i="5"/>
  <c r="N301" i="5" s="1"/>
  <c r="L300" i="5"/>
  <c r="M299" i="5"/>
  <c r="N298" i="5"/>
  <c r="M296" i="5"/>
  <c r="J296" i="5"/>
  <c r="I293" i="5"/>
  <c r="K293" i="5" s="1"/>
  <c r="I292" i="5"/>
  <c r="I275" i="5" s="1"/>
  <c r="K275" i="5" s="1"/>
  <c r="I291" i="5"/>
  <c r="K291" i="5" s="1"/>
  <c r="M280" i="5"/>
  <c r="M278" i="5" s="1"/>
  <c r="L280" i="5"/>
  <c r="L279" i="5"/>
  <c r="N277" i="5"/>
  <c r="J276" i="5"/>
  <c r="M275" i="5"/>
  <c r="J275" i="5"/>
  <c r="I272" i="5"/>
  <c r="K272" i="5" s="1"/>
  <c r="I271" i="5"/>
  <c r="J270" i="5"/>
  <c r="I268" i="5"/>
  <c r="K268" i="5" s="1"/>
  <c r="I266" i="5"/>
  <c r="I264" i="5"/>
  <c r="K264" i="5" s="1"/>
  <c r="J263" i="5"/>
  <c r="I263" i="5"/>
  <c r="J262" i="5"/>
  <c r="I260" i="5"/>
  <c r="K260" i="5" s="1"/>
  <c r="M249" i="5"/>
  <c r="M247" i="5" s="1"/>
  <c r="M244" i="5" s="1"/>
  <c r="L249" i="5"/>
  <c r="N249" i="5" s="1"/>
  <c r="L248" i="5"/>
  <c r="N246" i="5"/>
  <c r="J244" i="5"/>
  <c r="K241" i="5"/>
  <c r="J241" i="5"/>
  <c r="J240" i="5"/>
  <c r="J228" i="5" s="1"/>
  <c r="I240" i="5"/>
  <c r="K239" i="5"/>
  <c r="J239" i="5"/>
  <c r="J238" i="5"/>
  <c r="I238" i="5"/>
  <c r="K237" i="5"/>
  <c r="J237" i="5"/>
  <c r="J236" i="5"/>
  <c r="I236" i="5"/>
  <c r="J235" i="5"/>
  <c r="I235" i="5"/>
  <c r="K234" i="5"/>
  <c r="J234" i="5"/>
  <c r="L232" i="5"/>
  <c r="N232" i="5" s="1"/>
  <c r="L231" i="5"/>
  <c r="M230" i="5"/>
  <c r="N229" i="5"/>
  <c r="M228" i="5"/>
  <c r="I224" i="5"/>
  <c r="K224" i="5" s="1"/>
  <c r="L218" i="5"/>
  <c r="N218" i="5" s="1"/>
  <c r="N217" i="5"/>
  <c r="M216" i="5"/>
  <c r="M216" i="1" s="1"/>
  <c r="N215" i="5"/>
  <c r="M214" i="5"/>
  <c r="M214" i="1" s="1"/>
  <c r="J214" i="5"/>
  <c r="I211" i="5"/>
  <c r="K211" i="5" s="1"/>
  <c r="I209" i="5"/>
  <c r="I199" i="5" s="1"/>
  <c r="K199" i="5" s="1"/>
  <c r="L203" i="5"/>
  <c r="N202" i="5"/>
  <c r="M201" i="5"/>
  <c r="N200" i="5"/>
  <c r="M199" i="5"/>
  <c r="J199" i="5"/>
  <c r="I195" i="5"/>
  <c r="L189" i="5"/>
  <c r="N189" i="5" s="1"/>
  <c r="L188" i="5"/>
  <c r="M187" i="5"/>
  <c r="N186" i="5"/>
  <c r="M185" i="5"/>
  <c r="J185" i="5"/>
  <c r="I182" i="5"/>
  <c r="K182" i="5" s="1"/>
  <c r="I181" i="5"/>
  <c r="K181" i="5" s="1"/>
  <c r="I180" i="5"/>
  <c r="K180" i="5" s="1"/>
  <c r="I179" i="5"/>
  <c r="K179" i="5" s="1"/>
  <c r="L173" i="5"/>
  <c r="N173" i="5" s="1"/>
  <c r="L172" i="5"/>
  <c r="M171" i="5"/>
  <c r="N170" i="5"/>
  <c r="M169" i="5"/>
  <c r="J169" i="5"/>
  <c r="K164" i="5"/>
  <c r="J158" i="5"/>
  <c r="I158" i="5"/>
  <c r="K158" i="5" s="1"/>
  <c r="I155" i="5"/>
  <c r="L148" i="5"/>
  <c r="N148" i="5" s="1"/>
  <c r="N147" i="5"/>
  <c r="M146" i="5"/>
  <c r="N145" i="5"/>
  <c r="M144" i="5"/>
  <c r="J144" i="5"/>
  <c r="L141" i="5"/>
  <c r="N141" i="5" s="1"/>
  <c r="I141" i="5"/>
  <c r="K141" i="5" s="1"/>
  <c r="L140" i="5"/>
  <c r="N140" i="5" s="1"/>
  <c r="I140" i="5"/>
  <c r="K140" i="5" s="1"/>
  <c r="L138" i="5"/>
  <c r="N138" i="5" s="1"/>
  <c r="I138" i="5"/>
  <c r="K138" i="5" s="1"/>
  <c r="L132" i="5"/>
  <c r="N132" i="5" s="1"/>
  <c r="M131" i="5"/>
  <c r="M129" i="5" s="1"/>
  <c r="N130" i="5"/>
  <c r="J129" i="5"/>
  <c r="L126" i="5"/>
  <c r="N126" i="5" s="1"/>
  <c r="I126" i="5"/>
  <c r="K126" i="5" s="1"/>
  <c r="L125" i="5"/>
  <c r="N125" i="5" s="1"/>
  <c r="I125" i="5"/>
  <c r="I114" i="5" s="1"/>
  <c r="K114" i="5" s="1"/>
  <c r="I124" i="5"/>
  <c r="K124" i="5" s="1"/>
  <c r="L117" i="5"/>
  <c r="L116" i="5" s="1"/>
  <c r="M116" i="5"/>
  <c r="N115" i="5"/>
  <c r="M114" i="5"/>
  <c r="J114" i="5"/>
  <c r="L111" i="5"/>
  <c r="N111" i="5" s="1"/>
  <c r="I111" i="5"/>
  <c r="K111" i="5" s="1"/>
  <c r="L110" i="5"/>
  <c r="N110" i="5" s="1"/>
  <c r="I110" i="5"/>
  <c r="K110" i="5" s="1"/>
  <c r="L104" i="5"/>
  <c r="L103" i="5" s="1"/>
  <c r="M103" i="5"/>
  <c r="N102" i="5"/>
  <c r="M101" i="5"/>
  <c r="J101" i="5"/>
  <c r="L98" i="5"/>
  <c r="N98" i="5" s="1"/>
  <c r="I98" i="5"/>
  <c r="L92" i="5"/>
  <c r="M91" i="5"/>
  <c r="N90" i="5"/>
  <c r="M89" i="5"/>
  <c r="J89" i="5"/>
  <c r="J84" i="5"/>
  <c r="I83" i="5"/>
  <c r="I74" i="5" s="1"/>
  <c r="L77" i="5"/>
  <c r="M76" i="5"/>
  <c r="N75" i="5"/>
  <c r="M74" i="5"/>
  <c r="J74" i="5"/>
  <c r="M73" i="5"/>
  <c r="L72" i="5"/>
  <c r="N72" i="5" s="1"/>
  <c r="M71" i="5"/>
  <c r="N70" i="5"/>
  <c r="M68" i="5"/>
  <c r="J68" i="5"/>
  <c r="I62" i="5"/>
  <c r="K62" i="5" s="1"/>
  <c r="L56" i="5"/>
  <c r="N56" i="5" s="1"/>
  <c r="L55" i="5"/>
  <c r="M54" i="5"/>
  <c r="N53" i="5"/>
  <c r="M52" i="5"/>
  <c r="J52" i="5"/>
  <c r="I48" i="5"/>
  <c r="I33" i="5" s="1"/>
  <c r="K33" i="5" s="1"/>
  <c r="I47" i="5"/>
  <c r="K47" i="5" s="1"/>
  <c r="I46" i="5"/>
  <c r="K46" i="5" s="1"/>
  <c r="I45" i="5"/>
  <c r="K45" i="5" s="1"/>
  <c r="I44" i="5"/>
  <c r="K44" i="5" s="1"/>
  <c r="I43" i="5"/>
  <c r="K43" i="5" s="1"/>
  <c r="L37" i="5"/>
  <c r="N37" i="5" s="1"/>
  <c r="L36" i="5"/>
  <c r="N36" i="5" s="1"/>
  <c r="M35" i="5"/>
  <c r="M32" i="5" s="1"/>
  <c r="L35" i="5"/>
  <c r="L32" i="5" s="1"/>
  <c r="N34" i="5"/>
  <c r="J33" i="5"/>
  <c r="J32" i="5"/>
  <c r="I28" i="5"/>
  <c r="K28" i="5" s="1"/>
  <c r="I27" i="5"/>
  <c r="K27" i="5" s="1"/>
  <c r="I26" i="5"/>
  <c r="K26" i="5" s="1"/>
  <c r="I25" i="5"/>
  <c r="K25" i="5" s="1"/>
  <c r="I24" i="5"/>
  <c r="K24" i="5" s="1"/>
  <c r="I23" i="5"/>
  <c r="K23" i="5" s="1"/>
  <c r="I22" i="5"/>
  <c r="J21" i="5"/>
  <c r="J10" i="5" s="1"/>
  <c r="J20" i="5"/>
  <c r="L14" i="5"/>
  <c r="N14" i="5" s="1"/>
  <c r="L13" i="5"/>
  <c r="N13" i="5" s="1"/>
  <c r="M12" i="5"/>
  <c r="L12" i="5"/>
  <c r="N11" i="5"/>
  <c r="M9" i="5"/>
  <c r="J9" i="5"/>
  <c r="J528" i="4"/>
  <c r="I528" i="4"/>
  <c r="J527" i="4"/>
  <c r="I527" i="4"/>
  <c r="J526" i="4"/>
  <c r="I526" i="4"/>
  <c r="M525" i="4"/>
  <c r="M520" i="4" s="1"/>
  <c r="J525" i="4"/>
  <c r="I525" i="4"/>
  <c r="J524" i="4"/>
  <c r="I524" i="4"/>
  <c r="J523" i="4"/>
  <c r="I523" i="4"/>
  <c r="N523" i="4" s="1"/>
  <c r="J522" i="4"/>
  <c r="I522" i="4"/>
  <c r="J521" i="4"/>
  <c r="I521" i="4"/>
  <c r="J517" i="4"/>
  <c r="I517" i="4"/>
  <c r="J514" i="4"/>
  <c r="J513" i="4" s="1"/>
  <c r="I514" i="4"/>
  <c r="I513" i="4"/>
  <c r="J510" i="4"/>
  <c r="I510" i="4"/>
  <c r="J504" i="4"/>
  <c r="J490" i="4" s="1"/>
  <c r="I504" i="4"/>
  <c r="K507" i="4" s="1"/>
  <c r="M494" i="4"/>
  <c r="L494" i="4"/>
  <c r="N494" i="4" s="1"/>
  <c r="L493" i="4"/>
  <c r="N493" i="4" s="1"/>
  <c r="M492" i="4"/>
  <c r="M490" i="4" s="1"/>
  <c r="N491" i="4"/>
  <c r="J489" i="4"/>
  <c r="I489" i="4"/>
  <c r="K489" i="4" s="1"/>
  <c r="J488" i="4"/>
  <c r="J473" i="4" s="1"/>
  <c r="I488" i="4"/>
  <c r="J487" i="4"/>
  <c r="I487" i="4"/>
  <c r="K487" i="4" s="1"/>
  <c r="J486" i="4"/>
  <c r="I486" i="4"/>
  <c r="J485" i="4"/>
  <c r="I485" i="4"/>
  <c r="K485" i="4" s="1"/>
  <c r="J484" i="4"/>
  <c r="I484" i="4"/>
  <c r="I473" i="4" s="1"/>
  <c r="J483" i="4"/>
  <c r="I483" i="4"/>
  <c r="K483" i="4" s="1"/>
  <c r="J482" i="4"/>
  <c r="I482" i="4"/>
  <c r="M477" i="4"/>
  <c r="L477" i="4"/>
  <c r="N477" i="4" s="1"/>
  <c r="L476" i="4"/>
  <c r="M475" i="4"/>
  <c r="N474" i="4"/>
  <c r="M473" i="4"/>
  <c r="K472" i="4"/>
  <c r="K471" i="4"/>
  <c r="K470" i="4"/>
  <c r="K469" i="4"/>
  <c r="K468" i="4"/>
  <c r="J466" i="4"/>
  <c r="I466" i="4"/>
  <c r="M461" i="4"/>
  <c r="M459" i="4" s="1"/>
  <c r="M457" i="4" s="1"/>
  <c r="L461" i="4"/>
  <c r="L460" i="4"/>
  <c r="N458" i="4"/>
  <c r="J457" i="4"/>
  <c r="I456" i="4"/>
  <c r="K456" i="4" s="1"/>
  <c r="I455" i="4"/>
  <c r="K455" i="4" s="1"/>
  <c r="I454" i="4"/>
  <c r="K454" i="4" s="1"/>
  <c r="I453" i="4"/>
  <c r="K453" i="4" s="1"/>
  <c r="M448" i="4"/>
  <c r="L448" i="4"/>
  <c r="N448" i="4" s="1"/>
  <c r="L447" i="4"/>
  <c r="N447" i="4" s="1"/>
  <c r="M446" i="4"/>
  <c r="N445" i="4"/>
  <c r="M444" i="4"/>
  <c r="J444" i="4"/>
  <c r="I441" i="4"/>
  <c r="K441" i="4" s="1"/>
  <c r="I440" i="4"/>
  <c r="M430" i="4"/>
  <c r="L430" i="4"/>
  <c r="N430" i="4" s="1"/>
  <c r="L429" i="4"/>
  <c r="M428" i="4"/>
  <c r="N427" i="4"/>
  <c r="M426" i="4"/>
  <c r="J426" i="4"/>
  <c r="K425" i="4"/>
  <c r="K424" i="4"/>
  <c r="K423" i="4"/>
  <c r="K422" i="4"/>
  <c r="K421" i="4"/>
  <c r="K420" i="4"/>
  <c r="J419" i="4"/>
  <c r="J418" i="4"/>
  <c r="K417" i="4"/>
  <c r="J417" i="4"/>
  <c r="I419" i="4" s="1"/>
  <c r="K419" i="4" s="1"/>
  <c r="K416" i="4"/>
  <c r="J416" i="4"/>
  <c r="I418" i="4" s="1"/>
  <c r="K418" i="4" s="1"/>
  <c r="K415" i="4"/>
  <c r="J415" i="4"/>
  <c r="K414" i="4"/>
  <c r="J414" i="4"/>
  <c r="K413" i="4"/>
  <c r="J413" i="4"/>
  <c r="K412" i="4"/>
  <c r="J412" i="4"/>
  <c r="I411" i="4"/>
  <c r="K411" i="4" s="1"/>
  <c r="I410" i="4"/>
  <c r="K410" i="4" s="1"/>
  <c r="I409" i="4"/>
  <c r="K409" i="4" s="1"/>
  <c r="K408" i="4"/>
  <c r="K407" i="4"/>
  <c r="K406" i="4"/>
  <c r="K405" i="4"/>
  <c r="K404" i="4"/>
  <c r="K403" i="4"/>
  <c r="K402" i="4"/>
  <c r="J402" i="4"/>
  <c r="J392" i="4" s="1"/>
  <c r="K401" i="4"/>
  <c r="J401" i="4"/>
  <c r="K400" i="4"/>
  <c r="K399" i="4"/>
  <c r="K398" i="4"/>
  <c r="K397" i="4"/>
  <c r="K396" i="4"/>
  <c r="K395" i="4"/>
  <c r="K394" i="4"/>
  <c r="J394" i="4"/>
  <c r="K393" i="4"/>
  <c r="J393" i="4"/>
  <c r="J391" i="4" s="1"/>
  <c r="I392" i="4"/>
  <c r="K392" i="4" s="1"/>
  <c r="I391" i="4"/>
  <c r="K391" i="4" s="1"/>
  <c r="J390" i="4"/>
  <c r="I390" i="4"/>
  <c r="K389" i="4"/>
  <c r="K388" i="4"/>
  <c r="K387" i="4"/>
  <c r="K386" i="4"/>
  <c r="K385" i="4"/>
  <c r="K384" i="4"/>
  <c r="K383" i="4"/>
  <c r="J383" i="4"/>
  <c r="K382" i="4"/>
  <c r="J382" i="4"/>
  <c r="K381" i="4"/>
  <c r="K380" i="4"/>
  <c r="K379" i="4"/>
  <c r="K378" i="4"/>
  <c r="J377" i="4"/>
  <c r="J376" i="4"/>
  <c r="J359" i="4" s="1"/>
  <c r="J350" i="4" s="1"/>
  <c r="K375" i="4"/>
  <c r="K374" i="4"/>
  <c r="K373" i="4"/>
  <c r="K372" i="4"/>
  <c r="K371" i="4"/>
  <c r="K370" i="4"/>
  <c r="J369" i="4"/>
  <c r="J368" i="4"/>
  <c r="K367" i="4"/>
  <c r="K366" i="4"/>
  <c r="K365" i="4"/>
  <c r="K364" i="4"/>
  <c r="K363" i="4"/>
  <c r="K362" i="4"/>
  <c r="J361" i="4"/>
  <c r="I361" i="4"/>
  <c r="J360" i="4"/>
  <c r="J360" i="1" s="1"/>
  <c r="I360" i="4"/>
  <c r="I359" i="4"/>
  <c r="I350" i="4" s="1"/>
  <c r="M354" i="4"/>
  <c r="L354" i="4"/>
  <c r="N354" i="4" s="1"/>
  <c r="L353" i="4"/>
  <c r="N353" i="4" s="1"/>
  <c r="M352" i="4"/>
  <c r="M350" i="4" s="1"/>
  <c r="N351" i="4"/>
  <c r="I347" i="4"/>
  <c r="K347" i="4" s="1"/>
  <c r="I346" i="4"/>
  <c r="K346" i="4" s="1"/>
  <c r="I345" i="4"/>
  <c r="J344" i="4"/>
  <c r="J330" i="4" s="1"/>
  <c r="M334" i="4"/>
  <c r="L334" i="4"/>
  <c r="N334" i="4" s="1"/>
  <c r="L333" i="4"/>
  <c r="M332" i="4"/>
  <c r="M330" i="4" s="1"/>
  <c r="N331" i="4"/>
  <c r="I327" i="4"/>
  <c r="K327" i="4" s="1"/>
  <c r="I326" i="4"/>
  <c r="I324" i="4"/>
  <c r="I323" i="4"/>
  <c r="K323" i="4" s="1"/>
  <c r="I322" i="4"/>
  <c r="K322" i="4" s="1"/>
  <c r="I321" i="4"/>
  <c r="I320" i="4"/>
  <c r="K320" i="4" s="1"/>
  <c r="I319" i="4"/>
  <c r="I318" i="4"/>
  <c r="K318" i="4" s="1"/>
  <c r="I317" i="4"/>
  <c r="K317" i="4" s="1"/>
  <c r="I316" i="4"/>
  <c r="I315" i="4"/>
  <c r="K315" i="4" s="1"/>
  <c r="I314" i="4"/>
  <c r="K314" i="4" s="1"/>
  <c r="I313" i="4"/>
  <c r="I312" i="4"/>
  <c r="M301" i="4"/>
  <c r="M299" i="4" s="1"/>
  <c r="M296" i="4" s="1"/>
  <c r="L301" i="4"/>
  <c r="L300" i="4"/>
  <c r="N298" i="4"/>
  <c r="J296" i="4"/>
  <c r="J296" i="1" s="1"/>
  <c r="I293" i="4"/>
  <c r="K293" i="4" s="1"/>
  <c r="I292" i="4"/>
  <c r="I275" i="4" s="1"/>
  <c r="I291" i="4"/>
  <c r="K291" i="4" s="1"/>
  <c r="M280" i="4"/>
  <c r="M278" i="4" s="1"/>
  <c r="L280" i="4"/>
  <c r="L279" i="4"/>
  <c r="N277" i="4"/>
  <c r="J276" i="4"/>
  <c r="M275" i="4"/>
  <c r="J275" i="4"/>
  <c r="I272" i="4"/>
  <c r="K272" i="4" s="1"/>
  <c r="I271" i="4"/>
  <c r="J270" i="4"/>
  <c r="I268" i="4"/>
  <c r="K268" i="4" s="1"/>
  <c r="I266" i="4"/>
  <c r="I264" i="4"/>
  <c r="K264" i="4" s="1"/>
  <c r="J263" i="4"/>
  <c r="I263" i="4"/>
  <c r="J262" i="4"/>
  <c r="I260" i="4"/>
  <c r="K260" i="4" s="1"/>
  <c r="M249" i="4"/>
  <c r="M247" i="4" s="1"/>
  <c r="M244" i="4" s="1"/>
  <c r="L249" i="4"/>
  <c r="L248" i="4"/>
  <c r="N246" i="4"/>
  <c r="J244" i="4"/>
  <c r="K241" i="4"/>
  <c r="J241" i="4"/>
  <c r="J240" i="4"/>
  <c r="J228" i="4" s="1"/>
  <c r="I240" i="4"/>
  <c r="K239" i="4"/>
  <c r="J239" i="4"/>
  <c r="J238" i="4"/>
  <c r="I238" i="4"/>
  <c r="K237" i="4"/>
  <c r="J237" i="4"/>
  <c r="J236" i="4"/>
  <c r="I236" i="4"/>
  <c r="I228" i="4" s="1"/>
  <c r="J235" i="4"/>
  <c r="I235" i="4"/>
  <c r="K234" i="4"/>
  <c r="J234" i="4"/>
  <c r="L232" i="4"/>
  <c r="N232" i="4" s="1"/>
  <c r="L231" i="4"/>
  <c r="M230" i="4"/>
  <c r="N229" i="4"/>
  <c r="M228" i="4"/>
  <c r="I224" i="4"/>
  <c r="L218" i="4"/>
  <c r="N218" i="4" s="1"/>
  <c r="L217" i="4"/>
  <c r="M216" i="4"/>
  <c r="N215" i="4"/>
  <c r="M214" i="4"/>
  <c r="J214" i="4"/>
  <c r="I211" i="4"/>
  <c r="K211" i="4" s="1"/>
  <c r="I209" i="4"/>
  <c r="I199" i="4" s="1"/>
  <c r="K199" i="4" s="1"/>
  <c r="L203" i="4"/>
  <c r="N203" i="4" s="1"/>
  <c r="L202" i="4"/>
  <c r="M201" i="4"/>
  <c r="M199" i="4" s="1"/>
  <c r="N200" i="4"/>
  <c r="J199" i="4"/>
  <c r="I195" i="4"/>
  <c r="K195" i="4" s="1"/>
  <c r="L189" i="4"/>
  <c r="N189" i="4" s="1"/>
  <c r="L188" i="4"/>
  <c r="N188" i="4" s="1"/>
  <c r="M187" i="4"/>
  <c r="M185" i="4" s="1"/>
  <c r="N186" i="4"/>
  <c r="J185" i="4"/>
  <c r="I182" i="4"/>
  <c r="K182" i="4" s="1"/>
  <c r="I181" i="4"/>
  <c r="K181" i="4" s="1"/>
  <c r="I180" i="4"/>
  <c r="I169" i="4" s="1"/>
  <c r="I179" i="4"/>
  <c r="K179" i="4" s="1"/>
  <c r="L173" i="4"/>
  <c r="N173" i="4" s="1"/>
  <c r="L172" i="4"/>
  <c r="M171" i="4"/>
  <c r="N170" i="4"/>
  <c r="M169" i="4"/>
  <c r="J169" i="4"/>
  <c r="K164" i="4"/>
  <c r="K158" i="4"/>
  <c r="J158" i="4"/>
  <c r="I158" i="4"/>
  <c r="I155" i="4"/>
  <c r="J149" i="4"/>
  <c r="L148" i="4"/>
  <c r="N148" i="4" s="1"/>
  <c r="L147" i="4"/>
  <c r="N147" i="4" s="1"/>
  <c r="M146" i="4"/>
  <c r="M144" i="4" s="1"/>
  <c r="N145" i="4"/>
  <c r="J144" i="4"/>
  <c r="L141" i="4"/>
  <c r="N141" i="4" s="1"/>
  <c r="I141" i="4"/>
  <c r="K141" i="4" s="1"/>
  <c r="L140" i="4"/>
  <c r="N140" i="4" s="1"/>
  <c r="I140" i="4"/>
  <c r="K140" i="4" s="1"/>
  <c r="L138" i="4"/>
  <c r="N138" i="4" s="1"/>
  <c r="I138" i="4"/>
  <c r="I129" i="4" s="1"/>
  <c r="L132" i="4"/>
  <c r="N132" i="4" s="1"/>
  <c r="M131" i="4"/>
  <c r="M129" i="4" s="1"/>
  <c r="N130" i="4"/>
  <c r="J129" i="4"/>
  <c r="J68" i="4" s="1"/>
  <c r="L126" i="4"/>
  <c r="N126" i="4" s="1"/>
  <c r="I126" i="4"/>
  <c r="L125" i="4"/>
  <c r="N125" i="4" s="1"/>
  <c r="I125" i="4"/>
  <c r="I114" i="4" s="1"/>
  <c r="K114" i="4" s="1"/>
  <c r="I124" i="4"/>
  <c r="K124" i="4" s="1"/>
  <c r="L117" i="4"/>
  <c r="M116" i="4"/>
  <c r="N115" i="4"/>
  <c r="M114" i="4"/>
  <c r="J114" i="4"/>
  <c r="L111" i="4"/>
  <c r="N111" i="4" s="1"/>
  <c r="I111" i="4"/>
  <c r="L110" i="4"/>
  <c r="N110" i="4" s="1"/>
  <c r="I110" i="4"/>
  <c r="K110" i="4" s="1"/>
  <c r="L104" i="4"/>
  <c r="M103" i="4"/>
  <c r="N102" i="4"/>
  <c r="M101" i="4"/>
  <c r="J101" i="4"/>
  <c r="L98" i="4"/>
  <c r="N98" i="4" s="1"/>
  <c r="I98" i="4"/>
  <c r="K98" i="4" s="1"/>
  <c r="L92" i="4"/>
  <c r="M91" i="4"/>
  <c r="N90" i="4"/>
  <c r="M89" i="4"/>
  <c r="J89" i="4"/>
  <c r="J84" i="4"/>
  <c r="I83" i="4"/>
  <c r="L77" i="4"/>
  <c r="M76" i="4"/>
  <c r="N75" i="4"/>
  <c r="M74" i="4"/>
  <c r="J74" i="4"/>
  <c r="M73" i="4"/>
  <c r="L72" i="4"/>
  <c r="N72" i="4" s="1"/>
  <c r="M71" i="4"/>
  <c r="M68" i="4" s="1"/>
  <c r="N70" i="4"/>
  <c r="I62" i="4"/>
  <c r="L56" i="4"/>
  <c r="N56" i="4" s="1"/>
  <c r="L55" i="4"/>
  <c r="N55" i="4" s="1"/>
  <c r="M54" i="4"/>
  <c r="N53" i="4"/>
  <c r="M52" i="4"/>
  <c r="J52" i="4"/>
  <c r="I48" i="4"/>
  <c r="I47" i="4"/>
  <c r="K47" i="4" s="1"/>
  <c r="I46" i="4"/>
  <c r="K46" i="4" s="1"/>
  <c r="I45" i="4"/>
  <c r="K45" i="4" s="1"/>
  <c r="I44" i="4"/>
  <c r="I32" i="4" s="1"/>
  <c r="K32" i="4" s="1"/>
  <c r="I43" i="4"/>
  <c r="K43" i="4" s="1"/>
  <c r="L37" i="4"/>
  <c r="N37" i="4" s="1"/>
  <c r="L36" i="4"/>
  <c r="N36" i="4" s="1"/>
  <c r="M35" i="4"/>
  <c r="L35" i="4"/>
  <c r="N35" i="4" s="1"/>
  <c r="N34" i="4"/>
  <c r="J33" i="4"/>
  <c r="M32" i="4"/>
  <c r="J32" i="4"/>
  <c r="I28" i="4"/>
  <c r="K28" i="4" s="1"/>
  <c r="I27" i="4"/>
  <c r="K27" i="4" s="1"/>
  <c r="I26" i="4"/>
  <c r="K26" i="4" s="1"/>
  <c r="I25" i="4"/>
  <c r="K25" i="4" s="1"/>
  <c r="I24" i="4"/>
  <c r="I23" i="4"/>
  <c r="K23" i="4" s="1"/>
  <c r="I22" i="4"/>
  <c r="J21" i="4"/>
  <c r="J10" i="4" s="1"/>
  <c r="J20" i="4"/>
  <c r="L14" i="4"/>
  <c r="N14" i="4" s="1"/>
  <c r="L13" i="4"/>
  <c r="N13" i="4" s="1"/>
  <c r="M12" i="4"/>
  <c r="L12" i="4"/>
  <c r="N11" i="4"/>
  <c r="M9" i="4"/>
  <c r="J9" i="4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17" i="3"/>
  <c r="I517" i="3"/>
  <c r="J514" i="3"/>
  <c r="J513" i="3" s="1"/>
  <c r="J513" i="1" s="1"/>
  <c r="I514" i="3"/>
  <c r="I513" i="3"/>
  <c r="K519" i="3" s="1"/>
  <c r="J510" i="3"/>
  <c r="I510" i="3"/>
  <c r="J504" i="3"/>
  <c r="J490" i="3" s="1"/>
  <c r="I504" i="3"/>
  <c r="M494" i="3"/>
  <c r="L494" i="3"/>
  <c r="N494" i="3" s="1"/>
  <c r="L493" i="3"/>
  <c r="N493" i="3" s="1"/>
  <c r="M492" i="3"/>
  <c r="N491" i="3"/>
  <c r="M490" i="3"/>
  <c r="J489" i="3"/>
  <c r="I489" i="3"/>
  <c r="K489" i="3" s="1"/>
  <c r="J488" i="3"/>
  <c r="J473" i="3" s="1"/>
  <c r="I488" i="3"/>
  <c r="J487" i="3"/>
  <c r="I487" i="3"/>
  <c r="K487" i="3" s="1"/>
  <c r="J486" i="3"/>
  <c r="I486" i="3"/>
  <c r="J485" i="3"/>
  <c r="I485" i="3"/>
  <c r="K485" i="3" s="1"/>
  <c r="J484" i="3"/>
  <c r="I484" i="3"/>
  <c r="I473" i="3" s="1"/>
  <c r="J483" i="3"/>
  <c r="I483" i="3"/>
  <c r="K483" i="3" s="1"/>
  <c r="J482" i="3"/>
  <c r="I482" i="3"/>
  <c r="M477" i="3"/>
  <c r="L477" i="3"/>
  <c r="N477" i="3" s="1"/>
  <c r="L476" i="3"/>
  <c r="N476" i="3" s="1"/>
  <c r="M475" i="3"/>
  <c r="M473" i="3" s="1"/>
  <c r="N474" i="3"/>
  <c r="K472" i="3"/>
  <c r="K471" i="3"/>
  <c r="K470" i="3"/>
  <c r="K469" i="3"/>
  <c r="K468" i="3"/>
  <c r="J466" i="3"/>
  <c r="J457" i="3" s="1"/>
  <c r="I466" i="3"/>
  <c r="M461" i="3"/>
  <c r="L461" i="3"/>
  <c r="N461" i="3" s="1"/>
  <c r="L460" i="3"/>
  <c r="M459" i="3"/>
  <c r="N458" i="3"/>
  <c r="M457" i="3"/>
  <c r="I456" i="3"/>
  <c r="K456" i="3" s="1"/>
  <c r="I455" i="3"/>
  <c r="K455" i="3" s="1"/>
  <c r="I454" i="3"/>
  <c r="K454" i="3" s="1"/>
  <c r="I453" i="3"/>
  <c r="K453" i="3" s="1"/>
  <c r="M448" i="3"/>
  <c r="M446" i="3" s="1"/>
  <c r="M444" i="3" s="1"/>
  <c r="L448" i="3"/>
  <c r="N448" i="3" s="1"/>
  <c r="L447" i="3"/>
  <c r="N445" i="3"/>
  <c r="J444" i="3"/>
  <c r="J444" i="1" s="1"/>
  <c r="I441" i="3"/>
  <c r="K441" i="3" s="1"/>
  <c r="I440" i="3"/>
  <c r="K440" i="3" s="1"/>
  <c r="M430" i="3"/>
  <c r="L430" i="3"/>
  <c r="N430" i="3" s="1"/>
  <c r="L429" i="3"/>
  <c r="N429" i="3" s="1"/>
  <c r="M428" i="3"/>
  <c r="M426" i="3" s="1"/>
  <c r="N427" i="3"/>
  <c r="J426" i="3"/>
  <c r="K425" i="3"/>
  <c r="K424" i="3"/>
  <c r="K423" i="3"/>
  <c r="K422" i="3"/>
  <c r="K421" i="3"/>
  <c r="K420" i="3"/>
  <c r="J419" i="3"/>
  <c r="J419" i="1" s="1"/>
  <c r="J418" i="3"/>
  <c r="K417" i="3"/>
  <c r="J417" i="3"/>
  <c r="I419" i="3" s="1"/>
  <c r="K419" i="3" s="1"/>
  <c r="K416" i="3"/>
  <c r="J416" i="3"/>
  <c r="I418" i="3" s="1"/>
  <c r="K418" i="3" s="1"/>
  <c r="K415" i="3"/>
  <c r="J415" i="3"/>
  <c r="K414" i="3"/>
  <c r="J414" i="3"/>
  <c r="K413" i="3"/>
  <c r="J413" i="3"/>
  <c r="K412" i="3"/>
  <c r="J412" i="3"/>
  <c r="I411" i="3"/>
  <c r="K411" i="3" s="1"/>
  <c r="I410" i="3"/>
  <c r="K410" i="3" s="1"/>
  <c r="I409" i="3"/>
  <c r="K409" i="3" s="1"/>
  <c r="K408" i="3"/>
  <c r="K407" i="3"/>
  <c r="K406" i="3"/>
  <c r="K405" i="3"/>
  <c r="K404" i="3"/>
  <c r="K403" i="3"/>
  <c r="K402" i="3"/>
  <c r="J402" i="3"/>
  <c r="K401" i="3"/>
  <c r="J401" i="3"/>
  <c r="J391" i="3" s="1"/>
  <c r="J390" i="3" s="1"/>
  <c r="K400" i="3"/>
  <c r="K399" i="3"/>
  <c r="K398" i="3"/>
  <c r="K397" i="3"/>
  <c r="K396" i="3"/>
  <c r="K395" i="3"/>
  <c r="K394" i="3"/>
  <c r="J394" i="3"/>
  <c r="J392" i="3" s="1"/>
  <c r="J392" i="1" s="1"/>
  <c r="K393" i="3"/>
  <c r="J393" i="3"/>
  <c r="I392" i="3"/>
  <c r="I391" i="3"/>
  <c r="K391" i="3" s="1"/>
  <c r="I390" i="3"/>
  <c r="K389" i="3"/>
  <c r="K388" i="3"/>
  <c r="K387" i="3"/>
  <c r="K386" i="3"/>
  <c r="K385" i="3"/>
  <c r="K384" i="3"/>
  <c r="K383" i="3"/>
  <c r="J383" i="3"/>
  <c r="K382" i="3"/>
  <c r="J382" i="3"/>
  <c r="J376" i="3" s="1"/>
  <c r="K381" i="3"/>
  <c r="K380" i="3"/>
  <c r="K379" i="3"/>
  <c r="K378" i="3"/>
  <c r="J377" i="3"/>
  <c r="K375" i="3"/>
  <c r="K374" i="3"/>
  <c r="K373" i="3"/>
  <c r="K372" i="3"/>
  <c r="K371" i="3"/>
  <c r="K370" i="3"/>
  <c r="J369" i="3"/>
  <c r="J368" i="3"/>
  <c r="K367" i="3"/>
  <c r="K366" i="3"/>
  <c r="K365" i="3"/>
  <c r="K364" i="3"/>
  <c r="K363" i="3"/>
  <c r="K362" i="3"/>
  <c r="J361" i="3"/>
  <c r="I361" i="3"/>
  <c r="K361" i="3" s="1"/>
  <c r="J360" i="3"/>
  <c r="I360" i="3"/>
  <c r="K360" i="3" s="1"/>
  <c r="J359" i="3"/>
  <c r="I359" i="3"/>
  <c r="I368" i="3" s="1"/>
  <c r="K368" i="3" s="1"/>
  <c r="M354" i="3"/>
  <c r="L354" i="3"/>
  <c r="N354" i="3" s="1"/>
  <c r="L353" i="3"/>
  <c r="N353" i="3" s="1"/>
  <c r="M352" i="3"/>
  <c r="N351" i="3"/>
  <c r="M350" i="3"/>
  <c r="I347" i="3"/>
  <c r="K347" i="3" s="1"/>
  <c r="I346" i="3"/>
  <c r="I345" i="3"/>
  <c r="K345" i="3" s="1"/>
  <c r="J344" i="3"/>
  <c r="M334" i="3"/>
  <c r="L334" i="3"/>
  <c r="N334" i="3" s="1"/>
  <c r="L333" i="3"/>
  <c r="N333" i="3" s="1"/>
  <c r="M332" i="3"/>
  <c r="M330" i="3" s="1"/>
  <c r="N331" i="3"/>
  <c r="J330" i="3"/>
  <c r="I327" i="3"/>
  <c r="K327" i="3" s="1"/>
  <c r="I326" i="3"/>
  <c r="I324" i="3"/>
  <c r="K324" i="3" s="1"/>
  <c r="I323" i="3"/>
  <c r="K323" i="3" s="1"/>
  <c r="I322" i="3"/>
  <c r="K322" i="3" s="1"/>
  <c r="I321" i="3"/>
  <c r="I320" i="3"/>
  <c r="K320" i="3" s="1"/>
  <c r="I319" i="3"/>
  <c r="I318" i="3"/>
  <c r="K318" i="3" s="1"/>
  <c r="I317" i="3"/>
  <c r="I316" i="3"/>
  <c r="I315" i="3"/>
  <c r="K315" i="3" s="1"/>
  <c r="I314" i="3"/>
  <c r="K314" i="3" s="1"/>
  <c r="I313" i="3"/>
  <c r="K313" i="3" s="1"/>
  <c r="I312" i="3"/>
  <c r="M301" i="3"/>
  <c r="L301" i="3"/>
  <c r="N301" i="3" s="1"/>
  <c r="L300" i="3"/>
  <c r="N300" i="3" s="1"/>
  <c r="M299" i="3"/>
  <c r="M296" i="3" s="1"/>
  <c r="N298" i="3"/>
  <c r="J296" i="3"/>
  <c r="I293" i="3"/>
  <c r="K293" i="3" s="1"/>
  <c r="I292" i="3"/>
  <c r="K292" i="3" s="1"/>
  <c r="I291" i="3"/>
  <c r="K291" i="3" s="1"/>
  <c r="M280" i="3"/>
  <c r="L280" i="3"/>
  <c r="N280" i="3" s="1"/>
  <c r="L279" i="3"/>
  <c r="N279" i="3" s="1"/>
  <c r="M278" i="3"/>
  <c r="M275" i="3" s="1"/>
  <c r="N277" i="3"/>
  <c r="J276" i="3"/>
  <c r="J275" i="3"/>
  <c r="I272" i="3"/>
  <c r="K272" i="3" s="1"/>
  <c r="I271" i="3"/>
  <c r="K271" i="3" s="1"/>
  <c r="J270" i="3"/>
  <c r="J244" i="3" s="1"/>
  <c r="I268" i="3"/>
  <c r="K268" i="3" s="1"/>
  <c r="I266" i="3"/>
  <c r="K266" i="3" s="1"/>
  <c r="I264" i="3"/>
  <c r="K264" i="3" s="1"/>
  <c r="J263" i="3"/>
  <c r="J245" i="3" s="1"/>
  <c r="I263" i="3"/>
  <c r="I265" i="3" s="1"/>
  <c r="J262" i="3"/>
  <c r="I260" i="3"/>
  <c r="K260" i="3" s="1"/>
  <c r="J259" i="3"/>
  <c r="M249" i="3"/>
  <c r="L249" i="3"/>
  <c r="N249" i="3" s="1"/>
  <c r="L248" i="3"/>
  <c r="M247" i="3"/>
  <c r="M244" i="3" s="1"/>
  <c r="M242" i="3" s="1"/>
  <c r="N246" i="3"/>
  <c r="K241" i="3"/>
  <c r="J241" i="3"/>
  <c r="J240" i="3"/>
  <c r="J228" i="3" s="1"/>
  <c r="I240" i="3"/>
  <c r="K239" i="3"/>
  <c r="J239" i="3"/>
  <c r="J238" i="3"/>
  <c r="I238" i="3"/>
  <c r="K237" i="3"/>
  <c r="J237" i="3"/>
  <c r="J236" i="3"/>
  <c r="I236" i="3"/>
  <c r="J235" i="3"/>
  <c r="I235" i="3"/>
  <c r="K234" i="3"/>
  <c r="J234" i="3"/>
  <c r="L232" i="3"/>
  <c r="N232" i="3" s="1"/>
  <c r="L231" i="3"/>
  <c r="M230" i="3"/>
  <c r="N229" i="3"/>
  <c r="M228" i="3"/>
  <c r="I224" i="3"/>
  <c r="I214" i="3" s="1"/>
  <c r="K214" i="3" s="1"/>
  <c r="L218" i="3"/>
  <c r="N218" i="3" s="1"/>
  <c r="L217" i="3"/>
  <c r="M216" i="3"/>
  <c r="N215" i="3"/>
  <c r="M214" i="3"/>
  <c r="J214" i="3"/>
  <c r="I211" i="3"/>
  <c r="K211" i="3" s="1"/>
  <c r="I209" i="3"/>
  <c r="K209" i="3" s="1"/>
  <c r="L203" i="3"/>
  <c r="N203" i="3" s="1"/>
  <c r="L202" i="3"/>
  <c r="N202" i="3" s="1"/>
  <c r="M201" i="3"/>
  <c r="M199" i="3" s="1"/>
  <c r="N200" i="3"/>
  <c r="J199" i="3"/>
  <c r="I195" i="3"/>
  <c r="K195" i="3" s="1"/>
  <c r="L189" i="3"/>
  <c r="L188" i="3"/>
  <c r="N188" i="3" s="1"/>
  <c r="M187" i="3"/>
  <c r="M185" i="3" s="1"/>
  <c r="N186" i="3"/>
  <c r="J185" i="3"/>
  <c r="J185" i="1" s="1"/>
  <c r="I182" i="3"/>
  <c r="K182" i="3" s="1"/>
  <c r="I181" i="3"/>
  <c r="K181" i="3" s="1"/>
  <c r="I180" i="3"/>
  <c r="I179" i="3"/>
  <c r="K179" i="3" s="1"/>
  <c r="L173" i="3"/>
  <c r="N173" i="3" s="1"/>
  <c r="L172" i="3"/>
  <c r="M171" i="3"/>
  <c r="N170" i="3"/>
  <c r="M169" i="3"/>
  <c r="J169" i="3"/>
  <c r="K164" i="3"/>
  <c r="K158" i="3"/>
  <c r="J158" i="3"/>
  <c r="I158" i="3"/>
  <c r="I155" i="3"/>
  <c r="I149" i="3" s="1"/>
  <c r="J149" i="3"/>
  <c r="L148" i="3"/>
  <c r="L147" i="3"/>
  <c r="M146" i="3"/>
  <c r="N145" i="3"/>
  <c r="M144" i="3"/>
  <c r="J144" i="3"/>
  <c r="L141" i="3"/>
  <c r="N141" i="3" s="1"/>
  <c r="I141" i="3"/>
  <c r="K141" i="3" s="1"/>
  <c r="L140" i="3"/>
  <c r="N140" i="3" s="1"/>
  <c r="I140" i="3"/>
  <c r="K140" i="3" s="1"/>
  <c r="L138" i="3"/>
  <c r="N138" i="3" s="1"/>
  <c r="I138" i="3"/>
  <c r="K138" i="3" s="1"/>
  <c r="L132" i="3"/>
  <c r="M131" i="3"/>
  <c r="N130" i="3"/>
  <c r="M129" i="3"/>
  <c r="J129" i="3"/>
  <c r="J129" i="1" s="1"/>
  <c r="L126" i="3"/>
  <c r="N126" i="3" s="1"/>
  <c r="I126" i="3"/>
  <c r="K126" i="3" s="1"/>
  <c r="L125" i="3"/>
  <c r="N125" i="3" s="1"/>
  <c r="I125" i="3"/>
  <c r="I124" i="3"/>
  <c r="K124" i="3" s="1"/>
  <c r="L117" i="3"/>
  <c r="L116" i="3" s="1"/>
  <c r="N116" i="3" s="1"/>
  <c r="M116" i="3"/>
  <c r="M116" i="1" s="1"/>
  <c r="N115" i="3"/>
  <c r="J114" i="3"/>
  <c r="L111" i="3"/>
  <c r="N111" i="3" s="1"/>
  <c r="I111" i="3"/>
  <c r="K111" i="3" s="1"/>
  <c r="L110" i="3"/>
  <c r="N110" i="3" s="1"/>
  <c r="I110" i="3"/>
  <c r="K110" i="3" s="1"/>
  <c r="L104" i="3"/>
  <c r="L103" i="3" s="1"/>
  <c r="N103" i="3" s="1"/>
  <c r="M103" i="3"/>
  <c r="N102" i="3"/>
  <c r="M101" i="3"/>
  <c r="J101" i="3"/>
  <c r="L98" i="3"/>
  <c r="N98" i="3" s="1"/>
  <c r="I98" i="3"/>
  <c r="K98" i="3" s="1"/>
  <c r="L92" i="3"/>
  <c r="M91" i="3"/>
  <c r="N90" i="3"/>
  <c r="M89" i="3"/>
  <c r="J89" i="3"/>
  <c r="J84" i="3"/>
  <c r="I83" i="3"/>
  <c r="K83" i="3" s="1"/>
  <c r="L77" i="3"/>
  <c r="M76" i="3"/>
  <c r="N75" i="3"/>
  <c r="M74" i="3"/>
  <c r="J74" i="3"/>
  <c r="M73" i="3"/>
  <c r="M71" i="3" s="1"/>
  <c r="M68" i="3" s="1"/>
  <c r="L72" i="3"/>
  <c r="N70" i="3"/>
  <c r="I62" i="3"/>
  <c r="I63" i="3" s="1"/>
  <c r="K63" i="3" s="1"/>
  <c r="L56" i="3"/>
  <c r="N56" i="3" s="1"/>
  <c r="L55" i="3"/>
  <c r="N55" i="3" s="1"/>
  <c r="M54" i="3"/>
  <c r="M52" i="3" s="1"/>
  <c r="N53" i="3"/>
  <c r="J52" i="3"/>
  <c r="I48" i="3"/>
  <c r="I33" i="3" s="1"/>
  <c r="K33" i="3" s="1"/>
  <c r="I47" i="3"/>
  <c r="I46" i="3"/>
  <c r="K46" i="3" s="1"/>
  <c r="I45" i="3"/>
  <c r="K45" i="3" s="1"/>
  <c r="I44" i="3"/>
  <c r="I32" i="3" s="1"/>
  <c r="K32" i="3" s="1"/>
  <c r="I43" i="3"/>
  <c r="L37" i="3"/>
  <c r="N37" i="3" s="1"/>
  <c r="L36" i="3"/>
  <c r="N36" i="3" s="1"/>
  <c r="M35" i="3"/>
  <c r="L35" i="3"/>
  <c r="L32" i="3" s="1"/>
  <c r="N32" i="3" s="1"/>
  <c r="N34" i="3"/>
  <c r="J33" i="3"/>
  <c r="M32" i="3"/>
  <c r="J32" i="3"/>
  <c r="I28" i="3"/>
  <c r="K28" i="3" s="1"/>
  <c r="I27" i="3"/>
  <c r="K27" i="3" s="1"/>
  <c r="I26" i="3"/>
  <c r="K26" i="3" s="1"/>
  <c r="I25" i="3"/>
  <c r="K25" i="3" s="1"/>
  <c r="I24" i="3"/>
  <c r="K24" i="3" s="1"/>
  <c r="I23" i="3"/>
  <c r="K23" i="3" s="1"/>
  <c r="I22" i="3"/>
  <c r="K22" i="3" s="1"/>
  <c r="J21" i="3"/>
  <c r="J10" i="3" s="1"/>
  <c r="J20" i="3"/>
  <c r="L14" i="3"/>
  <c r="N14" i="3" s="1"/>
  <c r="L13" i="3"/>
  <c r="N13" i="3" s="1"/>
  <c r="M12" i="3"/>
  <c r="M9" i="3" s="1"/>
  <c r="L12" i="3"/>
  <c r="N11" i="3"/>
  <c r="J9" i="3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17" i="2"/>
  <c r="I517" i="2"/>
  <c r="J514" i="2"/>
  <c r="I514" i="2"/>
  <c r="J513" i="2"/>
  <c r="I513" i="2"/>
  <c r="K519" i="2" s="1"/>
  <c r="J510" i="2"/>
  <c r="I510" i="2"/>
  <c r="J504" i="2"/>
  <c r="I504" i="2"/>
  <c r="K507" i="2" s="1"/>
  <c r="M494" i="2"/>
  <c r="M492" i="2" s="1"/>
  <c r="M490" i="2" s="1"/>
  <c r="L494" i="2"/>
  <c r="N494" i="2" s="1"/>
  <c r="L493" i="2"/>
  <c r="N491" i="2"/>
  <c r="J490" i="2"/>
  <c r="J489" i="2"/>
  <c r="I489" i="2"/>
  <c r="K489" i="2" s="1"/>
  <c r="J488" i="2"/>
  <c r="J473" i="2" s="1"/>
  <c r="I488" i="2"/>
  <c r="J487" i="2"/>
  <c r="I487" i="2"/>
  <c r="J486" i="2"/>
  <c r="I486" i="2"/>
  <c r="J485" i="2"/>
  <c r="I485" i="2"/>
  <c r="J484" i="2"/>
  <c r="I484" i="2"/>
  <c r="I473" i="2" s="1"/>
  <c r="J483" i="2"/>
  <c r="I483" i="2"/>
  <c r="J482" i="2"/>
  <c r="I482" i="2"/>
  <c r="M477" i="2"/>
  <c r="L477" i="2"/>
  <c r="L476" i="2"/>
  <c r="N476" i="2" s="1"/>
  <c r="M475" i="2"/>
  <c r="N474" i="2"/>
  <c r="M473" i="2"/>
  <c r="K472" i="2"/>
  <c r="K471" i="2"/>
  <c r="K470" i="2"/>
  <c r="K469" i="2"/>
  <c r="K468" i="2"/>
  <c r="J466" i="2"/>
  <c r="I466" i="2"/>
  <c r="K466" i="2" s="1"/>
  <c r="M461" i="2"/>
  <c r="L461" i="2"/>
  <c r="L460" i="2"/>
  <c r="N460" i="2" s="1"/>
  <c r="M459" i="2"/>
  <c r="M457" i="2" s="1"/>
  <c r="N458" i="2"/>
  <c r="I456" i="2"/>
  <c r="K456" i="2" s="1"/>
  <c r="I455" i="2"/>
  <c r="I454" i="2"/>
  <c r="K454" i="2" s="1"/>
  <c r="I453" i="2"/>
  <c r="M448" i="2"/>
  <c r="L448" i="2"/>
  <c r="L447" i="2"/>
  <c r="M446" i="2"/>
  <c r="N445" i="2"/>
  <c r="M444" i="2"/>
  <c r="J444" i="2"/>
  <c r="I441" i="2"/>
  <c r="I440" i="2"/>
  <c r="K440" i="2" s="1"/>
  <c r="M430" i="2"/>
  <c r="M428" i="2" s="1"/>
  <c r="M426" i="2" s="1"/>
  <c r="L430" i="2"/>
  <c r="L429" i="2"/>
  <c r="N427" i="2"/>
  <c r="J426" i="2"/>
  <c r="K425" i="2"/>
  <c r="K424" i="2"/>
  <c r="K423" i="2"/>
  <c r="K422" i="2"/>
  <c r="K421" i="2"/>
  <c r="K420" i="2"/>
  <c r="J419" i="2"/>
  <c r="J418" i="2"/>
  <c r="K417" i="2"/>
  <c r="J417" i="2"/>
  <c r="I419" i="2" s="1"/>
  <c r="K419" i="2" s="1"/>
  <c r="K416" i="2"/>
  <c r="J416" i="2"/>
  <c r="I418" i="2" s="1"/>
  <c r="K415" i="2"/>
  <c r="J415" i="2"/>
  <c r="K414" i="2"/>
  <c r="J414" i="2"/>
  <c r="K413" i="2"/>
  <c r="J413" i="2"/>
  <c r="K412" i="2"/>
  <c r="J412" i="2"/>
  <c r="I411" i="2"/>
  <c r="K411" i="2" s="1"/>
  <c r="I410" i="2"/>
  <c r="K410" i="2" s="1"/>
  <c r="I409" i="2"/>
  <c r="K408" i="2"/>
  <c r="K407" i="2"/>
  <c r="K406" i="2"/>
  <c r="K405" i="2"/>
  <c r="K404" i="2"/>
  <c r="K403" i="2"/>
  <c r="K402" i="2"/>
  <c r="J402" i="2"/>
  <c r="K401" i="2"/>
  <c r="J401" i="2"/>
  <c r="K400" i="2"/>
  <c r="K399" i="2"/>
  <c r="K398" i="2"/>
  <c r="K397" i="2"/>
  <c r="K396" i="2"/>
  <c r="K395" i="2"/>
  <c r="K394" i="2"/>
  <c r="J394" i="2"/>
  <c r="K393" i="2"/>
  <c r="J393" i="2"/>
  <c r="J393" i="1" s="1"/>
  <c r="J392" i="2"/>
  <c r="I392" i="2"/>
  <c r="K392" i="2" s="1"/>
  <c r="J391" i="2"/>
  <c r="J390" i="2" s="1"/>
  <c r="I391" i="2"/>
  <c r="K391" i="2" s="1"/>
  <c r="I390" i="2"/>
  <c r="K389" i="2"/>
  <c r="K388" i="2"/>
  <c r="K387" i="2"/>
  <c r="K386" i="2"/>
  <c r="K385" i="2"/>
  <c r="K384" i="2"/>
  <c r="K383" i="2"/>
  <c r="J383" i="2"/>
  <c r="K382" i="2"/>
  <c r="J382" i="2"/>
  <c r="K381" i="2"/>
  <c r="K380" i="2"/>
  <c r="K379" i="2"/>
  <c r="K378" i="2"/>
  <c r="J377" i="2"/>
  <c r="J377" i="1" s="1"/>
  <c r="J376" i="2"/>
  <c r="J359" i="2" s="1"/>
  <c r="K375" i="2"/>
  <c r="K374" i="2"/>
  <c r="K373" i="2"/>
  <c r="K372" i="2"/>
  <c r="K371" i="2"/>
  <c r="K370" i="2"/>
  <c r="J369" i="2"/>
  <c r="J368" i="2"/>
  <c r="J368" i="1" s="1"/>
  <c r="K367" i="2"/>
  <c r="K366" i="2"/>
  <c r="K365" i="2"/>
  <c r="K364" i="2"/>
  <c r="K363" i="2"/>
  <c r="K362" i="2"/>
  <c r="J361" i="2"/>
  <c r="J361" i="1" s="1"/>
  <c r="I361" i="2"/>
  <c r="I369" i="2" s="1"/>
  <c r="K369" i="2" s="1"/>
  <c r="J360" i="2"/>
  <c r="I360" i="2"/>
  <c r="K360" i="2" s="1"/>
  <c r="I359" i="2"/>
  <c r="I350" i="2" s="1"/>
  <c r="K350" i="2" s="1"/>
  <c r="M354" i="2"/>
  <c r="L354" i="2"/>
  <c r="L353" i="2"/>
  <c r="N351" i="2"/>
  <c r="J350" i="2"/>
  <c r="I347" i="2"/>
  <c r="K347" i="2" s="1"/>
  <c r="I346" i="2"/>
  <c r="K346" i="2" s="1"/>
  <c r="I345" i="2"/>
  <c r="J344" i="2"/>
  <c r="M334" i="2"/>
  <c r="L334" i="2"/>
  <c r="N334" i="2" s="1"/>
  <c r="L333" i="2"/>
  <c r="N331" i="2"/>
  <c r="J330" i="2"/>
  <c r="I327" i="2"/>
  <c r="K327" i="2" s="1"/>
  <c r="I326" i="2"/>
  <c r="I324" i="2"/>
  <c r="K324" i="2" s="1"/>
  <c r="I323" i="2"/>
  <c r="I322" i="2"/>
  <c r="K322" i="2" s="1"/>
  <c r="I321" i="2"/>
  <c r="I320" i="2"/>
  <c r="K320" i="2" s="1"/>
  <c r="I319" i="2"/>
  <c r="K319" i="2" s="1"/>
  <c r="I318" i="2"/>
  <c r="I317" i="2"/>
  <c r="K317" i="2" s="1"/>
  <c r="I316" i="2"/>
  <c r="I315" i="2"/>
  <c r="K315" i="2" s="1"/>
  <c r="I314" i="2"/>
  <c r="I313" i="2"/>
  <c r="K313" i="2" s="1"/>
  <c r="I312" i="2"/>
  <c r="M301" i="2"/>
  <c r="L301" i="2"/>
  <c r="L300" i="2"/>
  <c r="M299" i="2"/>
  <c r="M296" i="2" s="1"/>
  <c r="N298" i="2"/>
  <c r="J296" i="2"/>
  <c r="I293" i="2"/>
  <c r="K293" i="2" s="1"/>
  <c r="I292" i="2"/>
  <c r="I291" i="2"/>
  <c r="I276" i="2" s="1"/>
  <c r="M280" i="2"/>
  <c r="L280" i="2"/>
  <c r="L279" i="2"/>
  <c r="M278" i="2"/>
  <c r="M275" i="2" s="1"/>
  <c r="N277" i="2"/>
  <c r="J276" i="2"/>
  <c r="J276" i="1" s="1"/>
  <c r="J275" i="2"/>
  <c r="I272" i="2"/>
  <c r="K272" i="2" s="1"/>
  <c r="I271" i="2"/>
  <c r="K271" i="2" s="1"/>
  <c r="J270" i="2"/>
  <c r="I268" i="2"/>
  <c r="I266" i="2"/>
  <c r="K266" i="2" s="1"/>
  <c r="I264" i="2"/>
  <c r="J263" i="2"/>
  <c r="I263" i="2"/>
  <c r="I267" i="2" s="1"/>
  <c r="K267" i="2" s="1"/>
  <c r="J262" i="2"/>
  <c r="J262" i="1" s="1"/>
  <c r="I260" i="2"/>
  <c r="K260" i="2" s="1"/>
  <c r="J259" i="2"/>
  <c r="M249" i="2"/>
  <c r="M249" i="1" s="1"/>
  <c r="L249" i="2"/>
  <c r="N249" i="2" s="1"/>
  <c r="L248" i="2"/>
  <c r="M247" i="2"/>
  <c r="M244" i="2" s="1"/>
  <c r="N246" i="2"/>
  <c r="J245" i="2"/>
  <c r="K241" i="2"/>
  <c r="J241" i="2"/>
  <c r="J240" i="2"/>
  <c r="J228" i="2" s="1"/>
  <c r="I240" i="2"/>
  <c r="K239" i="2"/>
  <c r="J239" i="2"/>
  <c r="J238" i="2"/>
  <c r="I238" i="2"/>
  <c r="K237" i="2"/>
  <c r="J237" i="2"/>
  <c r="J236" i="2"/>
  <c r="I236" i="2"/>
  <c r="J235" i="2"/>
  <c r="I235" i="2"/>
  <c r="K234" i="2"/>
  <c r="J234" i="2"/>
  <c r="L232" i="2"/>
  <c r="N232" i="2" s="1"/>
  <c r="L231" i="2"/>
  <c r="M230" i="2"/>
  <c r="M230" i="1" s="1"/>
  <c r="N229" i="2"/>
  <c r="I224" i="2"/>
  <c r="L218" i="2"/>
  <c r="L216" i="2" s="1"/>
  <c r="N216" i="2" s="1"/>
  <c r="N217" i="2"/>
  <c r="M216" i="2"/>
  <c r="N215" i="2"/>
  <c r="M214" i="2"/>
  <c r="J214" i="2"/>
  <c r="I211" i="2"/>
  <c r="I209" i="2"/>
  <c r="L203" i="2"/>
  <c r="N203" i="2" s="1"/>
  <c r="N202" i="2"/>
  <c r="M201" i="2"/>
  <c r="N200" i="2"/>
  <c r="M199" i="2"/>
  <c r="J199" i="2"/>
  <c r="I195" i="2"/>
  <c r="I185" i="2" s="1"/>
  <c r="L189" i="2"/>
  <c r="N189" i="2" s="1"/>
  <c r="L188" i="2"/>
  <c r="M187" i="2"/>
  <c r="N186" i="2"/>
  <c r="M185" i="2"/>
  <c r="J185" i="2"/>
  <c r="I182" i="2"/>
  <c r="I181" i="2"/>
  <c r="I180" i="2"/>
  <c r="I169" i="2" s="1"/>
  <c r="K169" i="2" s="1"/>
  <c r="I179" i="2"/>
  <c r="K179" i="2" s="1"/>
  <c r="L173" i="2"/>
  <c r="N173" i="2" s="1"/>
  <c r="L172" i="2"/>
  <c r="M171" i="2"/>
  <c r="N170" i="2"/>
  <c r="M169" i="2"/>
  <c r="J169" i="2"/>
  <c r="K164" i="2"/>
  <c r="K158" i="2"/>
  <c r="J158" i="2"/>
  <c r="J144" i="2" s="1"/>
  <c r="I158" i="2"/>
  <c r="I155" i="2"/>
  <c r="J149" i="2"/>
  <c r="L148" i="2"/>
  <c r="N148" i="2" s="1"/>
  <c r="N147" i="2"/>
  <c r="M146" i="2"/>
  <c r="M146" i="1" s="1"/>
  <c r="N145" i="2"/>
  <c r="L141" i="2"/>
  <c r="N141" i="2" s="1"/>
  <c r="I141" i="2"/>
  <c r="K141" i="2" s="1"/>
  <c r="L140" i="2"/>
  <c r="N140" i="2" s="1"/>
  <c r="I140" i="2"/>
  <c r="K140" i="2" s="1"/>
  <c r="L138" i="2"/>
  <c r="N138" i="2" s="1"/>
  <c r="I138" i="2"/>
  <c r="K138" i="2" s="1"/>
  <c r="L132" i="2"/>
  <c r="L131" i="2" s="1"/>
  <c r="M131" i="2"/>
  <c r="M131" i="1" s="1"/>
  <c r="N130" i="2"/>
  <c r="J129" i="2"/>
  <c r="L126" i="2"/>
  <c r="N126" i="2" s="1"/>
  <c r="I126" i="2"/>
  <c r="K126" i="2" s="1"/>
  <c r="L125" i="2"/>
  <c r="N125" i="2" s="1"/>
  <c r="I125" i="2"/>
  <c r="I124" i="2"/>
  <c r="K124" i="2" s="1"/>
  <c r="L117" i="2"/>
  <c r="N117" i="2" s="1"/>
  <c r="M116" i="2"/>
  <c r="N115" i="2"/>
  <c r="M114" i="2"/>
  <c r="J114" i="2"/>
  <c r="J114" i="1" s="1"/>
  <c r="L111" i="2"/>
  <c r="N111" i="2" s="1"/>
  <c r="I111" i="2"/>
  <c r="K111" i="2" s="1"/>
  <c r="L110" i="2"/>
  <c r="N110" i="2" s="1"/>
  <c r="I110" i="2"/>
  <c r="K110" i="2" s="1"/>
  <c r="L104" i="2"/>
  <c r="M103" i="2"/>
  <c r="N102" i="2"/>
  <c r="M101" i="2"/>
  <c r="J101" i="2"/>
  <c r="J101" i="1" s="1"/>
  <c r="L98" i="2"/>
  <c r="N98" i="2" s="1"/>
  <c r="I98" i="2"/>
  <c r="K98" i="2" s="1"/>
  <c r="L92" i="2"/>
  <c r="N92" i="2" s="1"/>
  <c r="M91" i="2"/>
  <c r="N90" i="2"/>
  <c r="M89" i="2"/>
  <c r="J89" i="2"/>
  <c r="J89" i="1" s="1"/>
  <c r="J84" i="2"/>
  <c r="I83" i="2"/>
  <c r="K83" i="2" s="1"/>
  <c r="L77" i="2"/>
  <c r="M76" i="2"/>
  <c r="N75" i="2"/>
  <c r="M74" i="2"/>
  <c r="J74" i="2"/>
  <c r="J74" i="1" s="1"/>
  <c r="M73" i="2"/>
  <c r="M71" i="2" s="1"/>
  <c r="L72" i="2"/>
  <c r="N70" i="2"/>
  <c r="J68" i="2"/>
  <c r="I62" i="2"/>
  <c r="L56" i="2"/>
  <c r="N56" i="2" s="1"/>
  <c r="L55" i="2"/>
  <c r="M54" i="2"/>
  <c r="N53" i="2"/>
  <c r="M52" i="2"/>
  <c r="J52" i="2"/>
  <c r="I48" i="2"/>
  <c r="K48" i="2" s="1"/>
  <c r="I47" i="2"/>
  <c r="K47" i="2" s="1"/>
  <c r="I46" i="2"/>
  <c r="K46" i="2" s="1"/>
  <c r="I45" i="2"/>
  <c r="K45" i="2" s="1"/>
  <c r="I44" i="2"/>
  <c r="I32" i="2" s="1"/>
  <c r="I43" i="2"/>
  <c r="K43" i="2" s="1"/>
  <c r="L37" i="2"/>
  <c r="L36" i="2"/>
  <c r="M35" i="2"/>
  <c r="L35" i="2"/>
  <c r="N34" i="2"/>
  <c r="J33" i="2"/>
  <c r="J33" i="1" s="1"/>
  <c r="J32" i="2"/>
  <c r="I28" i="2"/>
  <c r="K28" i="2" s="1"/>
  <c r="I27" i="2"/>
  <c r="K27" i="2" s="1"/>
  <c r="I26" i="2"/>
  <c r="I25" i="2"/>
  <c r="K25" i="2" s="1"/>
  <c r="I24" i="2"/>
  <c r="K24" i="2" s="1"/>
  <c r="I23" i="2"/>
  <c r="I22" i="2"/>
  <c r="J21" i="2"/>
  <c r="J10" i="2" s="1"/>
  <c r="J10" i="1" s="1"/>
  <c r="J20" i="2"/>
  <c r="L14" i="2"/>
  <c r="N14" i="2" s="1"/>
  <c r="L13" i="2"/>
  <c r="M12" i="2"/>
  <c r="L12" i="2"/>
  <c r="N12" i="2" s="1"/>
  <c r="N11" i="2"/>
  <c r="M9" i="2"/>
  <c r="J9" i="2"/>
  <c r="J519" i="1"/>
  <c r="J518" i="1"/>
  <c r="J517" i="1"/>
  <c r="J516" i="1"/>
  <c r="J515" i="1"/>
  <c r="J514" i="1"/>
  <c r="J512" i="1"/>
  <c r="J511" i="1"/>
  <c r="J510" i="1"/>
  <c r="J509" i="1"/>
  <c r="J508" i="1"/>
  <c r="J507" i="1"/>
  <c r="J506" i="1"/>
  <c r="J505" i="1"/>
  <c r="J503" i="1"/>
  <c r="J502" i="1"/>
  <c r="J501" i="1"/>
  <c r="J500" i="1"/>
  <c r="M498" i="1"/>
  <c r="M497" i="1"/>
  <c r="M496" i="1"/>
  <c r="M495" i="1"/>
  <c r="M494" i="1"/>
  <c r="M493" i="1"/>
  <c r="M491" i="1"/>
  <c r="L491" i="1"/>
  <c r="N491" i="1" s="1"/>
  <c r="M481" i="1"/>
  <c r="M480" i="1"/>
  <c r="M479" i="1"/>
  <c r="M478" i="1"/>
  <c r="M477" i="1"/>
  <c r="M476" i="1"/>
  <c r="M474" i="1"/>
  <c r="L474" i="1"/>
  <c r="N474" i="1" s="1"/>
  <c r="J472" i="1"/>
  <c r="I472" i="1"/>
  <c r="K472" i="1" s="1"/>
  <c r="K471" i="1"/>
  <c r="J471" i="1"/>
  <c r="I471" i="1"/>
  <c r="K470" i="1"/>
  <c r="J470" i="1"/>
  <c r="I470" i="1"/>
  <c r="J469" i="1"/>
  <c r="I469" i="1"/>
  <c r="K469" i="1" s="1"/>
  <c r="J468" i="1"/>
  <c r="I468" i="1"/>
  <c r="K468" i="1" s="1"/>
  <c r="M465" i="1"/>
  <c r="M464" i="1"/>
  <c r="M463" i="1"/>
  <c r="M462" i="1"/>
  <c r="M460" i="1"/>
  <c r="N458" i="1"/>
  <c r="M458" i="1"/>
  <c r="L458" i="1"/>
  <c r="J456" i="1"/>
  <c r="J455" i="1"/>
  <c r="J454" i="1"/>
  <c r="J453" i="1"/>
  <c r="M452" i="1"/>
  <c r="M451" i="1"/>
  <c r="M450" i="1"/>
  <c r="M449" i="1"/>
  <c r="M447" i="1"/>
  <c r="N445" i="1"/>
  <c r="M445" i="1"/>
  <c r="L445" i="1"/>
  <c r="J443" i="1"/>
  <c r="J442" i="1"/>
  <c r="J441" i="1"/>
  <c r="J440" i="1"/>
  <c r="J439" i="1"/>
  <c r="J438" i="1"/>
  <c r="J437" i="1"/>
  <c r="J436" i="1"/>
  <c r="M434" i="1"/>
  <c r="M433" i="1"/>
  <c r="M432" i="1"/>
  <c r="M431" i="1"/>
  <c r="M430" i="1"/>
  <c r="M429" i="1"/>
  <c r="M427" i="1"/>
  <c r="L427" i="1"/>
  <c r="N427" i="1" s="1"/>
  <c r="K425" i="1"/>
  <c r="J425" i="1"/>
  <c r="K424" i="1"/>
  <c r="J424" i="1"/>
  <c r="K423" i="1"/>
  <c r="J423" i="1"/>
  <c r="K422" i="1"/>
  <c r="J422" i="1"/>
  <c r="K421" i="1"/>
  <c r="J421" i="1"/>
  <c r="K420" i="1"/>
  <c r="J420" i="1"/>
  <c r="J418" i="1"/>
  <c r="K417" i="1"/>
  <c r="K416" i="1"/>
  <c r="K415" i="1"/>
  <c r="K414" i="1"/>
  <c r="K413" i="1"/>
  <c r="K412" i="1"/>
  <c r="K408" i="1"/>
  <c r="J408" i="1"/>
  <c r="K407" i="1"/>
  <c r="J407" i="1"/>
  <c r="K406" i="1"/>
  <c r="J406" i="1"/>
  <c r="K405" i="1"/>
  <c r="J405" i="1"/>
  <c r="K404" i="1"/>
  <c r="J404" i="1"/>
  <c r="K403" i="1"/>
  <c r="J403" i="1"/>
  <c r="K402" i="1"/>
  <c r="J402" i="1"/>
  <c r="K401" i="1"/>
  <c r="K400" i="1"/>
  <c r="J400" i="1"/>
  <c r="K399" i="1"/>
  <c r="J399" i="1"/>
  <c r="K398" i="1"/>
  <c r="J398" i="1"/>
  <c r="K397" i="1"/>
  <c r="J397" i="1"/>
  <c r="K396" i="1"/>
  <c r="J396" i="1"/>
  <c r="K395" i="1"/>
  <c r="J395" i="1"/>
  <c r="K394" i="1"/>
  <c r="J394" i="1"/>
  <c r="K393" i="1"/>
  <c r="K389" i="1"/>
  <c r="J389" i="1"/>
  <c r="K388" i="1"/>
  <c r="J388" i="1"/>
  <c r="K387" i="1"/>
  <c r="J387" i="1"/>
  <c r="K386" i="1"/>
  <c r="J386" i="1"/>
  <c r="K385" i="1"/>
  <c r="J385" i="1"/>
  <c r="K384" i="1"/>
  <c r="J384" i="1"/>
  <c r="K383" i="1"/>
  <c r="K382" i="1"/>
  <c r="J382" i="1"/>
  <c r="K381" i="1"/>
  <c r="J381" i="1"/>
  <c r="K380" i="1"/>
  <c r="J380" i="1"/>
  <c r="K379" i="1"/>
  <c r="J379" i="1"/>
  <c r="K378" i="1"/>
  <c r="J378" i="1"/>
  <c r="J376" i="1"/>
  <c r="K375" i="1"/>
  <c r="J375" i="1"/>
  <c r="K374" i="1"/>
  <c r="J374" i="1"/>
  <c r="K373" i="1"/>
  <c r="J373" i="1"/>
  <c r="K372" i="1"/>
  <c r="J372" i="1"/>
  <c r="K371" i="1"/>
  <c r="J371" i="1"/>
  <c r="K370" i="1"/>
  <c r="J370" i="1"/>
  <c r="K367" i="1"/>
  <c r="J367" i="1"/>
  <c r="K366" i="1"/>
  <c r="J366" i="1"/>
  <c r="K365" i="1"/>
  <c r="J365" i="1"/>
  <c r="K364" i="1"/>
  <c r="J364" i="1"/>
  <c r="K363" i="1"/>
  <c r="J363" i="1"/>
  <c r="K362" i="1"/>
  <c r="J362" i="1"/>
  <c r="M358" i="1"/>
  <c r="M357" i="1"/>
  <c r="M356" i="1"/>
  <c r="M355" i="1"/>
  <c r="M353" i="1"/>
  <c r="M351" i="1"/>
  <c r="L351" i="1"/>
  <c r="N351" i="1" s="1"/>
  <c r="J349" i="1"/>
  <c r="J348" i="1"/>
  <c r="J347" i="1"/>
  <c r="J346" i="1"/>
  <c r="J345" i="1"/>
  <c r="J344" i="1"/>
  <c r="J343" i="1"/>
  <c r="J342" i="1"/>
  <c r="J341" i="1"/>
  <c r="J340" i="1"/>
  <c r="M338" i="1"/>
  <c r="M337" i="1"/>
  <c r="M336" i="1"/>
  <c r="M335" i="1"/>
  <c r="M333" i="1"/>
  <c r="M331" i="1"/>
  <c r="L331" i="1"/>
  <c r="N331" i="1" s="1"/>
  <c r="J329" i="1"/>
  <c r="J328" i="1"/>
  <c r="J327" i="1"/>
  <c r="J326" i="1"/>
  <c r="J324" i="1"/>
  <c r="J323" i="1"/>
  <c r="J322" i="1"/>
  <c r="J320" i="1"/>
  <c r="J319" i="1"/>
  <c r="J318" i="1"/>
  <c r="J317" i="1"/>
  <c r="J315" i="1"/>
  <c r="J314" i="1"/>
  <c r="J313" i="1"/>
  <c r="J310" i="1"/>
  <c r="J309" i="1"/>
  <c r="J308" i="1"/>
  <c r="J307" i="1"/>
  <c r="M305" i="1"/>
  <c r="M304" i="1"/>
  <c r="M303" i="1"/>
  <c r="M302" i="1"/>
  <c r="M301" i="1"/>
  <c r="M300" i="1"/>
  <c r="M298" i="1"/>
  <c r="L298" i="1"/>
  <c r="N298" i="1" s="1"/>
  <c r="J295" i="1"/>
  <c r="J294" i="1"/>
  <c r="J293" i="1"/>
  <c r="J292" i="1"/>
  <c r="J291" i="1"/>
  <c r="J289" i="1"/>
  <c r="J288" i="1"/>
  <c r="J287" i="1"/>
  <c r="J286" i="1"/>
  <c r="M284" i="1"/>
  <c r="M283" i="1"/>
  <c r="M282" i="1"/>
  <c r="M281" i="1"/>
  <c r="M280" i="1"/>
  <c r="M279" i="1"/>
  <c r="M277" i="1"/>
  <c r="L277" i="1"/>
  <c r="N277" i="1" s="1"/>
  <c r="J275" i="1"/>
  <c r="J274" i="1"/>
  <c r="J273" i="1"/>
  <c r="J272" i="1"/>
  <c r="J271" i="1"/>
  <c r="J268" i="1"/>
  <c r="J267" i="1"/>
  <c r="J266" i="1"/>
  <c r="J265" i="1"/>
  <c r="J264" i="1"/>
  <c r="J260" i="1"/>
  <c r="J258" i="1"/>
  <c r="J257" i="1"/>
  <c r="J256" i="1"/>
  <c r="J255" i="1"/>
  <c r="M253" i="1"/>
  <c r="M252" i="1"/>
  <c r="M251" i="1"/>
  <c r="M250" i="1"/>
  <c r="M248" i="1"/>
  <c r="M246" i="1"/>
  <c r="L246" i="1"/>
  <c r="N246" i="1" s="1"/>
  <c r="I241" i="1"/>
  <c r="K241" i="1" s="1"/>
  <c r="K239" i="1"/>
  <c r="I239" i="1"/>
  <c r="K237" i="1"/>
  <c r="I237" i="1"/>
  <c r="I234" i="1"/>
  <c r="K234" i="1" s="1"/>
  <c r="M232" i="1"/>
  <c r="M231" i="1"/>
  <c r="M229" i="1"/>
  <c r="L229" i="1"/>
  <c r="N229" i="1" s="1"/>
  <c r="J226" i="1"/>
  <c r="J225" i="1"/>
  <c r="J224" i="1"/>
  <c r="J223" i="1"/>
  <c r="J222" i="1"/>
  <c r="J221" i="1"/>
  <c r="J220" i="1"/>
  <c r="M218" i="1"/>
  <c r="M217" i="1"/>
  <c r="N215" i="1"/>
  <c r="M215" i="1"/>
  <c r="L215" i="1"/>
  <c r="J214" i="1"/>
  <c r="J213" i="1"/>
  <c r="J212" i="1"/>
  <c r="J211" i="1"/>
  <c r="J209" i="1"/>
  <c r="J208" i="1"/>
  <c r="J207" i="1"/>
  <c r="J206" i="1"/>
  <c r="J205" i="1"/>
  <c r="M203" i="1"/>
  <c r="M202" i="1"/>
  <c r="M201" i="1"/>
  <c r="M200" i="1"/>
  <c r="L200" i="1"/>
  <c r="N200" i="1" s="1"/>
  <c r="J197" i="1"/>
  <c r="J196" i="1"/>
  <c r="J195" i="1"/>
  <c r="J194" i="1"/>
  <c r="J193" i="1"/>
  <c r="J192" i="1"/>
  <c r="J191" i="1"/>
  <c r="M189" i="1"/>
  <c r="M188" i="1"/>
  <c r="M186" i="1"/>
  <c r="L186" i="1"/>
  <c r="N186" i="1" s="1"/>
  <c r="J184" i="1"/>
  <c r="J183" i="1"/>
  <c r="J182" i="1"/>
  <c r="J181" i="1"/>
  <c r="J180" i="1"/>
  <c r="J179" i="1"/>
  <c r="J178" i="1"/>
  <c r="J177" i="1"/>
  <c r="J176" i="1"/>
  <c r="J175" i="1"/>
  <c r="M173" i="1"/>
  <c r="M172" i="1"/>
  <c r="M171" i="1"/>
  <c r="M170" i="1"/>
  <c r="L170" i="1"/>
  <c r="N170" i="1" s="1"/>
  <c r="J169" i="1"/>
  <c r="J166" i="1"/>
  <c r="J165" i="1"/>
  <c r="J164" i="1"/>
  <c r="I164" i="1"/>
  <c r="K164" i="1" s="1"/>
  <c r="J163" i="1"/>
  <c r="J162" i="1"/>
  <c r="J161" i="1"/>
  <c r="J160" i="1"/>
  <c r="J157" i="1"/>
  <c r="J156" i="1"/>
  <c r="J155" i="1"/>
  <c r="J154" i="1"/>
  <c r="J153" i="1"/>
  <c r="J152" i="1"/>
  <c r="J151" i="1"/>
  <c r="J149" i="1"/>
  <c r="M148" i="1"/>
  <c r="M147" i="1"/>
  <c r="N145" i="1"/>
  <c r="M145" i="1"/>
  <c r="L145" i="1"/>
  <c r="J144" i="1"/>
  <c r="J143" i="1"/>
  <c r="J142" i="1"/>
  <c r="J141" i="1"/>
  <c r="J140" i="1"/>
  <c r="J138" i="1"/>
  <c r="J137" i="1"/>
  <c r="J136" i="1"/>
  <c r="J135" i="1"/>
  <c r="J134" i="1"/>
  <c r="M132" i="1"/>
  <c r="M130" i="1"/>
  <c r="L130" i="1"/>
  <c r="N130" i="1" s="1"/>
  <c r="J128" i="1"/>
  <c r="J127" i="1"/>
  <c r="J126" i="1"/>
  <c r="J125" i="1"/>
  <c r="J124" i="1"/>
  <c r="J122" i="1"/>
  <c r="J121" i="1"/>
  <c r="J120" i="1"/>
  <c r="J119" i="1"/>
  <c r="M117" i="1"/>
  <c r="N115" i="1"/>
  <c r="M115" i="1"/>
  <c r="L115" i="1"/>
  <c r="J113" i="1"/>
  <c r="J112" i="1"/>
  <c r="J111" i="1"/>
  <c r="J110" i="1"/>
  <c r="J109" i="1"/>
  <c r="J108" i="1"/>
  <c r="J107" i="1"/>
  <c r="J106" i="1"/>
  <c r="M104" i="1"/>
  <c r="N102" i="1"/>
  <c r="M102" i="1"/>
  <c r="L102" i="1"/>
  <c r="J100" i="1"/>
  <c r="J99" i="1"/>
  <c r="J98" i="1"/>
  <c r="J97" i="1"/>
  <c r="J96" i="1"/>
  <c r="J95" i="1"/>
  <c r="J94" i="1"/>
  <c r="M92" i="1"/>
  <c r="M91" i="1"/>
  <c r="N90" i="1"/>
  <c r="M90" i="1"/>
  <c r="L90" i="1"/>
  <c r="M89" i="1"/>
  <c r="J88" i="1"/>
  <c r="J87" i="1"/>
  <c r="J86" i="1"/>
  <c r="J85" i="1"/>
  <c r="J84" i="1"/>
  <c r="J83" i="1"/>
  <c r="J82" i="1"/>
  <c r="J81" i="1"/>
  <c r="J80" i="1"/>
  <c r="J79" i="1"/>
  <c r="M77" i="1"/>
  <c r="M76" i="1"/>
  <c r="M75" i="1"/>
  <c r="L75" i="1"/>
  <c r="N75" i="1" s="1"/>
  <c r="M73" i="1"/>
  <c r="M72" i="1"/>
  <c r="N70" i="1"/>
  <c r="M70" i="1"/>
  <c r="L70" i="1"/>
  <c r="J65" i="1"/>
  <c r="J64" i="1"/>
  <c r="J63" i="1"/>
  <c r="J62" i="1"/>
  <c r="J61" i="1"/>
  <c r="J60" i="1"/>
  <c r="J59" i="1"/>
  <c r="J58" i="1"/>
  <c r="M56" i="1"/>
  <c r="M55" i="1"/>
  <c r="M53" i="1"/>
  <c r="L53" i="1"/>
  <c r="N53" i="1" s="1"/>
  <c r="J52" i="1"/>
  <c r="J50" i="1"/>
  <c r="J49" i="1"/>
  <c r="J48" i="1"/>
  <c r="J47" i="1"/>
  <c r="J46" i="1"/>
  <c r="J45" i="1"/>
  <c r="J44" i="1"/>
  <c r="J43" i="1"/>
  <c r="J42" i="1"/>
  <c r="J41" i="1"/>
  <c r="J40" i="1"/>
  <c r="J39" i="1"/>
  <c r="M37" i="1"/>
  <c r="M36" i="1"/>
  <c r="N34" i="1"/>
  <c r="M34" i="1"/>
  <c r="L34" i="1"/>
  <c r="J30" i="1"/>
  <c r="J29" i="1"/>
  <c r="J28" i="1"/>
  <c r="J27" i="1"/>
  <c r="J26" i="1"/>
  <c r="J25" i="1"/>
  <c r="J24" i="1"/>
  <c r="J23" i="1"/>
  <c r="J22" i="1"/>
  <c r="J21" i="1"/>
  <c r="J19" i="1"/>
  <c r="J18" i="1"/>
  <c r="J17" i="1"/>
  <c r="J16" i="1"/>
  <c r="M14" i="1"/>
  <c r="M13" i="1"/>
  <c r="M12" i="1"/>
  <c r="M11" i="1"/>
  <c r="L11" i="1"/>
  <c r="N11" i="1" s="1"/>
  <c r="I33" i="9" l="1"/>
  <c r="K33" i="9" s="1"/>
  <c r="J411" i="15"/>
  <c r="I33" i="6"/>
  <c r="K33" i="6" s="1"/>
  <c r="K528" i="15"/>
  <c r="K486" i="13"/>
  <c r="L73" i="14"/>
  <c r="N73" i="14" s="1"/>
  <c r="I276" i="10"/>
  <c r="K276" i="10" s="1"/>
  <c r="J410" i="4"/>
  <c r="I101" i="3"/>
  <c r="K101" i="3" s="1"/>
  <c r="L32" i="4"/>
  <c r="N32" i="4" s="1"/>
  <c r="J411" i="12"/>
  <c r="J411" i="13"/>
  <c r="I169" i="14"/>
  <c r="K169" i="14" s="1"/>
  <c r="I275" i="12"/>
  <c r="K275" i="12" s="1"/>
  <c r="J410" i="13"/>
  <c r="J411" i="16"/>
  <c r="J411" i="5"/>
  <c r="J411" i="8"/>
  <c r="I89" i="13"/>
  <c r="K89" i="13" s="1"/>
  <c r="I169" i="6"/>
  <c r="K169" i="6" s="1"/>
  <c r="J410" i="18"/>
  <c r="I262" i="4"/>
  <c r="K262" i="4" s="1"/>
  <c r="J411" i="11"/>
  <c r="J411" i="3"/>
  <c r="J411" i="4"/>
  <c r="J411" i="6"/>
  <c r="I129" i="5"/>
  <c r="K129" i="5" s="1"/>
  <c r="I169" i="5"/>
  <c r="K169" i="5" s="1"/>
  <c r="I101" i="6"/>
  <c r="K101" i="6" s="1"/>
  <c r="I276" i="11"/>
  <c r="K276" i="11" s="1"/>
  <c r="J409" i="13"/>
  <c r="J411" i="18"/>
  <c r="J409" i="7"/>
  <c r="K111" i="9"/>
  <c r="J411" i="14"/>
  <c r="L32" i="6"/>
  <c r="N32" i="6" s="1"/>
  <c r="J411" i="9"/>
  <c r="J411" i="10"/>
  <c r="J487" i="1"/>
  <c r="L32" i="13"/>
  <c r="N32" i="13" s="1"/>
  <c r="I199" i="6"/>
  <c r="K199" i="6" s="1"/>
  <c r="K527" i="7"/>
  <c r="J410" i="5"/>
  <c r="J410" i="6"/>
  <c r="I214" i="7"/>
  <c r="K214" i="7" s="1"/>
  <c r="I169" i="9"/>
  <c r="K169" i="9" s="1"/>
  <c r="I275" i="13"/>
  <c r="K275" i="13" s="1"/>
  <c r="J411" i="7"/>
  <c r="I245" i="12"/>
  <c r="K245" i="12" s="1"/>
  <c r="J410" i="12"/>
  <c r="I101" i="14"/>
  <c r="K101" i="14" s="1"/>
  <c r="J410" i="16"/>
  <c r="J411" i="17"/>
  <c r="I114" i="18"/>
  <c r="K114" i="18" s="1"/>
  <c r="K513" i="18"/>
  <c r="L332" i="15"/>
  <c r="N332" i="15" s="1"/>
  <c r="K526" i="15"/>
  <c r="I169" i="17"/>
  <c r="K169" i="17" s="1"/>
  <c r="K515" i="18"/>
  <c r="L72" i="1"/>
  <c r="N72" i="1" s="1"/>
  <c r="I392" i="1"/>
  <c r="K392" i="1" s="1"/>
  <c r="J410" i="3"/>
  <c r="I101" i="11"/>
  <c r="K101" i="11" s="1"/>
  <c r="J410" i="11"/>
  <c r="I426" i="12"/>
  <c r="K426" i="12" s="1"/>
  <c r="I101" i="13"/>
  <c r="K101" i="13" s="1"/>
  <c r="I275" i="17"/>
  <c r="K275" i="17" s="1"/>
  <c r="J411" i="2"/>
  <c r="J409" i="4"/>
  <c r="L54" i="5"/>
  <c r="N54" i="5" s="1"/>
  <c r="L216" i="7"/>
  <c r="N216" i="7" s="1"/>
  <c r="L216" i="8"/>
  <c r="N216" i="8" s="1"/>
  <c r="K514" i="18"/>
  <c r="I169" i="7"/>
  <c r="K169" i="7" s="1"/>
  <c r="I101" i="5"/>
  <c r="K101" i="5" s="1"/>
  <c r="I245" i="7"/>
  <c r="K245" i="7" s="1"/>
  <c r="I169" i="16"/>
  <c r="K169" i="16" s="1"/>
  <c r="L54" i="3"/>
  <c r="N54" i="3" s="1"/>
  <c r="J526" i="1"/>
  <c r="I296" i="7"/>
  <c r="K296" i="7" s="1"/>
  <c r="I111" i="1"/>
  <c r="K111" i="1" s="1"/>
  <c r="I89" i="15"/>
  <c r="K89" i="15" s="1"/>
  <c r="K482" i="16"/>
  <c r="K524" i="16"/>
  <c r="K526" i="16"/>
  <c r="K528" i="16"/>
  <c r="K228" i="17"/>
  <c r="K391" i="17"/>
  <c r="I89" i="11"/>
  <c r="K89" i="11" s="1"/>
  <c r="K83" i="5"/>
  <c r="K235" i="5"/>
  <c r="I262" i="5"/>
  <c r="K262" i="5" s="1"/>
  <c r="L475" i="5"/>
  <c r="L473" i="5" s="1"/>
  <c r="L201" i="6"/>
  <c r="L199" i="6" s="1"/>
  <c r="N199" i="6" s="1"/>
  <c r="I297" i="7"/>
  <c r="I262" i="9"/>
  <c r="K262" i="9" s="1"/>
  <c r="K236" i="11"/>
  <c r="L201" i="15"/>
  <c r="L278" i="18"/>
  <c r="N278" i="18" s="1"/>
  <c r="I426" i="3"/>
  <c r="K426" i="3" s="1"/>
  <c r="N203" i="8"/>
  <c r="K526" i="11"/>
  <c r="I101" i="15"/>
  <c r="K101" i="15" s="1"/>
  <c r="I138" i="1"/>
  <c r="K138" i="1" s="1"/>
  <c r="L232" i="1"/>
  <c r="N232" i="1" s="1"/>
  <c r="I483" i="1"/>
  <c r="K523" i="9"/>
  <c r="K238" i="12"/>
  <c r="I270" i="12"/>
  <c r="I244" i="12" s="1"/>
  <c r="K244" i="12" s="1"/>
  <c r="J410" i="14"/>
  <c r="I320" i="1"/>
  <c r="K320" i="1" s="1"/>
  <c r="J409" i="3"/>
  <c r="I466" i="1"/>
  <c r="K466" i="1" s="1"/>
  <c r="I521" i="1"/>
  <c r="I276" i="7"/>
  <c r="K276" i="7" s="1"/>
  <c r="N461" i="7"/>
  <c r="K484" i="7"/>
  <c r="N77" i="8"/>
  <c r="N12" i="9"/>
  <c r="I21" i="9"/>
  <c r="K21" i="9" s="1"/>
  <c r="I325" i="9"/>
  <c r="K235" i="12"/>
  <c r="K236" i="17"/>
  <c r="K238" i="17"/>
  <c r="K361" i="17"/>
  <c r="K484" i="17"/>
  <c r="K83" i="18"/>
  <c r="N279" i="18"/>
  <c r="I527" i="1"/>
  <c r="L32" i="15"/>
  <c r="N32" i="15" s="1"/>
  <c r="I46" i="1"/>
  <c r="K46" i="1" s="1"/>
  <c r="I262" i="8"/>
  <c r="K262" i="8" s="1"/>
  <c r="K238" i="14"/>
  <c r="I245" i="14"/>
  <c r="K245" i="14" s="1"/>
  <c r="I270" i="14"/>
  <c r="I244" i="14" s="1"/>
  <c r="K244" i="14" s="1"/>
  <c r="K483" i="2"/>
  <c r="K505" i="2"/>
  <c r="I89" i="3"/>
  <c r="K89" i="3" s="1"/>
  <c r="I32" i="5"/>
  <c r="K32" i="5" s="1"/>
  <c r="K486" i="5"/>
  <c r="I144" i="8"/>
  <c r="K144" i="8" s="1"/>
  <c r="I32" i="11"/>
  <c r="K32" i="11" s="1"/>
  <c r="K521" i="15"/>
  <c r="K525" i="15"/>
  <c r="I245" i="16"/>
  <c r="K245" i="16" s="1"/>
  <c r="I262" i="16"/>
  <c r="K262" i="16" s="1"/>
  <c r="K517" i="18"/>
  <c r="K23" i="2"/>
  <c r="I23" i="1"/>
  <c r="K23" i="1" s="1"/>
  <c r="N36" i="2"/>
  <c r="L36" i="1"/>
  <c r="N36" i="1" s="1"/>
  <c r="N92" i="3"/>
  <c r="L91" i="3"/>
  <c r="N91" i="3" s="1"/>
  <c r="K180" i="3"/>
  <c r="I169" i="3"/>
  <c r="K169" i="3" s="1"/>
  <c r="K514" i="6"/>
  <c r="K517" i="6"/>
  <c r="N201" i="8"/>
  <c r="L199" i="8"/>
  <c r="N199" i="8" s="1"/>
  <c r="K209" i="11"/>
  <c r="I199" i="11"/>
  <c r="K199" i="11" s="1"/>
  <c r="K209" i="13"/>
  <c r="I199" i="13"/>
  <c r="K199" i="13" s="1"/>
  <c r="L202" i="1"/>
  <c r="N202" i="1" s="1"/>
  <c r="N279" i="2"/>
  <c r="L279" i="1"/>
  <c r="N279" i="1" s="1"/>
  <c r="K292" i="2"/>
  <c r="I275" i="2"/>
  <c r="K275" i="2" s="1"/>
  <c r="I312" i="1"/>
  <c r="I390" i="1"/>
  <c r="J412" i="1"/>
  <c r="J414" i="1"/>
  <c r="K485" i="2"/>
  <c r="I485" i="1"/>
  <c r="I487" i="1"/>
  <c r="K44" i="3"/>
  <c r="L171" i="3"/>
  <c r="N171" i="3" s="1"/>
  <c r="N172" i="3"/>
  <c r="I276" i="3"/>
  <c r="K276" i="3" s="1"/>
  <c r="I523" i="1"/>
  <c r="N476" i="4"/>
  <c r="L476" i="1"/>
  <c r="N476" i="1" s="1"/>
  <c r="L475" i="4"/>
  <c r="N475" i="4" s="1"/>
  <c r="I89" i="9"/>
  <c r="K89" i="9" s="1"/>
  <c r="K98" i="9"/>
  <c r="N172" i="10"/>
  <c r="L171" i="10"/>
  <c r="N171" i="10" s="1"/>
  <c r="K466" i="10"/>
  <c r="I457" i="10"/>
  <c r="K457" i="10" s="1"/>
  <c r="I114" i="11"/>
  <c r="K114" i="11" s="1"/>
  <c r="K125" i="11"/>
  <c r="N173" i="11"/>
  <c r="L171" i="11"/>
  <c r="N171" i="11" s="1"/>
  <c r="I368" i="11"/>
  <c r="K368" i="11" s="1"/>
  <c r="K359" i="11"/>
  <c r="I350" i="11"/>
  <c r="K350" i="11" s="1"/>
  <c r="N218" i="12"/>
  <c r="L216" i="12"/>
  <c r="I376" i="12"/>
  <c r="K376" i="12" s="1"/>
  <c r="K359" i="12"/>
  <c r="I350" i="12"/>
  <c r="K350" i="12" s="1"/>
  <c r="I185" i="18"/>
  <c r="K185" i="18" s="1"/>
  <c r="K195" i="18"/>
  <c r="K315" i="18"/>
  <c r="J312" i="18"/>
  <c r="K312" i="18" s="1"/>
  <c r="L173" i="1"/>
  <c r="N173" i="1" s="1"/>
  <c r="I195" i="1"/>
  <c r="K195" i="1" s="1"/>
  <c r="I454" i="1"/>
  <c r="K209" i="2"/>
  <c r="I209" i="1"/>
  <c r="K209" i="1" s="1"/>
  <c r="I214" i="2"/>
  <c r="K214" i="2" s="1"/>
  <c r="I224" i="1"/>
  <c r="K224" i="1" s="1"/>
  <c r="J239" i="1"/>
  <c r="L278" i="2"/>
  <c r="L275" i="2" s="1"/>
  <c r="N275" i="2" s="1"/>
  <c r="L300" i="1"/>
  <c r="N300" i="1" s="1"/>
  <c r="I345" i="1"/>
  <c r="K345" i="1" s="1"/>
  <c r="J485" i="1"/>
  <c r="J489" i="1"/>
  <c r="J524" i="1"/>
  <c r="J528" i="1"/>
  <c r="K125" i="3"/>
  <c r="I114" i="3"/>
  <c r="K114" i="3" s="1"/>
  <c r="L230" i="3"/>
  <c r="N230" i="3" s="1"/>
  <c r="K235" i="3"/>
  <c r="I74" i="8"/>
  <c r="K74" i="8" s="1"/>
  <c r="N493" i="13"/>
  <c r="L492" i="13"/>
  <c r="L490" i="13" s="1"/>
  <c r="N490" i="13" s="1"/>
  <c r="J409" i="15"/>
  <c r="J410" i="15"/>
  <c r="K195" i="16"/>
  <c r="I185" i="16"/>
  <c r="K185" i="16" s="1"/>
  <c r="I376" i="17"/>
  <c r="K376" i="17" s="1"/>
  <c r="I360" i="17"/>
  <c r="K360" i="17" s="1"/>
  <c r="K507" i="5"/>
  <c r="I490" i="5"/>
  <c r="K490" i="5" s="1"/>
  <c r="L475" i="3"/>
  <c r="L473" i="3" s="1"/>
  <c r="N473" i="3" s="1"/>
  <c r="N218" i="14"/>
  <c r="L216" i="14"/>
  <c r="I33" i="15"/>
  <c r="K33" i="15" s="1"/>
  <c r="K48" i="15"/>
  <c r="L430" i="1"/>
  <c r="N430" i="1" s="1"/>
  <c r="I486" i="1"/>
  <c r="I26" i="1"/>
  <c r="K26" i="1" s="1"/>
  <c r="I33" i="2"/>
  <c r="K33" i="2" s="1"/>
  <c r="L104" i="1"/>
  <c r="N104" i="1" s="1"/>
  <c r="I211" i="1"/>
  <c r="K211" i="1" s="1"/>
  <c r="N92" i="4"/>
  <c r="L91" i="4"/>
  <c r="N91" i="4" s="1"/>
  <c r="N333" i="4"/>
  <c r="L332" i="4"/>
  <c r="L330" i="4" s="1"/>
  <c r="N330" i="4" s="1"/>
  <c r="K111" i="10"/>
  <c r="I101" i="10"/>
  <c r="K101" i="10" s="1"/>
  <c r="N218" i="13"/>
  <c r="L216" i="13"/>
  <c r="N216" i="13" s="1"/>
  <c r="K44" i="18"/>
  <c r="I32" i="18"/>
  <c r="K32" i="18" s="1"/>
  <c r="K510" i="18"/>
  <c r="I263" i="1"/>
  <c r="L37" i="1"/>
  <c r="N37" i="1" s="1"/>
  <c r="L73" i="2"/>
  <c r="N73" i="2" s="1"/>
  <c r="I182" i="1"/>
  <c r="K182" i="1" s="1"/>
  <c r="K240" i="2"/>
  <c r="I314" i="1"/>
  <c r="K314" i="1" s="1"/>
  <c r="I453" i="1"/>
  <c r="K453" i="1" s="1"/>
  <c r="L216" i="3"/>
  <c r="N216" i="3" s="1"/>
  <c r="I245" i="3"/>
  <c r="K245" i="3" s="1"/>
  <c r="K473" i="3"/>
  <c r="I68" i="4"/>
  <c r="K68" i="4" s="1"/>
  <c r="K522" i="6"/>
  <c r="L299" i="7"/>
  <c r="N299" i="7" s="1"/>
  <c r="L428" i="8"/>
  <c r="N428" i="8" s="1"/>
  <c r="K484" i="8"/>
  <c r="I52" i="10"/>
  <c r="K52" i="10" s="1"/>
  <c r="K62" i="10"/>
  <c r="I114" i="10"/>
  <c r="K114" i="10" s="1"/>
  <c r="L146" i="10"/>
  <c r="K235" i="10"/>
  <c r="I214" i="11"/>
  <c r="K214" i="11" s="1"/>
  <c r="I276" i="12"/>
  <c r="K276" i="12" s="1"/>
  <c r="N92" i="13"/>
  <c r="K125" i="13"/>
  <c r="K521" i="13"/>
  <c r="I426" i="14"/>
  <c r="K426" i="14" s="1"/>
  <c r="K138" i="18"/>
  <c r="K486" i="18"/>
  <c r="K528" i="18"/>
  <c r="K522" i="9"/>
  <c r="L35" i="1"/>
  <c r="J321" i="2"/>
  <c r="K321" i="2" s="1"/>
  <c r="L446" i="2"/>
  <c r="N446" i="2" s="1"/>
  <c r="L147" i="1"/>
  <c r="N147" i="1" s="1"/>
  <c r="K524" i="3"/>
  <c r="K526" i="3"/>
  <c r="K528" i="3"/>
  <c r="I270" i="4"/>
  <c r="K473" i="4"/>
  <c r="K528" i="5"/>
  <c r="I325" i="7"/>
  <c r="L332" i="8"/>
  <c r="N332" i="8" s="1"/>
  <c r="I444" i="8"/>
  <c r="K444" i="8" s="1"/>
  <c r="I457" i="8"/>
  <c r="K457" i="8" s="1"/>
  <c r="K473" i="9"/>
  <c r="K240" i="10"/>
  <c r="L146" i="11"/>
  <c r="L144" i="11" s="1"/>
  <c r="N144" i="11" s="1"/>
  <c r="I275" i="11"/>
  <c r="K275" i="11" s="1"/>
  <c r="K506" i="11"/>
  <c r="K523" i="12"/>
  <c r="K48" i="13"/>
  <c r="L146" i="13"/>
  <c r="N146" i="13" s="1"/>
  <c r="K482" i="13"/>
  <c r="I114" i="15"/>
  <c r="K114" i="15" s="1"/>
  <c r="I129" i="15"/>
  <c r="I68" i="15" s="1"/>
  <c r="K68" i="15" s="1"/>
  <c r="K361" i="15"/>
  <c r="I129" i="16"/>
  <c r="K129" i="16" s="1"/>
  <c r="L459" i="16"/>
  <c r="N459" i="16" s="1"/>
  <c r="K488" i="18"/>
  <c r="I490" i="18"/>
  <c r="K490" i="18" s="1"/>
  <c r="J325" i="2"/>
  <c r="K526" i="2"/>
  <c r="K138" i="4"/>
  <c r="K236" i="4"/>
  <c r="K266" i="4"/>
  <c r="K271" i="4"/>
  <c r="K522" i="4"/>
  <c r="K125" i="5"/>
  <c r="K238" i="6"/>
  <c r="J409" i="6"/>
  <c r="I74" i="7"/>
  <c r="K74" i="7" s="1"/>
  <c r="K327" i="7"/>
  <c r="L492" i="7"/>
  <c r="L490" i="7" s="1"/>
  <c r="N490" i="7" s="1"/>
  <c r="I32" i="8"/>
  <c r="K32" i="8" s="1"/>
  <c r="K48" i="8"/>
  <c r="K238" i="8"/>
  <c r="K266" i="8"/>
  <c r="K360" i="8"/>
  <c r="I245" i="9"/>
  <c r="K245" i="9" s="1"/>
  <c r="L247" i="9"/>
  <c r="N247" i="9" s="1"/>
  <c r="I275" i="9"/>
  <c r="K275" i="9" s="1"/>
  <c r="K138" i="12"/>
  <c r="I129" i="12"/>
  <c r="K129" i="12" s="1"/>
  <c r="I185" i="13"/>
  <c r="K185" i="13" s="1"/>
  <c r="K195" i="13"/>
  <c r="L116" i="15"/>
  <c r="N116" i="15" s="1"/>
  <c r="N117" i="15"/>
  <c r="L131" i="16"/>
  <c r="N131" i="16" s="1"/>
  <c r="N132" i="16"/>
  <c r="N104" i="18"/>
  <c r="L103" i="18"/>
  <c r="L101" i="18" s="1"/>
  <c r="N101" i="18" s="1"/>
  <c r="L230" i="2"/>
  <c r="L228" i="2" s="1"/>
  <c r="I89" i="6"/>
  <c r="K89" i="6" s="1"/>
  <c r="J321" i="7"/>
  <c r="K321" i="7" s="1"/>
  <c r="L459" i="9"/>
  <c r="N459" i="9" s="1"/>
  <c r="I32" i="10"/>
  <c r="K32" i="10" s="1"/>
  <c r="K44" i="10"/>
  <c r="I270" i="11"/>
  <c r="I244" i="11" s="1"/>
  <c r="K244" i="11" s="1"/>
  <c r="K271" i="11"/>
  <c r="K466" i="11"/>
  <c r="I457" i="11"/>
  <c r="K457" i="11" s="1"/>
  <c r="K126" i="12"/>
  <c r="L230" i="12"/>
  <c r="N230" i="12" s="1"/>
  <c r="N231" i="12"/>
  <c r="K524" i="12"/>
  <c r="L76" i="14"/>
  <c r="N77" i="14"/>
  <c r="I63" i="15"/>
  <c r="K63" i="15" s="1"/>
  <c r="K62" i="15"/>
  <c r="K224" i="15"/>
  <c r="I214" i="15"/>
  <c r="K214" i="15" s="1"/>
  <c r="L492" i="15"/>
  <c r="L490" i="15" s="1"/>
  <c r="N490" i="15" s="1"/>
  <c r="N493" i="15"/>
  <c r="L146" i="2"/>
  <c r="N146" i="2" s="1"/>
  <c r="K323" i="2"/>
  <c r="K525" i="2"/>
  <c r="I52" i="3"/>
  <c r="K52" i="3" s="1"/>
  <c r="K62" i="3"/>
  <c r="I275" i="3"/>
  <c r="K484" i="3"/>
  <c r="K488" i="3"/>
  <c r="K523" i="3"/>
  <c r="I89" i="4"/>
  <c r="K89" i="4" s="1"/>
  <c r="K390" i="4"/>
  <c r="K235" i="6"/>
  <c r="I270" i="6"/>
  <c r="I350" i="6"/>
  <c r="K525" i="6"/>
  <c r="N77" i="7"/>
  <c r="I149" i="7"/>
  <c r="I144" i="7" s="1"/>
  <c r="K144" i="7" s="1"/>
  <c r="K240" i="7"/>
  <c r="I275" i="7"/>
  <c r="K275" i="7" s="1"/>
  <c r="I214" i="8"/>
  <c r="K214" i="8" s="1"/>
  <c r="K453" i="8"/>
  <c r="K524" i="8"/>
  <c r="K224" i="9"/>
  <c r="L299" i="9"/>
  <c r="N299" i="9" s="1"/>
  <c r="K138" i="13"/>
  <c r="I129" i="13"/>
  <c r="K129" i="13" s="1"/>
  <c r="K224" i="13"/>
  <c r="I214" i="13"/>
  <c r="K214" i="13" s="1"/>
  <c r="L91" i="15"/>
  <c r="N91" i="15" s="1"/>
  <c r="N92" i="15"/>
  <c r="N203" i="17"/>
  <c r="L201" i="17"/>
  <c r="N201" i="17" s="1"/>
  <c r="K240" i="18"/>
  <c r="K313" i="18"/>
  <c r="I296" i="18"/>
  <c r="K296" i="18" s="1"/>
  <c r="L54" i="4"/>
  <c r="N54" i="4" s="1"/>
  <c r="I444" i="4"/>
  <c r="K444" i="4" s="1"/>
  <c r="K155" i="10"/>
  <c r="I149" i="10"/>
  <c r="I144" i="10" s="1"/>
  <c r="K144" i="10" s="1"/>
  <c r="I262" i="10"/>
  <c r="K262" i="10" s="1"/>
  <c r="K266" i="10"/>
  <c r="N203" i="11"/>
  <c r="L201" i="11"/>
  <c r="K209" i="12"/>
  <c r="I199" i="12"/>
  <c r="K199" i="12" s="1"/>
  <c r="K209" i="14"/>
  <c r="I199" i="14"/>
  <c r="K199" i="14" s="1"/>
  <c r="I473" i="15"/>
  <c r="K473" i="15" s="1"/>
  <c r="K484" i="15"/>
  <c r="I214" i="16"/>
  <c r="K214" i="16" s="1"/>
  <c r="K224" i="16"/>
  <c r="K292" i="16"/>
  <c r="I275" i="16"/>
  <c r="K275" i="16" s="1"/>
  <c r="K111" i="18"/>
  <c r="I101" i="18"/>
  <c r="K101" i="18" s="1"/>
  <c r="K521" i="11"/>
  <c r="K523" i="11"/>
  <c r="K525" i="11"/>
  <c r="K527" i="11"/>
  <c r="K482" i="14"/>
  <c r="N12" i="15"/>
  <c r="L446" i="17"/>
  <c r="L444" i="17" s="1"/>
  <c r="N444" i="17" s="1"/>
  <c r="K522" i="17"/>
  <c r="K526" i="17"/>
  <c r="I350" i="10"/>
  <c r="I297" i="11"/>
  <c r="L475" i="11"/>
  <c r="N475" i="11" s="1"/>
  <c r="L475" i="12"/>
  <c r="L332" i="13"/>
  <c r="N332" i="13" s="1"/>
  <c r="L54" i="15"/>
  <c r="N54" i="15" s="1"/>
  <c r="I276" i="15"/>
  <c r="K276" i="15" s="1"/>
  <c r="L299" i="16"/>
  <c r="L296" i="16" s="1"/>
  <c r="N296" i="16" s="1"/>
  <c r="I311" i="17"/>
  <c r="L54" i="18"/>
  <c r="N54" i="18" s="1"/>
  <c r="I199" i="18"/>
  <c r="K199" i="18" s="1"/>
  <c r="K508" i="18"/>
  <c r="I368" i="10"/>
  <c r="K368" i="10" s="1"/>
  <c r="K482" i="11"/>
  <c r="N476" i="12"/>
  <c r="N333" i="13"/>
  <c r="K361" i="13"/>
  <c r="N55" i="15"/>
  <c r="I262" i="15"/>
  <c r="K262" i="15" s="1"/>
  <c r="L230" i="16"/>
  <c r="I444" i="17"/>
  <c r="K444" i="17" s="1"/>
  <c r="K521" i="17"/>
  <c r="K525" i="17"/>
  <c r="N55" i="18"/>
  <c r="L201" i="18"/>
  <c r="L299" i="18"/>
  <c r="L296" i="18" s="1"/>
  <c r="N296" i="18" s="1"/>
  <c r="K522" i="18"/>
  <c r="L9" i="2"/>
  <c r="N9" i="2" s="1"/>
  <c r="L187" i="2"/>
  <c r="L185" i="2" s="1"/>
  <c r="N185" i="2" s="1"/>
  <c r="N231" i="2"/>
  <c r="K235" i="2"/>
  <c r="J316" i="2"/>
  <c r="K316" i="2" s="1"/>
  <c r="K523" i="2"/>
  <c r="K527" i="2"/>
  <c r="L73" i="3"/>
  <c r="N73" i="3" s="1"/>
  <c r="I129" i="3"/>
  <c r="K129" i="3" s="1"/>
  <c r="K263" i="3"/>
  <c r="K275" i="3"/>
  <c r="L278" i="3"/>
  <c r="N278" i="3" s="1"/>
  <c r="J316" i="3"/>
  <c r="K316" i="3" s="1"/>
  <c r="I369" i="3"/>
  <c r="K369" i="3" s="1"/>
  <c r="K522" i="3"/>
  <c r="J527" i="1"/>
  <c r="K180" i="4"/>
  <c r="I185" i="4"/>
  <c r="K185" i="4" s="1"/>
  <c r="J312" i="4"/>
  <c r="K312" i="4" s="1"/>
  <c r="J321" i="4"/>
  <c r="K321" i="4" s="1"/>
  <c r="J415" i="1"/>
  <c r="K24" i="7"/>
  <c r="I20" i="7"/>
  <c r="K20" i="7" s="1"/>
  <c r="L214" i="7"/>
  <c r="N214" i="7" s="1"/>
  <c r="K138" i="8"/>
  <c r="I129" i="8"/>
  <c r="K129" i="8" s="1"/>
  <c r="K195" i="8"/>
  <c r="I185" i="8"/>
  <c r="K185" i="8" s="1"/>
  <c r="I276" i="8"/>
  <c r="K276" i="8" s="1"/>
  <c r="K291" i="8"/>
  <c r="N92" i="10"/>
  <c r="L91" i="10"/>
  <c r="N91" i="10" s="1"/>
  <c r="K195" i="11"/>
  <c r="I185" i="11"/>
  <c r="K185" i="11" s="1"/>
  <c r="I311" i="11"/>
  <c r="I101" i="2"/>
  <c r="K101" i="2" s="1"/>
  <c r="L131" i="6"/>
  <c r="N131" i="6" s="1"/>
  <c r="N132" i="6"/>
  <c r="K291" i="6"/>
  <c r="I276" i="6"/>
  <c r="K276" i="6" s="1"/>
  <c r="K326" i="6"/>
  <c r="J325" i="6"/>
  <c r="K138" i="7"/>
  <c r="I129" i="7"/>
  <c r="K129" i="7" s="1"/>
  <c r="I344" i="7"/>
  <c r="K346" i="7"/>
  <c r="K22" i="8"/>
  <c r="I20" i="8"/>
  <c r="I9" i="8" s="1"/>
  <c r="K9" i="8" s="1"/>
  <c r="J410" i="8"/>
  <c r="J409" i="8"/>
  <c r="L131" i="9"/>
  <c r="N132" i="9"/>
  <c r="K314" i="9"/>
  <c r="J312" i="9"/>
  <c r="K312" i="9" s="1"/>
  <c r="L91" i="11"/>
  <c r="N91" i="11" s="1"/>
  <c r="N92" i="11"/>
  <c r="K238" i="2"/>
  <c r="L247" i="2"/>
  <c r="N247" i="2" s="1"/>
  <c r="I311" i="2"/>
  <c r="K486" i="2"/>
  <c r="K514" i="2"/>
  <c r="K517" i="2"/>
  <c r="N117" i="3"/>
  <c r="J236" i="1"/>
  <c r="J238" i="1"/>
  <c r="L459" i="3"/>
  <c r="N459" i="3" s="1"/>
  <c r="K521" i="3"/>
  <c r="I24" i="1"/>
  <c r="K24" i="1" s="1"/>
  <c r="L73" i="4"/>
  <c r="N73" i="4" s="1"/>
  <c r="K238" i="4"/>
  <c r="I296" i="4"/>
  <c r="K296" i="4" s="1"/>
  <c r="I149" i="5"/>
  <c r="K149" i="5" s="1"/>
  <c r="K155" i="5"/>
  <c r="L216" i="5"/>
  <c r="I270" i="5"/>
  <c r="K270" i="5" s="1"/>
  <c r="K271" i="5"/>
  <c r="K323" i="6"/>
  <c r="J321" i="6"/>
  <c r="K321" i="6" s="1"/>
  <c r="K517" i="8"/>
  <c r="K516" i="8"/>
  <c r="K518" i="8"/>
  <c r="I185" i="9"/>
  <c r="K185" i="9" s="1"/>
  <c r="K195" i="9"/>
  <c r="K327" i="9"/>
  <c r="J325" i="9"/>
  <c r="I33" i="10"/>
  <c r="K33" i="10" s="1"/>
  <c r="K48" i="10"/>
  <c r="K507" i="10"/>
  <c r="K506" i="10"/>
  <c r="K138" i="11"/>
  <c r="I129" i="11"/>
  <c r="I68" i="11" s="1"/>
  <c r="K68" i="11" s="1"/>
  <c r="K513" i="2"/>
  <c r="K515" i="2"/>
  <c r="N35" i="3"/>
  <c r="L148" i="1"/>
  <c r="N148" i="1" s="1"/>
  <c r="I325" i="3"/>
  <c r="J235" i="1"/>
  <c r="I276" i="4"/>
  <c r="K276" i="4" s="1"/>
  <c r="N203" i="5"/>
  <c r="L201" i="5"/>
  <c r="K236" i="6"/>
  <c r="I228" i="6"/>
  <c r="N333" i="7"/>
  <c r="L332" i="7"/>
  <c r="N332" i="7" s="1"/>
  <c r="L352" i="8"/>
  <c r="N352" i="8" s="1"/>
  <c r="N353" i="8"/>
  <c r="I426" i="9"/>
  <c r="K426" i="9" s="1"/>
  <c r="K440" i="9"/>
  <c r="L492" i="10"/>
  <c r="N492" i="10" s="1"/>
  <c r="N493" i="10"/>
  <c r="I275" i="14"/>
  <c r="K275" i="14" s="1"/>
  <c r="K292" i="14"/>
  <c r="K180" i="15"/>
  <c r="I169" i="15"/>
  <c r="K169" i="15" s="1"/>
  <c r="L247" i="18"/>
  <c r="N248" i="18"/>
  <c r="I276" i="5"/>
  <c r="K276" i="5" s="1"/>
  <c r="K482" i="5"/>
  <c r="K522" i="5"/>
  <c r="K524" i="5"/>
  <c r="I457" i="6"/>
  <c r="K457" i="6" s="1"/>
  <c r="K527" i="6"/>
  <c r="N301" i="7"/>
  <c r="J325" i="7"/>
  <c r="K504" i="7"/>
  <c r="K510" i="7"/>
  <c r="K528" i="7"/>
  <c r="K235" i="8"/>
  <c r="I74" i="9"/>
  <c r="K74" i="9" s="1"/>
  <c r="I265" i="9"/>
  <c r="I267" i="9" s="1"/>
  <c r="K267" i="9" s="1"/>
  <c r="I311" i="9"/>
  <c r="K524" i="9"/>
  <c r="K228" i="10"/>
  <c r="K236" i="10"/>
  <c r="K521" i="10"/>
  <c r="K263" i="11"/>
  <c r="K486" i="11"/>
  <c r="L9" i="12"/>
  <c r="N9" i="12" s="1"/>
  <c r="I63" i="12"/>
  <c r="K63" i="12" s="1"/>
  <c r="I74" i="12"/>
  <c r="K74" i="12" s="1"/>
  <c r="N77" i="12"/>
  <c r="N203" i="13"/>
  <c r="L201" i="13"/>
  <c r="K528" i="14"/>
  <c r="L32" i="16"/>
  <c r="N32" i="16" s="1"/>
  <c r="K125" i="17"/>
  <c r="I114" i="17"/>
  <c r="K114" i="17" s="1"/>
  <c r="L73" i="17"/>
  <c r="N73" i="17" s="1"/>
  <c r="I68" i="18"/>
  <c r="K68" i="18" s="1"/>
  <c r="L187" i="18"/>
  <c r="L185" i="18" s="1"/>
  <c r="N185" i="18" s="1"/>
  <c r="N188" i="18"/>
  <c r="L492" i="4"/>
  <c r="L490" i="4" s="1"/>
  <c r="N490" i="4" s="1"/>
  <c r="L146" i="5"/>
  <c r="L144" i="5" s="1"/>
  <c r="N144" i="5" s="1"/>
  <c r="L171" i="5"/>
  <c r="N171" i="5" s="1"/>
  <c r="L352" i="5"/>
  <c r="N352" i="5" s="1"/>
  <c r="K466" i="5"/>
  <c r="K519" i="5"/>
  <c r="J312" i="6"/>
  <c r="K312" i="6" s="1"/>
  <c r="I368" i="6"/>
  <c r="K368" i="6" s="1"/>
  <c r="K524" i="6"/>
  <c r="K526" i="6"/>
  <c r="K528" i="6"/>
  <c r="I89" i="7"/>
  <c r="K89" i="7" s="1"/>
  <c r="L187" i="7"/>
  <c r="N187" i="7" s="1"/>
  <c r="I311" i="7"/>
  <c r="K326" i="7"/>
  <c r="K482" i="7"/>
  <c r="K508" i="7"/>
  <c r="K523" i="7"/>
  <c r="I63" i="8"/>
  <c r="K63" i="8" s="1"/>
  <c r="K155" i="8"/>
  <c r="N77" i="9"/>
  <c r="I199" i="9"/>
  <c r="K199" i="9" s="1"/>
  <c r="K484" i="9"/>
  <c r="K517" i="9"/>
  <c r="L201" i="10"/>
  <c r="K240" i="11"/>
  <c r="K522" i="11"/>
  <c r="K524" i="11"/>
  <c r="I52" i="12"/>
  <c r="K52" i="12" s="1"/>
  <c r="L54" i="13"/>
  <c r="N54" i="13" s="1"/>
  <c r="N55" i="13"/>
  <c r="I21" i="16"/>
  <c r="K21" i="16" s="1"/>
  <c r="K27" i="16"/>
  <c r="L247" i="16"/>
  <c r="N247" i="16" s="1"/>
  <c r="N248" i="16"/>
  <c r="K507" i="16"/>
  <c r="K511" i="16"/>
  <c r="K505" i="16"/>
  <c r="K504" i="16"/>
  <c r="I490" i="16"/>
  <c r="K490" i="16" s="1"/>
  <c r="I276" i="17"/>
  <c r="K276" i="17" s="1"/>
  <c r="K291" i="17"/>
  <c r="N353" i="17"/>
  <c r="L352" i="17"/>
  <c r="N352" i="17" s="1"/>
  <c r="I270" i="18"/>
  <c r="K272" i="18"/>
  <c r="K523" i="4"/>
  <c r="K528" i="4"/>
  <c r="K238" i="5"/>
  <c r="J325" i="5"/>
  <c r="L492" i="5"/>
  <c r="N492" i="5" s="1"/>
  <c r="K521" i="5"/>
  <c r="K523" i="5"/>
  <c r="I185" i="6"/>
  <c r="K185" i="6" s="1"/>
  <c r="K390" i="7"/>
  <c r="I488" i="1"/>
  <c r="K521" i="8"/>
  <c r="K523" i="8"/>
  <c r="K392" i="9"/>
  <c r="K514" i="9"/>
  <c r="K525" i="9"/>
  <c r="K527" i="9"/>
  <c r="K528" i="10"/>
  <c r="K484" i="12"/>
  <c r="I473" i="12"/>
  <c r="K473" i="12" s="1"/>
  <c r="K83" i="13"/>
  <c r="I74" i="13"/>
  <c r="K74" i="13" s="1"/>
  <c r="K236" i="13"/>
  <c r="I228" i="13"/>
  <c r="K228" i="13" s="1"/>
  <c r="K62" i="14"/>
  <c r="I63" i="14"/>
  <c r="K63" i="14" s="1"/>
  <c r="K83" i="14"/>
  <c r="I74" i="14"/>
  <c r="K74" i="14" s="1"/>
  <c r="L76" i="17"/>
  <c r="N76" i="17" s="1"/>
  <c r="N77" i="17"/>
  <c r="K515" i="17"/>
  <c r="K517" i="17"/>
  <c r="K98" i="18"/>
  <c r="I89" i="18"/>
  <c r="K89" i="18" s="1"/>
  <c r="J409" i="18"/>
  <c r="L459" i="18"/>
  <c r="N459" i="18" s="1"/>
  <c r="N460" i="18"/>
  <c r="L278" i="12"/>
  <c r="N278" i="12" s="1"/>
  <c r="L299" i="12"/>
  <c r="N299" i="12" s="1"/>
  <c r="I311" i="12"/>
  <c r="I325" i="12"/>
  <c r="K527" i="12"/>
  <c r="K514" i="13"/>
  <c r="K518" i="13"/>
  <c r="K522" i="13"/>
  <c r="I275" i="15"/>
  <c r="K275" i="15" s="1"/>
  <c r="I20" i="16"/>
  <c r="I33" i="16"/>
  <c r="K33" i="16" s="1"/>
  <c r="K522" i="16"/>
  <c r="K240" i="17"/>
  <c r="K466" i="17"/>
  <c r="K528" i="17"/>
  <c r="K509" i="18"/>
  <c r="K240" i="12"/>
  <c r="N279" i="12"/>
  <c r="N300" i="12"/>
  <c r="I262" i="13"/>
  <c r="K262" i="13" s="1"/>
  <c r="I276" i="13"/>
  <c r="K276" i="13" s="1"/>
  <c r="K516" i="13"/>
  <c r="K523" i="13"/>
  <c r="K484" i="14"/>
  <c r="K486" i="14"/>
  <c r="K523" i="14"/>
  <c r="L216" i="15"/>
  <c r="K235" i="15"/>
  <c r="J316" i="15"/>
  <c r="K316" i="15" s="1"/>
  <c r="J325" i="15"/>
  <c r="L352" i="15"/>
  <c r="N352" i="15" s="1"/>
  <c r="I199" i="16"/>
  <c r="K199" i="16" s="1"/>
  <c r="L278" i="16"/>
  <c r="N278" i="16" s="1"/>
  <c r="K484" i="16"/>
  <c r="K521" i="16"/>
  <c r="K523" i="16"/>
  <c r="K527" i="16"/>
  <c r="L73" i="18"/>
  <c r="L71" i="18" s="1"/>
  <c r="K473" i="18"/>
  <c r="K528" i="12"/>
  <c r="K527" i="13"/>
  <c r="K235" i="14"/>
  <c r="K522" i="14"/>
  <c r="K524" i="14"/>
  <c r="K236" i="15"/>
  <c r="K240" i="15"/>
  <c r="K522" i="15"/>
  <c r="L187" i="16"/>
  <c r="N187" i="16" s="1"/>
  <c r="K238" i="16"/>
  <c r="K240" i="16"/>
  <c r="K235" i="17"/>
  <c r="K292" i="18"/>
  <c r="K482" i="18"/>
  <c r="K526" i="18"/>
  <c r="N131" i="2"/>
  <c r="L129" i="2"/>
  <c r="N129" i="2" s="1"/>
  <c r="K265" i="3"/>
  <c r="I267" i="3"/>
  <c r="K267" i="3" s="1"/>
  <c r="I245" i="2"/>
  <c r="K245" i="2" s="1"/>
  <c r="K98" i="5"/>
  <c r="I89" i="5"/>
  <c r="K89" i="5" s="1"/>
  <c r="L76" i="6"/>
  <c r="L74" i="6" s="1"/>
  <c r="N74" i="6" s="1"/>
  <c r="N77" i="6"/>
  <c r="I21" i="7"/>
  <c r="K23" i="7"/>
  <c r="K125" i="7"/>
  <c r="I114" i="7"/>
  <c r="K114" i="7" s="1"/>
  <c r="L230" i="7"/>
  <c r="N230" i="7" s="1"/>
  <c r="N231" i="7"/>
  <c r="L247" i="7"/>
  <c r="N247" i="7" s="1"/>
  <c r="N248" i="7"/>
  <c r="I262" i="7"/>
  <c r="K262" i="7" s="1"/>
  <c r="K264" i="7"/>
  <c r="L352" i="7"/>
  <c r="N353" i="7"/>
  <c r="L428" i="7"/>
  <c r="N429" i="7"/>
  <c r="N35" i="8"/>
  <c r="L32" i="8"/>
  <c r="N32" i="8" s="1"/>
  <c r="K98" i="8"/>
  <c r="I89" i="8"/>
  <c r="K89" i="8" s="1"/>
  <c r="N148" i="8"/>
  <c r="L146" i="8"/>
  <c r="L144" i="8" s="1"/>
  <c r="K236" i="8"/>
  <c r="I228" i="8"/>
  <c r="K228" i="8" s="1"/>
  <c r="K271" i="8"/>
  <c r="I270" i="8"/>
  <c r="K270" i="8" s="1"/>
  <c r="L492" i="8"/>
  <c r="N492" i="8" s="1"/>
  <c r="N493" i="8"/>
  <c r="K320" i="9"/>
  <c r="J316" i="9"/>
  <c r="K316" i="9" s="1"/>
  <c r="J325" i="11"/>
  <c r="I325" i="11"/>
  <c r="K326" i="11"/>
  <c r="I360" i="18"/>
  <c r="K360" i="18" s="1"/>
  <c r="I376" i="18"/>
  <c r="K376" i="18" s="1"/>
  <c r="K359" i="18"/>
  <c r="I350" i="18"/>
  <c r="K350" i="18" s="1"/>
  <c r="I368" i="18"/>
  <c r="K368" i="18" s="1"/>
  <c r="K512" i="3"/>
  <c r="K511" i="3"/>
  <c r="K509" i="3"/>
  <c r="I490" i="3"/>
  <c r="K490" i="3" s="1"/>
  <c r="K508" i="3"/>
  <c r="N117" i="4"/>
  <c r="L116" i="4"/>
  <c r="N116" i="4" s="1"/>
  <c r="I377" i="4"/>
  <c r="K377" i="4" s="1"/>
  <c r="K361" i="4"/>
  <c r="L446" i="5"/>
  <c r="N447" i="5"/>
  <c r="I44" i="1"/>
  <c r="K44" i="1" s="1"/>
  <c r="L217" i="1"/>
  <c r="N217" i="1" s="1"/>
  <c r="I293" i="1"/>
  <c r="K293" i="1" s="1"/>
  <c r="I359" i="1"/>
  <c r="J413" i="1"/>
  <c r="J417" i="1"/>
  <c r="J523" i="1"/>
  <c r="K26" i="2"/>
  <c r="N72" i="2"/>
  <c r="L91" i="2"/>
  <c r="L103" i="2"/>
  <c r="N104" i="2"/>
  <c r="N132" i="2"/>
  <c r="K182" i="2"/>
  <c r="K195" i="2"/>
  <c r="K224" i="2"/>
  <c r="I297" i="2"/>
  <c r="N300" i="2"/>
  <c r="K326" i="2"/>
  <c r="K359" i="2"/>
  <c r="I409" i="1"/>
  <c r="K409" i="1" s="1"/>
  <c r="J410" i="2"/>
  <c r="L448" i="1"/>
  <c r="J482" i="1"/>
  <c r="L493" i="1"/>
  <c r="N493" i="1" s="1"/>
  <c r="K508" i="2"/>
  <c r="K510" i="2"/>
  <c r="J525" i="1"/>
  <c r="I20" i="3"/>
  <c r="I9" i="3" s="1"/>
  <c r="K9" i="3" s="1"/>
  <c r="K48" i="3"/>
  <c r="N148" i="3"/>
  <c r="I199" i="3"/>
  <c r="K199" i="3" s="1"/>
  <c r="N217" i="3"/>
  <c r="J237" i="1"/>
  <c r="K238" i="3"/>
  <c r="I262" i="3"/>
  <c r="K262" i="3" s="1"/>
  <c r="L299" i="3"/>
  <c r="N299" i="3" s="1"/>
  <c r="K319" i="3"/>
  <c r="I376" i="3"/>
  <c r="K376" i="3" s="1"/>
  <c r="J486" i="1"/>
  <c r="K24" i="4"/>
  <c r="I33" i="4"/>
  <c r="K33" i="4" s="1"/>
  <c r="K48" i="4"/>
  <c r="K111" i="4"/>
  <c r="I101" i="4"/>
  <c r="K101" i="4" s="1"/>
  <c r="K209" i="4"/>
  <c r="J234" i="1"/>
  <c r="K235" i="4"/>
  <c r="K525" i="4"/>
  <c r="N525" i="4"/>
  <c r="L9" i="5"/>
  <c r="N9" i="5" s="1"/>
  <c r="N12" i="5"/>
  <c r="I214" i="5"/>
  <c r="K214" i="5" s="1"/>
  <c r="L428" i="5"/>
  <c r="N428" i="5" s="1"/>
  <c r="I21" i="6"/>
  <c r="N148" i="6"/>
  <c r="L146" i="6"/>
  <c r="I265" i="6"/>
  <c r="K265" i="6" s="1"/>
  <c r="I245" i="6"/>
  <c r="K245" i="6" s="1"/>
  <c r="K292" i="6"/>
  <c r="I275" i="6"/>
  <c r="K275" i="6" s="1"/>
  <c r="L475" i="6"/>
  <c r="N476" i="6"/>
  <c r="K512" i="6"/>
  <c r="K507" i="6"/>
  <c r="K505" i="6"/>
  <c r="K509" i="6"/>
  <c r="N172" i="7"/>
  <c r="L171" i="7"/>
  <c r="L116" i="8"/>
  <c r="L114" i="8" s="1"/>
  <c r="N114" i="8" s="1"/>
  <c r="N117" i="8"/>
  <c r="I377" i="8"/>
  <c r="K377" i="8" s="1"/>
  <c r="K361" i="8"/>
  <c r="N92" i="9"/>
  <c r="L73" i="9"/>
  <c r="L187" i="9"/>
  <c r="N187" i="9" s="1"/>
  <c r="N188" i="9"/>
  <c r="N218" i="9"/>
  <c r="L216" i="9"/>
  <c r="K240" i="9"/>
  <c r="L278" i="9"/>
  <c r="L275" i="9" s="1"/>
  <c r="N275" i="9" s="1"/>
  <c r="N279" i="9"/>
  <c r="N430" i="10"/>
  <c r="L428" i="10"/>
  <c r="L426" i="10" s="1"/>
  <c r="N426" i="10" s="1"/>
  <c r="I74" i="11"/>
  <c r="K74" i="11" s="1"/>
  <c r="K83" i="11"/>
  <c r="K22" i="5"/>
  <c r="I20" i="5"/>
  <c r="L12" i="1"/>
  <c r="N12" i="1" s="1"/>
  <c r="L203" i="1"/>
  <c r="N203" i="1" s="1"/>
  <c r="I316" i="1"/>
  <c r="I323" i="1"/>
  <c r="K323" i="1" s="1"/>
  <c r="L334" i="1"/>
  <c r="L429" i="1"/>
  <c r="N429" i="1" s="1"/>
  <c r="L55" i="1"/>
  <c r="N55" i="1" s="1"/>
  <c r="K180" i="2"/>
  <c r="N188" i="2"/>
  <c r="I199" i="2"/>
  <c r="K199" i="2" s="1"/>
  <c r="I240" i="1"/>
  <c r="N248" i="2"/>
  <c r="K263" i="2"/>
  <c r="I296" i="2"/>
  <c r="K296" i="2" s="1"/>
  <c r="L299" i="2"/>
  <c r="N299" i="2" s="1"/>
  <c r="I325" i="2"/>
  <c r="I376" i="2"/>
  <c r="K376" i="2" s="1"/>
  <c r="J409" i="2"/>
  <c r="I457" i="2"/>
  <c r="K457" i="2" s="1"/>
  <c r="K487" i="2"/>
  <c r="K509" i="2"/>
  <c r="K511" i="2"/>
  <c r="K516" i="2"/>
  <c r="K518" i="2"/>
  <c r="K522" i="2"/>
  <c r="N104" i="3"/>
  <c r="I185" i="3"/>
  <c r="K185" i="3" s="1"/>
  <c r="I296" i="3"/>
  <c r="K296" i="3" s="1"/>
  <c r="I350" i="3"/>
  <c r="K350" i="3" s="1"/>
  <c r="K390" i="3"/>
  <c r="N460" i="3"/>
  <c r="J483" i="1"/>
  <c r="K505" i="3"/>
  <c r="K22" i="4"/>
  <c r="I20" i="4"/>
  <c r="K83" i="4"/>
  <c r="I74" i="4"/>
  <c r="K74" i="4" s="1"/>
  <c r="L103" i="4"/>
  <c r="N103" i="4" s="1"/>
  <c r="N104" i="4"/>
  <c r="L201" i="4"/>
  <c r="N202" i="4"/>
  <c r="I426" i="4"/>
  <c r="K426" i="4" s="1"/>
  <c r="K440" i="4"/>
  <c r="N527" i="4"/>
  <c r="K527" i="4"/>
  <c r="I228" i="5"/>
  <c r="K228" i="5" s="1"/>
  <c r="K236" i="5"/>
  <c r="K514" i="5"/>
  <c r="K518" i="5"/>
  <c r="K513" i="5"/>
  <c r="I426" i="6"/>
  <c r="K426" i="6" s="1"/>
  <c r="K440" i="6"/>
  <c r="L446" i="6"/>
  <c r="N447" i="6"/>
  <c r="I490" i="6"/>
  <c r="K511" i="6"/>
  <c r="K361" i="7"/>
  <c r="I377" i="7"/>
  <c r="K377" i="7" s="1"/>
  <c r="I444" i="7"/>
  <c r="K444" i="7" s="1"/>
  <c r="K453" i="7"/>
  <c r="L459" i="7"/>
  <c r="L457" i="7" s="1"/>
  <c r="N460" i="7"/>
  <c r="L54" i="8"/>
  <c r="N54" i="8" s="1"/>
  <c r="N55" i="8"/>
  <c r="L171" i="8"/>
  <c r="L169" i="8" s="1"/>
  <c r="N169" i="8" s="1"/>
  <c r="I199" i="8"/>
  <c r="K199" i="8" s="1"/>
  <c r="K209" i="8"/>
  <c r="I344" i="8"/>
  <c r="K344" i="8" s="1"/>
  <c r="K345" i="8"/>
  <c r="K361" i="9"/>
  <c r="I377" i="9"/>
  <c r="K377" i="9" s="1"/>
  <c r="I369" i="9"/>
  <c r="K369" i="9" s="1"/>
  <c r="J410" i="9"/>
  <c r="J409" i="9"/>
  <c r="I368" i="2"/>
  <c r="K368" i="2" s="1"/>
  <c r="K473" i="2"/>
  <c r="I126" i="1"/>
  <c r="K126" i="1" s="1"/>
  <c r="L187" i="4"/>
  <c r="L185" i="4" s="1"/>
  <c r="N185" i="4" s="1"/>
  <c r="I344" i="4"/>
  <c r="K344" i="4" s="1"/>
  <c r="K345" i="4"/>
  <c r="N526" i="4"/>
  <c r="K526" i="4"/>
  <c r="I266" i="1"/>
  <c r="K266" i="1" s="1"/>
  <c r="I271" i="1"/>
  <c r="K271" i="1" s="1"/>
  <c r="I317" i="1"/>
  <c r="K317" i="1" s="1"/>
  <c r="I327" i="1"/>
  <c r="K327" i="1" s="1"/>
  <c r="J416" i="1"/>
  <c r="J522" i="1"/>
  <c r="I526" i="1"/>
  <c r="I22" i="1"/>
  <c r="K22" i="1" s="1"/>
  <c r="I74" i="2"/>
  <c r="K74" i="2" s="1"/>
  <c r="I89" i="2"/>
  <c r="K89" i="2" s="1"/>
  <c r="K409" i="2"/>
  <c r="I441" i="1"/>
  <c r="K441" i="1" s="1"/>
  <c r="N448" i="2"/>
  <c r="L459" i="2"/>
  <c r="N459" i="2" s="1"/>
  <c r="K488" i="2"/>
  <c r="K504" i="2"/>
  <c r="K521" i="2"/>
  <c r="L189" i="1"/>
  <c r="N189" i="1" s="1"/>
  <c r="L248" i="1"/>
  <c r="N248" i="1" s="1"/>
  <c r="K507" i="3"/>
  <c r="K510" i="3"/>
  <c r="K525" i="3"/>
  <c r="L9" i="4"/>
  <c r="N9" i="4" s="1"/>
  <c r="N12" i="4"/>
  <c r="L428" i="4"/>
  <c r="N428" i="4" s="1"/>
  <c r="N429" i="4"/>
  <c r="I457" i="4"/>
  <c r="K457" i="4" s="1"/>
  <c r="K466" i="4"/>
  <c r="K524" i="4"/>
  <c r="N524" i="4"/>
  <c r="L92" i="1"/>
  <c r="N92" i="1" s="1"/>
  <c r="I344" i="5"/>
  <c r="K453" i="5"/>
  <c r="I444" i="5"/>
  <c r="K444" i="5" s="1"/>
  <c r="N12" i="6"/>
  <c r="L9" i="6"/>
  <c r="N9" i="6" s="1"/>
  <c r="K508" i="6"/>
  <c r="L278" i="7"/>
  <c r="L275" i="7" s="1"/>
  <c r="N279" i="7"/>
  <c r="I350" i="7"/>
  <c r="K350" i="7" s="1"/>
  <c r="K359" i="7"/>
  <c r="J410" i="7"/>
  <c r="K519" i="7"/>
  <c r="K516" i="7"/>
  <c r="K514" i="7"/>
  <c r="L103" i="8"/>
  <c r="N104" i="8"/>
  <c r="N203" i="9"/>
  <c r="L201" i="9"/>
  <c r="L199" i="9" s="1"/>
  <c r="N199" i="9" s="1"/>
  <c r="L230" i="9"/>
  <c r="N231" i="9"/>
  <c r="I376" i="9"/>
  <c r="K376" i="9" s="1"/>
  <c r="I350" i="9"/>
  <c r="K350" i="9" s="1"/>
  <c r="K359" i="9"/>
  <c r="K512" i="9"/>
  <c r="K505" i="9"/>
  <c r="K510" i="9"/>
  <c r="K508" i="9"/>
  <c r="K511" i="9"/>
  <c r="K507" i="9"/>
  <c r="K504" i="9"/>
  <c r="I490" i="9"/>
  <c r="K490" i="9" s="1"/>
  <c r="L32" i="10"/>
  <c r="N32" i="10" s="1"/>
  <c r="N35" i="10"/>
  <c r="L216" i="10"/>
  <c r="N448" i="11"/>
  <c r="L446" i="11"/>
  <c r="N446" i="11" s="1"/>
  <c r="K457" i="5"/>
  <c r="K263" i="6"/>
  <c r="K504" i="6"/>
  <c r="K515" i="6"/>
  <c r="N35" i="7"/>
  <c r="K238" i="7"/>
  <c r="K488" i="7"/>
  <c r="K521" i="7"/>
  <c r="K524" i="7"/>
  <c r="K240" i="8"/>
  <c r="K528" i="8"/>
  <c r="K235" i="9"/>
  <c r="I297" i="9"/>
  <c r="K482" i="9"/>
  <c r="L54" i="10"/>
  <c r="L103" i="10"/>
  <c r="L116" i="10"/>
  <c r="N116" i="10" s="1"/>
  <c r="I262" i="11"/>
  <c r="K262" i="11" s="1"/>
  <c r="J312" i="11"/>
  <c r="K312" i="11" s="1"/>
  <c r="K315" i="11"/>
  <c r="K517" i="11"/>
  <c r="L116" i="13"/>
  <c r="N116" i="13" s="1"/>
  <c r="N117" i="13"/>
  <c r="L73" i="13"/>
  <c r="N73" i="13" s="1"/>
  <c r="I311" i="16"/>
  <c r="I297" i="16"/>
  <c r="K482" i="3"/>
  <c r="K482" i="4"/>
  <c r="K74" i="5"/>
  <c r="L73" i="5"/>
  <c r="N73" i="5" s="1"/>
  <c r="N172" i="5"/>
  <c r="K209" i="5"/>
  <c r="K266" i="5"/>
  <c r="I297" i="5"/>
  <c r="J321" i="5"/>
  <c r="K321" i="5" s="1"/>
  <c r="K345" i="5"/>
  <c r="N353" i="5"/>
  <c r="I311" i="6"/>
  <c r="K315" i="6"/>
  <c r="K513" i="6"/>
  <c r="I52" i="7"/>
  <c r="K52" i="7" s="1"/>
  <c r="I63" i="7"/>
  <c r="K63" i="7" s="1"/>
  <c r="N188" i="7"/>
  <c r="K195" i="7"/>
  <c r="L201" i="7"/>
  <c r="N201" i="7" s="1"/>
  <c r="K482" i="8"/>
  <c r="K527" i="8"/>
  <c r="I129" i="9"/>
  <c r="K486" i="9"/>
  <c r="K488" i="9"/>
  <c r="K83" i="10"/>
  <c r="I74" i="10"/>
  <c r="K74" i="10" s="1"/>
  <c r="K98" i="10"/>
  <c r="I89" i="10"/>
  <c r="K89" i="10" s="1"/>
  <c r="I214" i="10"/>
  <c r="K214" i="10" s="1"/>
  <c r="L332" i="10"/>
  <c r="N332" i="10" s="1"/>
  <c r="N333" i="10"/>
  <c r="K453" i="10"/>
  <c r="I444" i="10"/>
  <c r="K444" i="10" s="1"/>
  <c r="K524" i="10"/>
  <c r="K22" i="11"/>
  <c r="I20" i="11"/>
  <c r="K20" i="11" s="1"/>
  <c r="L299" i="11"/>
  <c r="N299" i="11" s="1"/>
  <c r="N300" i="11"/>
  <c r="K169" i="4"/>
  <c r="J484" i="1"/>
  <c r="K486" i="4"/>
  <c r="L332" i="5"/>
  <c r="N332" i="5" s="1"/>
  <c r="K361" i="5"/>
  <c r="J409" i="5"/>
  <c r="I20" i="6"/>
  <c r="I9" i="6" s="1"/>
  <c r="K240" i="6"/>
  <c r="K510" i="6"/>
  <c r="K523" i="6"/>
  <c r="K235" i="7"/>
  <c r="N249" i="7"/>
  <c r="K263" i="7"/>
  <c r="N280" i="7"/>
  <c r="J316" i="7"/>
  <c r="K316" i="7" s="1"/>
  <c r="K360" i="7"/>
  <c r="K522" i="7"/>
  <c r="N12" i="8"/>
  <c r="J316" i="8"/>
  <c r="K316" i="8" s="1"/>
  <c r="J325" i="8"/>
  <c r="K486" i="8"/>
  <c r="K522" i="8"/>
  <c r="K238" i="9"/>
  <c r="I296" i="9"/>
  <c r="K296" i="9" s="1"/>
  <c r="K22" i="10"/>
  <c r="I20" i="10"/>
  <c r="K20" i="10" s="1"/>
  <c r="K138" i="10"/>
  <c r="I129" i="10"/>
  <c r="K180" i="10"/>
  <c r="I169" i="10"/>
  <c r="K169" i="10" s="1"/>
  <c r="K519" i="10"/>
  <c r="K516" i="10"/>
  <c r="K518" i="10"/>
  <c r="N35" i="11"/>
  <c r="L32" i="11"/>
  <c r="N32" i="11" s="1"/>
  <c r="K313" i="11"/>
  <c r="I296" i="11"/>
  <c r="K296" i="11" s="1"/>
  <c r="J321" i="11"/>
  <c r="K321" i="11" s="1"/>
  <c r="K324" i="11"/>
  <c r="K514" i="11"/>
  <c r="K518" i="11"/>
  <c r="K516" i="11"/>
  <c r="K513" i="11"/>
  <c r="K25" i="12"/>
  <c r="I21" i="12"/>
  <c r="K314" i="12"/>
  <c r="J312" i="12"/>
  <c r="K312" i="12" s="1"/>
  <c r="I296" i="12"/>
  <c r="K296" i="12" s="1"/>
  <c r="K317" i="12"/>
  <c r="L230" i="13"/>
  <c r="N232" i="13"/>
  <c r="K513" i="9"/>
  <c r="K515" i="9"/>
  <c r="K521" i="9"/>
  <c r="K526" i="9"/>
  <c r="K528" i="9"/>
  <c r="J316" i="10"/>
  <c r="K316" i="10" s="1"/>
  <c r="J325" i="10"/>
  <c r="K484" i="10"/>
  <c r="K486" i="10"/>
  <c r="N12" i="11"/>
  <c r="I376" i="11"/>
  <c r="K376" i="11" s="1"/>
  <c r="J409" i="11"/>
  <c r="L459" i="11"/>
  <c r="L457" i="11" s="1"/>
  <c r="N457" i="11" s="1"/>
  <c r="I101" i="12"/>
  <c r="K101" i="12" s="1"/>
  <c r="K111" i="12"/>
  <c r="K265" i="12"/>
  <c r="K512" i="12"/>
  <c r="K508" i="12"/>
  <c r="K507" i="12"/>
  <c r="I490" i="12"/>
  <c r="I149" i="13"/>
  <c r="K155" i="13"/>
  <c r="N148" i="14"/>
  <c r="L146" i="14"/>
  <c r="K466" i="15"/>
  <c r="I457" i="15"/>
  <c r="K457" i="15" s="1"/>
  <c r="J409" i="17"/>
  <c r="J410" i="17"/>
  <c r="I265" i="11"/>
  <c r="I214" i="12"/>
  <c r="K214" i="12" s="1"/>
  <c r="K224" i="12"/>
  <c r="L9" i="13"/>
  <c r="N9" i="13" s="1"/>
  <c r="N12" i="13"/>
  <c r="I169" i="13"/>
  <c r="K169" i="13" s="1"/>
  <c r="K180" i="13"/>
  <c r="I344" i="13"/>
  <c r="I330" i="13" s="1"/>
  <c r="K330" i="13" s="1"/>
  <c r="K345" i="13"/>
  <c r="L352" i="13"/>
  <c r="N353" i="13"/>
  <c r="L446" i="13"/>
  <c r="N447" i="13"/>
  <c r="K511" i="13"/>
  <c r="K505" i="13"/>
  <c r="I21" i="14"/>
  <c r="I10" i="14" s="1"/>
  <c r="K10" i="14" s="1"/>
  <c r="K23" i="14"/>
  <c r="K266" i="14"/>
  <c r="I262" i="14"/>
  <c r="K262" i="14" s="1"/>
  <c r="I149" i="15"/>
  <c r="I144" i="15" s="1"/>
  <c r="K144" i="15" s="1"/>
  <c r="K155" i="15"/>
  <c r="K313" i="15"/>
  <c r="I296" i="15"/>
  <c r="K296" i="15" s="1"/>
  <c r="I426" i="15"/>
  <c r="K426" i="15" s="1"/>
  <c r="K440" i="15"/>
  <c r="K238" i="10"/>
  <c r="L352" i="10"/>
  <c r="N352" i="10" s="1"/>
  <c r="K361" i="10"/>
  <c r="K482" i="10"/>
  <c r="K512" i="10"/>
  <c r="K522" i="10"/>
  <c r="K527" i="10"/>
  <c r="N117" i="11"/>
  <c r="I169" i="11"/>
  <c r="K169" i="11" s="1"/>
  <c r="K505" i="11"/>
  <c r="I33" i="12"/>
  <c r="K33" i="12" s="1"/>
  <c r="I89" i="12"/>
  <c r="K89" i="12" s="1"/>
  <c r="K98" i="12"/>
  <c r="L459" i="12"/>
  <c r="I20" i="13"/>
  <c r="K24" i="13"/>
  <c r="K326" i="13"/>
  <c r="J325" i="13"/>
  <c r="N12" i="14"/>
  <c r="L9" i="14"/>
  <c r="N9" i="14" s="1"/>
  <c r="K138" i="14"/>
  <c r="I129" i="14"/>
  <c r="I32" i="15"/>
  <c r="K32" i="15" s="1"/>
  <c r="K44" i="15"/>
  <c r="I376" i="16"/>
  <c r="K376" i="16" s="1"/>
  <c r="I350" i="16"/>
  <c r="I360" i="16"/>
  <c r="K360" i="16" s="1"/>
  <c r="I368" i="16"/>
  <c r="K368" i="16" s="1"/>
  <c r="I262" i="12"/>
  <c r="K262" i="12" s="1"/>
  <c r="K263" i="12"/>
  <c r="K522" i="12"/>
  <c r="I311" i="13"/>
  <c r="I325" i="13"/>
  <c r="L428" i="13"/>
  <c r="N428" i="13" s="1"/>
  <c r="K291" i="14"/>
  <c r="I276" i="14"/>
  <c r="K276" i="14" s="1"/>
  <c r="K512" i="14"/>
  <c r="K508" i="14"/>
  <c r="K507" i="14"/>
  <c r="L171" i="15"/>
  <c r="N172" i="15"/>
  <c r="L428" i="15"/>
  <c r="N428" i="15" s="1"/>
  <c r="N429" i="15"/>
  <c r="K224" i="18"/>
  <c r="I214" i="18"/>
  <c r="K214" i="18" s="1"/>
  <c r="K318" i="18"/>
  <c r="J316" i="18"/>
  <c r="K316" i="18" s="1"/>
  <c r="L201" i="12"/>
  <c r="J325" i="12"/>
  <c r="L201" i="14"/>
  <c r="I444" i="14"/>
  <c r="K444" i="14" s="1"/>
  <c r="K453" i="14"/>
  <c r="L475" i="14"/>
  <c r="N475" i="14" s="1"/>
  <c r="N476" i="14"/>
  <c r="I490" i="14"/>
  <c r="K490" i="14" s="1"/>
  <c r="I368" i="15"/>
  <c r="K368" i="15" s="1"/>
  <c r="I360" i="15"/>
  <c r="K360" i="15" s="1"/>
  <c r="I350" i="15"/>
  <c r="K350" i="15" s="1"/>
  <c r="N477" i="15"/>
  <c r="L475" i="15"/>
  <c r="N475" i="15" s="1"/>
  <c r="N77" i="16"/>
  <c r="L76" i="16"/>
  <c r="L73" i="16"/>
  <c r="J316" i="16"/>
  <c r="K316" i="16" s="1"/>
  <c r="K327" i="16"/>
  <c r="I325" i="16"/>
  <c r="K361" i="16"/>
  <c r="I369" i="16"/>
  <c r="K369" i="16" s="1"/>
  <c r="I199" i="17"/>
  <c r="K199" i="17" s="1"/>
  <c r="K209" i="17"/>
  <c r="I296" i="17"/>
  <c r="K296" i="17" s="1"/>
  <c r="N132" i="18"/>
  <c r="L131" i="18"/>
  <c r="I114" i="12"/>
  <c r="K114" i="12" s="1"/>
  <c r="L146" i="12"/>
  <c r="K195" i="12"/>
  <c r="J316" i="12"/>
  <c r="K316" i="12" s="1"/>
  <c r="J321" i="12"/>
  <c r="K321" i="12" s="1"/>
  <c r="K326" i="12"/>
  <c r="I444" i="12"/>
  <c r="K444" i="12" s="1"/>
  <c r="K521" i="12"/>
  <c r="N104" i="13"/>
  <c r="K240" i="13"/>
  <c r="I297" i="13"/>
  <c r="K392" i="13"/>
  <c r="K513" i="13"/>
  <c r="K515" i="13"/>
  <c r="K517" i="13"/>
  <c r="I33" i="14"/>
  <c r="K33" i="14" s="1"/>
  <c r="I52" i="14"/>
  <c r="K52" i="14" s="1"/>
  <c r="I114" i="14"/>
  <c r="K114" i="14" s="1"/>
  <c r="K236" i="14"/>
  <c r="J312" i="14"/>
  <c r="K312" i="14" s="1"/>
  <c r="I350" i="14"/>
  <c r="J473" i="14"/>
  <c r="K488" i="14"/>
  <c r="I20" i="15"/>
  <c r="L146" i="15"/>
  <c r="I444" i="15"/>
  <c r="K444" i="15" s="1"/>
  <c r="K98" i="16"/>
  <c r="I89" i="16"/>
  <c r="K89" i="16" s="1"/>
  <c r="K314" i="16"/>
  <c r="J312" i="16"/>
  <c r="K312" i="16" s="1"/>
  <c r="L32" i="18"/>
  <c r="N32" i="18" s="1"/>
  <c r="N35" i="18"/>
  <c r="K510" i="14"/>
  <c r="K527" i="14"/>
  <c r="K228" i="15"/>
  <c r="K524" i="15"/>
  <c r="I265" i="16"/>
  <c r="I296" i="16"/>
  <c r="K296" i="16" s="1"/>
  <c r="K519" i="16"/>
  <c r="K517" i="16"/>
  <c r="K515" i="16"/>
  <c r="K513" i="16"/>
  <c r="K514" i="16"/>
  <c r="K518" i="16"/>
  <c r="I20" i="17"/>
  <c r="K20" i="17" s="1"/>
  <c r="K83" i="17"/>
  <c r="I74" i="17"/>
  <c r="K74" i="17" s="1"/>
  <c r="N148" i="17"/>
  <c r="L146" i="17"/>
  <c r="K506" i="17"/>
  <c r="K509" i="17"/>
  <c r="K512" i="17"/>
  <c r="K505" i="17"/>
  <c r="I33" i="18"/>
  <c r="K33" i="18" s="1"/>
  <c r="K48" i="18"/>
  <c r="K507" i="18"/>
  <c r="K505" i="18"/>
  <c r="K504" i="18"/>
  <c r="I21" i="15"/>
  <c r="K21" i="15" s="1"/>
  <c r="I74" i="15"/>
  <c r="K74" i="15" s="1"/>
  <c r="N104" i="15"/>
  <c r="K238" i="15"/>
  <c r="N333" i="15"/>
  <c r="K523" i="15"/>
  <c r="K22" i="16"/>
  <c r="K111" i="16"/>
  <c r="N188" i="16"/>
  <c r="L216" i="16"/>
  <c r="N231" i="16"/>
  <c r="K235" i="16"/>
  <c r="N279" i="16"/>
  <c r="K317" i="16"/>
  <c r="J325" i="16"/>
  <c r="J409" i="16"/>
  <c r="K440" i="16"/>
  <c r="K516" i="16"/>
  <c r="K22" i="17"/>
  <c r="K138" i="17"/>
  <c r="I129" i="17"/>
  <c r="N447" i="17"/>
  <c r="K453" i="17"/>
  <c r="I490" i="17"/>
  <c r="K490" i="17" s="1"/>
  <c r="K169" i="18"/>
  <c r="K180" i="18"/>
  <c r="K235" i="18"/>
  <c r="I265" i="18"/>
  <c r="I267" i="18" s="1"/>
  <c r="K267" i="18" s="1"/>
  <c r="K263" i="18"/>
  <c r="I311" i="18"/>
  <c r="I297" i="18"/>
  <c r="I325" i="18"/>
  <c r="N447" i="18"/>
  <c r="L446" i="18"/>
  <c r="J321" i="14"/>
  <c r="K321" i="14" s="1"/>
  <c r="J409" i="14"/>
  <c r="I473" i="14"/>
  <c r="K521" i="14"/>
  <c r="I473" i="16"/>
  <c r="K473" i="16" s="1"/>
  <c r="K486" i="16"/>
  <c r="K488" i="16"/>
  <c r="I21" i="17"/>
  <c r="I52" i="17"/>
  <c r="K52" i="17" s="1"/>
  <c r="I63" i="17"/>
  <c r="K63" i="17" s="1"/>
  <c r="K111" i="17"/>
  <c r="I101" i="17"/>
  <c r="K101" i="17" s="1"/>
  <c r="L216" i="17"/>
  <c r="K392" i="17"/>
  <c r="K527" i="17"/>
  <c r="I21" i="18"/>
  <c r="K21" i="18" s="1"/>
  <c r="K323" i="18"/>
  <c r="J321" i="18"/>
  <c r="K321" i="18" s="1"/>
  <c r="K521" i="18"/>
  <c r="K523" i="18"/>
  <c r="K508" i="16"/>
  <c r="K510" i="16"/>
  <c r="K525" i="16"/>
  <c r="K236" i="18"/>
  <c r="K238" i="18"/>
  <c r="I276" i="18"/>
  <c r="K276" i="18" s="1"/>
  <c r="K527" i="18"/>
  <c r="I344" i="17"/>
  <c r="K344" i="17" s="1"/>
  <c r="I20" i="18"/>
  <c r="K228" i="18"/>
  <c r="K484" i="18"/>
  <c r="K524" i="18"/>
  <c r="J9" i="1"/>
  <c r="M242" i="4"/>
  <c r="K275" i="4"/>
  <c r="N116" i="5"/>
  <c r="L114" i="5"/>
  <c r="N114" i="5" s="1"/>
  <c r="J68" i="1"/>
  <c r="M71" i="1"/>
  <c r="M68" i="2"/>
  <c r="M68" i="1" s="1"/>
  <c r="K276" i="2"/>
  <c r="M52" i="1"/>
  <c r="M6" i="3"/>
  <c r="K32" i="2"/>
  <c r="K149" i="3"/>
  <c r="I144" i="3"/>
  <c r="K144" i="3" s="1"/>
  <c r="K228" i="4"/>
  <c r="N103" i="5"/>
  <c r="L101" i="5"/>
  <c r="N101" i="5" s="1"/>
  <c r="I418" i="1"/>
  <c r="K418" i="1" s="1"/>
  <c r="M199" i="1"/>
  <c r="I114" i="2"/>
  <c r="I125" i="1"/>
  <c r="K125" i="1" s="1"/>
  <c r="K125" i="2"/>
  <c r="L172" i="1"/>
  <c r="N172" i="1" s="1"/>
  <c r="N172" i="2"/>
  <c r="L171" i="2"/>
  <c r="L333" i="1"/>
  <c r="N333" i="1" s="1"/>
  <c r="N333" i="2"/>
  <c r="L332" i="2"/>
  <c r="I47" i="1"/>
  <c r="K47" i="1" s="1"/>
  <c r="K47" i="3"/>
  <c r="I270" i="3"/>
  <c r="K155" i="4"/>
  <c r="I149" i="4"/>
  <c r="J245" i="4"/>
  <c r="J259" i="4"/>
  <c r="K517" i="4"/>
  <c r="K515" i="4"/>
  <c r="K513" i="4"/>
  <c r="K514" i="4"/>
  <c r="J245" i="5"/>
  <c r="J259" i="5"/>
  <c r="J9" i="6"/>
  <c r="N333" i="6"/>
  <c r="L332" i="6"/>
  <c r="I25" i="1"/>
  <c r="K25" i="1" s="1"/>
  <c r="I140" i="1"/>
  <c r="K140" i="1" s="1"/>
  <c r="L494" i="1"/>
  <c r="N494" i="1" s="1"/>
  <c r="M35" i="1"/>
  <c r="L54" i="2"/>
  <c r="M129" i="2"/>
  <c r="M129" i="1" s="1"/>
  <c r="L214" i="2"/>
  <c r="M228" i="2"/>
  <c r="M228" i="1" s="1"/>
  <c r="I262" i="2"/>
  <c r="I264" i="1"/>
  <c r="K264" i="1" s="1"/>
  <c r="K264" i="2"/>
  <c r="J312" i="2"/>
  <c r="K314" i="2"/>
  <c r="M352" i="2"/>
  <c r="M354" i="1"/>
  <c r="K418" i="2"/>
  <c r="I455" i="1"/>
  <c r="K455" i="1" s="1"/>
  <c r="K455" i="2"/>
  <c r="L477" i="1"/>
  <c r="N477" i="1" s="1"/>
  <c r="N477" i="2"/>
  <c r="K482" i="2"/>
  <c r="N77" i="3"/>
  <c r="L114" i="3"/>
  <c r="N189" i="3"/>
  <c r="K240" i="3"/>
  <c r="J312" i="3"/>
  <c r="K312" i="3" s="1"/>
  <c r="K317" i="3"/>
  <c r="K359" i="3"/>
  <c r="K392" i="3"/>
  <c r="K504" i="3"/>
  <c r="M6" i="4"/>
  <c r="I21" i="4"/>
  <c r="K44" i="4"/>
  <c r="K126" i="4"/>
  <c r="N172" i="4"/>
  <c r="L171" i="4"/>
  <c r="I214" i="4"/>
  <c r="K224" i="4"/>
  <c r="N231" i="4"/>
  <c r="L230" i="4"/>
  <c r="K292" i="4"/>
  <c r="N301" i="4"/>
  <c r="K313" i="4"/>
  <c r="K484" i="4"/>
  <c r="K511" i="4"/>
  <c r="K509" i="4"/>
  <c r="K505" i="4"/>
  <c r="K510" i="4"/>
  <c r="K508" i="4"/>
  <c r="K504" i="4"/>
  <c r="K521" i="4"/>
  <c r="I520" i="4"/>
  <c r="N35" i="5"/>
  <c r="K48" i="5"/>
  <c r="N92" i="5"/>
  <c r="N117" i="5"/>
  <c r="N231" i="5"/>
  <c r="L230" i="5"/>
  <c r="K292" i="5"/>
  <c r="J312" i="5"/>
  <c r="K315" i="5"/>
  <c r="K359" i="5"/>
  <c r="I368" i="5"/>
  <c r="K368" i="5" s="1"/>
  <c r="K390" i="5"/>
  <c r="K391" i="5"/>
  <c r="K440" i="5"/>
  <c r="I473" i="5"/>
  <c r="K473" i="5" s="1"/>
  <c r="K484" i="5"/>
  <c r="K488" i="5"/>
  <c r="N92" i="6"/>
  <c r="L91" i="6"/>
  <c r="N104" i="6"/>
  <c r="L103" i="6"/>
  <c r="K318" i="6"/>
  <c r="J316" i="6"/>
  <c r="K316" i="6" s="1"/>
  <c r="K345" i="6"/>
  <c r="I344" i="6"/>
  <c r="N353" i="6"/>
  <c r="L352" i="6"/>
  <c r="I101" i="7"/>
  <c r="K101" i="7" s="1"/>
  <c r="I21" i="8"/>
  <c r="K23" i="8"/>
  <c r="N231" i="8"/>
  <c r="L230" i="8"/>
  <c r="M247" i="8"/>
  <c r="M244" i="8" s="1"/>
  <c r="N249" i="8"/>
  <c r="I236" i="1"/>
  <c r="K236" i="2"/>
  <c r="K350" i="4"/>
  <c r="I262" i="6"/>
  <c r="K262" i="6" s="1"/>
  <c r="K264" i="6"/>
  <c r="I180" i="1"/>
  <c r="K180" i="1" s="1"/>
  <c r="I260" i="1"/>
  <c r="K260" i="1" s="1"/>
  <c r="L14" i="1"/>
  <c r="N14" i="1" s="1"/>
  <c r="I27" i="1"/>
  <c r="K27" i="1" s="1"/>
  <c r="I48" i="1"/>
  <c r="K48" i="1" s="1"/>
  <c r="M54" i="1"/>
  <c r="L56" i="1"/>
  <c r="N56" i="1" s="1"/>
  <c r="I83" i="1"/>
  <c r="K83" i="1" s="1"/>
  <c r="I98" i="1"/>
  <c r="K98" i="1" s="1"/>
  <c r="I110" i="1"/>
  <c r="K110" i="1" s="1"/>
  <c r="J158" i="1"/>
  <c r="M187" i="1"/>
  <c r="I235" i="1"/>
  <c r="J240" i="1"/>
  <c r="L249" i="1"/>
  <c r="N249" i="1" s="1"/>
  <c r="I292" i="1"/>
  <c r="K292" i="1" s="1"/>
  <c r="I313" i="1"/>
  <c r="K313" i="1" s="1"/>
  <c r="I321" i="1"/>
  <c r="I324" i="1"/>
  <c r="K324" i="1" s="1"/>
  <c r="I347" i="1"/>
  <c r="K347" i="1" s="1"/>
  <c r="L354" i="1"/>
  <c r="I391" i="1"/>
  <c r="I440" i="1"/>
  <c r="K440" i="1" s="1"/>
  <c r="M448" i="1"/>
  <c r="I482" i="1"/>
  <c r="J488" i="1"/>
  <c r="I525" i="1"/>
  <c r="I21" i="2"/>
  <c r="L32" i="2"/>
  <c r="N35" i="2"/>
  <c r="N37" i="2"/>
  <c r="K44" i="2"/>
  <c r="L116" i="2"/>
  <c r="I129" i="2"/>
  <c r="M144" i="2"/>
  <c r="M144" i="1" s="1"/>
  <c r="I181" i="1"/>
  <c r="K181" i="1" s="1"/>
  <c r="K181" i="2"/>
  <c r="J199" i="1"/>
  <c r="L201" i="2"/>
  <c r="I228" i="2"/>
  <c r="J244" i="2"/>
  <c r="J244" i="1" s="1"/>
  <c r="J270" i="1"/>
  <c r="N280" i="2"/>
  <c r="L280" i="1"/>
  <c r="N280" i="1" s="1"/>
  <c r="M332" i="2"/>
  <c r="M334" i="1"/>
  <c r="K345" i="2"/>
  <c r="I344" i="2"/>
  <c r="N354" i="2"/>
  <c r="I419" i="1"/>
  <c r="K419" i="1" s="1"/>
  <c r="J426" i="1"/>
  <c r="N430" i="2"/>
  <c r="N447" i="2"/>
  <c r="K453" i="2"/>
  <c r="I444" i="2"/>
  <c r="K524" i="2"/>
  <c r="I524" i="1"/>
  <c r="I43" i="1"/>
  <c r="K43" i="1" s="1"/>
  <c r="K43" i="3"/>
  <c r="N72" i="3"/>
  <c r="L76" i="3"/>
  <c r="L101" i="3"/>
  <c r="M114" i="3"/>
  <c r="M114" i="1" s="1"/>
  <c r="K155" i="3"/>
  <c r="L231" i="1"/>
  <c r="N231" i="1" s="1"/>
  <c r="K236" i="3"/>
  <c r="I228" i="3"/>
  <c r="K228" i="3" s="1"/>
  <c r="N248" i="3"/>
  <c r="I297" i="3"/>
  <c r="I326" i="1"/>
  <c r="K326" i="1" s="1"/>
  <c r="J325" i="3"/>
  <c r="I346" i="1"/>
  <c r="K346" i="1" s="1"/>
  <c r="J350" i="3"/>
  <c r="I377" i="3"/>
  <c r="K377" i="3" s="1"/>
  <c r="N447" i="3"/>
  <c r="L446" i="3"/>
  <c r="K518" i="3"/>
  <c r="K516" i="3"/>
  <c r="I513" i="1"/>
  <c r="K517" i="3"/>
  <c r="K515" i="3"/>
  <c r="K513" i="3"/>
  <c r="K514" i="3"/>
  <c r="K527" i="3"/>
  <c r="I63" i="4"/>
  <c r="K63" i="4" s="1"/>
  <c r="I52" i="4"/>
  <c r="K52" i="4" s="1"/>
  <c r="N77" i="4"/>
  <c r="L76" i="4"/>
  <c r="K125" i="4"/>
  <c r="N217" i="4"/>
  <c r="L216" i="4"/>
  <c r="N249" i="4"/>
  <c r="N280" i="4"/>
  <c r="N300" i="4"/>
  <c r="L299" i="4"/>
  <c r="J316" i="4"/>
  <c r="K316" i="4" s="1"/>
  <c r="K319" i="4"/>
  <c r="K324" i="4"/>
  <c r="I376" i="4"/>
  <c r="K376" i="4" s="1"/>
  <c r="I368" i="4"/>
  <c r="K359" i="4"/>
  <c r="K360" i="4"/>
  <c r="N461" i="4"/>
  <c r="K518" i="4"/>
  <c r="N522" i="4"/>
  <c r="N32" i="5"/>
  <c r="N55" i="5"/>
  <c r="L91" i="5"/>
  <c r="N104" i="5"/>
  <c r="I185" i="5"/>
  <c r="K185" i="5" s="1"/>
  <c r="K195" i="5"/>
  <c r="N280" i="5"/>
  <c r="N333" i="5"/>
  <c r="N493" i="5"/>
  <c r="K510" i="5"/>
  <c r="K508" i="5"/>
  <c r="K504" i="5"/>
  <c r="K505" i="5"/>
  <c r="K512" i="5"/>
  <c r="K509" i="5"/>
  <c r="L73" i="6"/>
  <c r="I129" i="6"/>
  <c r="N429" i="6"/>
  <c r="L428" i="6"/>
  <c r="K314" i="7"/>
  <c r="J312" i="7"/>
  <c r="N447" i="7"/>
  <c r="L446" i="7"/>
  <c r="K466" i="7"/>
  <c r="I457" i="7"/>
  <c r="K457" i="7" s="1"/>
  <c r="M144" i="8"/>
  <c r="I376" i="8"/>
  <c r="K376" i="8" s="1"/>
  <c r="I368" i="8"/>
  <c r="K368" i="8" s="1"/>
  <c r="K359" i="8"/>
  <c r="I350" i="8"/>
  <c r="K350" i="8" s="1"/>
  <c r="K466" i="9"/>
  <c r="I457" i="9"/>
  <c r="K457" i="9" s="1"/>
  <c r="N13" i="2"/>
  <c r="L13" i="1"/>
  <c r="N13" i="1" s="1"/>
  <c r="I63" i="2"/>
  <c r="I52" i="2"/>
  <c r="N77" i="2"/>
  <c r="L76" i="2"/>
  <c r="L77" i="1"/>
  <c r="N77" i="1" s="1"/>
  <c r="M185" i="1"/>
  <c r="N301" i="2"/>
  <c r="L301" i="1"/>
  <c r="N301" i="1" s="1"/>
  <c r="N461" i="2"/>
  <c r="L461" i="1"/>
  <c r="N493" i="2"/>
  <c r="L492" i="2"/>
  <c r="K528" i="2"/>
  <c r="I528" i="1"/>
  <c r="N147" i="3"/>
  <c r="L146" i="3"/>
  <c r="J325" i="4"/>
  <c r="K326" i="4"/>
  <c r="I325" i="4"/>
  <c r="L352" i="4"/>
  <c r="I63" i="5"/>
  <c r="K63" i="5" s="1"/>
  <c r="I52" i="5"/>
  <c r="K52" i="5" s="1"/>
  <c r="N77" i="5"/>
  <c r="L76" i="5"/>
  <c r="K292" i="10"/>
  <c r="I275" i="10"/>
  <c r="K275" i="10" s="1"/>
  <c r="J359" i="10"/>
  <c r="J350" i="10" s="1"/>
  <c r="K376" i="10"/>
  <c r="N460" i="17"/>
  <c r="L459" i="17"/>
  <c r="L492" i="17"/>
  <c r="I28" i="1"/>
  <c r="K28" i="1" s="1"/>
  <c r="I62" i="1"/>
  <c r="K62" i="1" s="1"/>
  <c r="M103" i="1"/>
  <c r="I124" i="1"/>
  <c r="K124" i="1" s="1"/>
  <c r="I155" i="1"/>
  <c r="K155" i="1" s="1"/>
  <c r="I238" i="1"/>
  <c r="I272" i="1"/>
  <c r="K272" i="1" s="1"/>
  <c r="I319" i="1"/>
  <c r="K319" i="1" s="1"/>
  <c r="I411" i="1"/>
  <c r="K411" i="1" s="1"/>
  <c r="K22" i="2"/>
  <c r="N55" i="2"/>
  <c r="K62" i="2"/>
  <c r="K185" i="2"/>
  <c r="K211" i="2"/>
  <c r="I268" i="1"/>
  <c r="K268" i="1" s="1"/>
  <c r="K268" i="2"/>
  <c r="K291" i="2"/>
  <c r="K441" i="2"/>
  <c r="K484" i="2"/>
  <c r="I484" i="1"/>
  <c r="N12" i="3"/>
  <c r="L9" i="3"/>
  <c r="J32" i="1"/>
  <c r="J68" i="3"/>
  <c r="J20" i="1"/>
  <c r="I45" i="1"/>
  <c r="K45" i="1" s="1"/>
  <c r="L117" i="1"/>
  <c r="N117" i="1" s="1"/>
  <c r="I141" i="1"/>
  <c r="K141" i="1" s="1"/>
  <c r="I179" i="1"/>
  <c r="K179" i="1" s="1"/>
  <c r="J263" i="1"/>
  <c r="I291" i="1"/>
  <c r="K291" i="1" s="1"/>
  <c r="I315" i="1"/>
  <c r="K315" i="1" s="1"/>
  <c r="J391" i="1"/>
  <c r="I410" i="1"/>
  <c r="K410" i="1" s="1"/>
  <c r="L447" i="1"/>
  <c r="N447" i="1" s="1"/>
  <c r="I456" i="1"/>
  <c r="L460" i="1"/>
  <c r="N460" i="1" s="1"/>
  <c r="I489" i="1"/>
  <c r="I504" i="1"/>
  <c r="I522" i="1"/>
  <c r="I20" i="2"/>
  <c r="M32" i="2"/>
  <c r="M32" i="1" s="1"/>
  <c r="K155" i="2"/>
  <c r="I149" i="2"/>
  <c r="L218" i="1"/>
  <c r="N218" i="1" s="1"/>
  <c r="N218" i="2"/>
  <c r="J241" i="1"/>
  <c r="I318" i="1"/>
  <c r="K318" i="1" s="1"/>
  <c r="K318" i="2"/>
  <c r="L353" i="1"/>
  <c r="N353" i="1" s="1"/>
  <c r="N353" i="2"/>
  <c r="L352" i="2"/>
  <c r="I361" i="1"/>
  <c r="K361" i="1" s="1"/>
  <c r="K361" i="2"/>
  <c r="I377" i="2"/>
  <c r="K390" i="2"/>
  <c r="J401" i="1"/>
  <c r="N429" i="2"/>
  <c r="L428" i="2"/>
  <c r="J466" i="1"/>
  <c r="J457" i="2"/>
  <c r="J521" i="1"/>
  <c r="I21" i="3"/>
  <c r="L132" i="1"/>
  <c r="N132" i="1" s="1"/>
  <c r="N132" i="3"/>
  <c r="L131" i="3"/>
  <c r="I158" i="1"/>
  <c r="K158" i="1" s="1"/>
  <c r="M169" i="1"/>
  <c r="K224" i="3"/>
  <c r="N231" i="3"/>
  <c r="L247" i="3"/>
  <c r="I311" i="3"/>
  <c r="J321" i="3"/>
  <c r="K321" i="3" s="1"/>
  <c r="K326" i="3"/>
  <c r="K346" i="3"/>
  <c r="K466" i="3"/>
  <c r="I457" i="3"/>
  <c r="K457" i="3" s="1"/>
  <c r="K486" i="3"/>
  <c r="K62" i="4"/>
  <c r="K129" i="4"/>
  <c r="K240" i="4"/>
  <c r="N248" i="4"/>
  <c r="L247" i="4"/>
  <c r="K263" i="4"/>
  <c r="I245" i="4"/>
  <c r="I265" i="4"/>
  <c r="N279" i="4"/>
  <c r="L278" i="4"/>
  <c r="I311" i="4"/>
  <c r="I297" i="4"/>
  <c r="N460" i="4"/>
  <c r="L459" i="4"/>
  <c r="K488" i="4"/>
  <c r="I490" i="4"/>
  <c r="K490" i="4" s="1"/>
  <c r="K506" i="4"/>
  <c r="K512" i="4"/>
  <c r="K516" i="4"/>
  <c r="K519" i="4"/>
  <c r="N521" i="4"/>
  <c r="M6" i="5"/>
  <c r="I21" i="5"/>
  <c r="N188" i="5"/>
  <c r="L187" i="5"/>
  <c r="K240" i="5"/>
  <c r="N248" i="5"/>
  <c r="L247" i="5"/>
  <c r="K263" i="5"/>
  <c r="I245" i="5"/>
  <c r="K245" i="5" s="1"/>
  <c r="I265" i="5"/>
  <c r="N279" i="5"/>
  <c r="L278" i="5"/>
  <c r="I296" i="5"/>
  <c r="K296" i="5" s="1"/>
  <c r="N300" i="5"/>
  <c r="L299" i="5"/>
  <c r="J316" i="5"/>
  <c r="K316" i="5" s="1"/>
  <c r="I376" i="5"/>
  <c r="K376" i="5" s="1"/>
  <c r="M475" i="5"/>
  <c r="N477" i="5"/>
  <c r="K506" i="5"/>
  <c r="K511" i="5"/>
  <c r="K44" i="6"/>
  <c r="I32" i="6"/>
  <c r="K32" i="6" s="1"/>
  <c r="K155" i="6"/>
  <c r="I149" i="6"/>
  <c r="K453" i="6"/>
  <c r="I444" i="6"/>
  <c r="K444" i="6" s="1"/>
  <c r="L73" i="7"/>
  <c r="N73" i="7" s="1"/>
  <c r="N132" i="7"/>
  <c r="L131" i="7"/>
  <c r="N76" i="8"/>
  <c r="L74" i="8"/>
  <c r="N74" i="8" s="1"/>
  <c r="L91" i="8"/>
  <c r="L73" i="8"/>
  <c r="N73" i="8" s="1"/>
  <c r="N92" i="8"/>
  <c r="K125" i="8"/>
  <c r="I114" i="8"/>
  <c r="K114" i="8" s="1"/>
  <c r="K512" i="2"/>
  <c r="I369" i="4"/>
  <c r="K369" i="4" s="1"/>
  <c r="K326" i="5"/>
  <c r="I325" i="5"/>
  <c r="I63" i="6"/>
  <c r="K63" i="6" s="1"/>
  <c r="I52" i="6"/>
  <c r="K52" i="6" s="1"/>
  <c r="K62" i="6"/>
  <c r="I114" i="6"/>
  <c r="K114" i="6" s="1"/>
  <c r="K125" i="6"/>
  <c r="N493" i="6"/>
  <c r="L492" i="6"/>
  <c r="N72" i="7"/>
  <c r="K392" i="7"/>
  <c r="I244" i="8"/>
  <c r="K244" i="8" s="1"/>
  <c r="K292" i="8"/>
  <c r="I275" i="8"/>
  <c r="K275" i="8" s="1"/>
  <c r="N76" i="9"/>
  <c r="M74" i="9"/>
  <c r="N74" i="9" s="1"/>
  <c r="K323" i="9"/>
  <c r="J321" i="9"/>
  <c r="K321" i="9" s="1"/>
  <c r="M352" i="9"/>
  <c r="M350" i="9" s="1"/>
  <c r="N354" i="9"/>
  <c r="I21" i="10"/>
  <c r="K23" i="10"/>
  <c r="K318" i="13"/>
  <c r="J316" i="13"/>
  <c r="K316" i="13" s="1"/>
  <c r="K506" i="2"/>
  <c r="I74" i="3"/>
  <c r="K74" i="3" s="1"/>
  <c r="L188" i="1"/>
  <c r="N188" i="1" s="1"/>
  <c r="I322" i="1"/>
  <c r="K322" i="1" s="1"/>
  <c r="I265" i="2"/>
  <c r="I270" i="2"/>
  <c r="I426" i="2"/>
  <c r="L475" i="2"/>
  <c r="I490" i="2"/>
  <c r="L187" i="3"/>
  <c r="L201" i="3"/>
  <c r="L332" i="3"/>
  <c r="I344" i="3"/>
  <c r="L352" i="3"/>
  <c r="L428" i="3"/>
  <c r="I444" i="3"/>
  <c r="K444" i="3" s="1"/>
  <c r="L492" i="3"/>
  <c r="K506" i="3"/>
  <c r="L131" i="4"/>
  <c r="L146" i="4"/>
  <c r="L446" i="4"/>
  <c r="L131" i="5"/>
  <c r="I311" i="5"/>
  <c r="K324" i="5"/>
  <c r="N460" i="5"/>
  <c r="L459" i="5"/>
  <c r="K515" i="5"/>
  <c r="K517" i="5"/>
  <c r="K527" i="5"/>
  <c r="K22" i="6"/>
  <c r="N55" i="6"/>
  <c r="L54" i="6"/>
  <c r="I74" i="6"/>
  <c r="K74" i="6" s="1"/>
  <c r="N117" i="6"/>
  <c r="L116" i="6"/>
  <c r="N172" i="6"/>
  <c r="L171" i="6"/>
  <c r="L216" i="6"/>
  <c r="K359" i="6"/>
  <c r="J350" i="6"/>
  <c r="I473" i="6"/>
  <c r="K473" i="6" s="1"/>
  <c r="K484" i="6"/>
  <c r="K521" i="6"/>
  <c r="N12" i="7"/>
  <c r="L9" i="7"/>
  <c r="L74" i="7"/>
  <c r="N74" i="7" s="1"/>
  <c r="L146" i="7"/>
  <c r="K236" i="7"/>
  <c r="I228" i="7"/>
  <c r="K228" i="7" s="1"/>
  <c r="K265" i="7"/>
  <c r="I369" i="7"/>
  <c r="K369" i="7" s="1"/>
  <c r="K486" i="7"/>
  <c r="M459" i="8"/>
  <c r="M457" i="8" s="1"/>
  <c r="N461" i="8"/>
  <c r="K271" i="10"/>
  <c r="I270" i="10"/>
  <c r="J410" i="10"/>
  <c r="J409" i="10"/>
  <c r="N460" i="10"/>
  <c r="L459" i="10"/>
  <c r="I369" i="5"/>
  <c r="K369" i="5" s="1"/>
  <c r="I214" i="6"/>
  <c r="K214" i="6" s="1"/>
  <c r="J228" i="6"/>
  <c r="I296" i="6"/>
  <c r="K296" i="6" s="1"/>
  <c r="K361" i="6"/>
  <c r="K506" i="6"/>
  <c r="K516" i="6"/>
  <c r="K518" i="6"/>
  <c r="I33" i="7"/>
  <c r="K33" i="7" s="1"/>
  <c r="I199" i="7"/>
  <c r="M247" i="7"/>
  <c r="M244" i="7" s="1"/>
  <c r="M244" i="1" s="1"/>
  <c r="M278" i="7"/>
  <c r="M299" i="7"/>
  <c r="I368" i="7"/>
  <c r="K368" i="7" s="1"/>
  <c r="I376" i="7"/>
  <c r="K376" i="7" s="1"/>
  <c r="M459" i="7"/>
  <c r="M457" i="7" s="1"/>
  <c r="M457" i="1" s="1"/>
  <c r="J473" i="7"/>
  <c r="K505" i="7"/>
  <c r="K509" i="7"/>
  <c r="K511" i="7"/>
  <c r="K513" i="7"/>
  <c r="K515" i="7"/>
  <c r="K517" i="7"/>
  <c r="N72" i="8"/>
  <c r="I101" i="8"/>
  <c r="K101" i="8" s="1"/>
  <c r="I169" i="8"/>
  <c r="K169" i="8" s="1"/>
  <c r="M278" i="8"/>
  <c r="M275" i="8" s="1"/>
  <c r="N280" i="8"/>
  <c r="J312" i="8"/>
  <c r="K312" i="8" s="1"/>
  <c r="K315" i="8"/>
  <c r="L446" i="8"/>
  <c r="N448" i="8"/>
  <c r="J473" i="8"/>
  <c r="K473" i="8" s="1"/>
  <c r="K488" i="8"/>
  <c r="I270" i="9"/>
  <c r="K272" i="9"/>
  <c r="I276" i="9"/>
  <c r="K276" i="9" s="1"/>
  <c r="K391" i="9"/>
  <c r="N447" i="9"/>
  <c r="L446" i="9"/>
  <c r="M492" i="9"/>
  <c r="N494" i="9"/>
  <c r="M278" i="10"/>
  <c r="M275" i="10" s="1"/>
  <c r="M242" i="10" s="1"/>
  <c r="N280" i="10"/>
  <c r="J312" i="10"/>
  <c r="K315" i="10"/>
  <c r="I344" i="10"/>
  <c r="J473" i="10"/>
  <c r="K473" i="10" s="1"/>
  <c r="K488" i="10"/>
  <c r="I149" i="11"/>
  <c r="K155" i="11"/>
  <c r="L492" i="11"/>
  <c r="N493" i="11"/>
  <c r="K180" i="12"/>
  <c r="I169" i="12"/>
  <c r="K169" i="12" s="1"/>
  <c r="L187" i="12"/>
  <c r="N188" i="12"/>
  <c r="J325" i="14"/>
  <c r="K326" i="14"/>
  <c r="I325" i="14"/>
  <c r="L332" i="14"/>
  <c r="N334" i="14"/>
  <c r="K519" i="6"/>
  <c r="K506" i="7"/>
  <c r="K512" i="7"/>
  <c r="N132" i="8"/>
  <c r="L131" i="8"/>
  <c r="N188" i="8"/>
  <c r="L187" i="8"/>
  <c r="N248" i="8"/>
  <c r="L247" i="8"/>
  <c r="K263" i="8"/>
  <c r="I245" i="8"/>
  <c r="I265" i="8"/>
  <c r="J321" i="8"/>
  <c r="K321" i="8" s="1"/>
  <c r="K324" i="8"/>
  <c r="K511" i="8"/>
  <c r="K509" i="8"/>
  <c r="K505" i="8"/>
  <c r="K510" i="8"/>
  <c r="K508" i="8"/>
  <c r="K504" i="8"/>
  <c r="K507" i="8"/>
  <c r="I490" i="8"/>
  <c r="K490" i="8" s="1"/>
  <c r="N9" i="9"/>
  <c r="N35" i="9"/>
  <c r="L32" i="9"/>
  <c r="N32" i="9" s="1"/>
  <c r="K236" i="9"/>
  <c r="I228" i="9"/>
  <c r="K228" i="9" s="1"/>
  <c r="M332" i="9"/>
  <c r="M330" i="9" s="1"/>
  <c r="N334" i="9"/>
  <c r="M428" i="9"/>
  <c r="M426" i="9" s="1"/>
  <c r="M426" i="1" s="1"/>
  <c r="N430" i="9"/>
  <c r="L475" i="9"/>
  <c r="N477" i="9"/>
  <c r="L73" i="10"/>
  <c r="N73" i="10" s="1"/>
  <c r="N77" i="10"/>
  <c r="L76" i="10"/>
  <c r="I199" i="10"/>
  <c r="K199" i="10" s="1"/>
  <c r="K209" i="10"/>
  <c r="J321" i="10"/>
  <c r="K321" i="10" s="1"/>
  <c r="K324" i="10"/>
  <c r="J390" i="10"/>
  <c r="K390" i="10" s="1"/>
  <c r="K391" i="10"/>
  <c r="L475" i="10"/>
  <c r="N476" i="10"/>
  <c r="I33" i="11"/>
  <c r="K33" i="11" s="1"/>
  <c r="K48" i="11"/>
  <c r="L278" i="11"/>
  <c r="N279" i="11"/>
  <c r="K361" i="12"/>
  <c r="I377" i="12"/>
  <c r="K377" i="12" s="1"/>
  <c r="I369" i="12"/>
  <c r="K369" i="12" s="1"/>
  <c r="L187" i="6"/>
  <c r="L230" i="6"/>
  <c r="L247" i="6"/>
  <c r="J259" i="6"/>
  <c r="L278" i="6"/>
  <c r="I297" i="6"/>
  <c r="L299" i="6"/>
  <c r="I325" i="6"/>
  <c r="I369" i="6"/>
  <c r="K369" i="6" s="1"/>
  <c r="L459" i="6"/>
  <c r="J490" i="6"/>
  <c r="I32" i="7"/>
  <c r="K32" i="7" s="1"/>
  <c r="M32" i="7"/>
  <c r="L54" i="7"/>
  <c r="L91" i="7"/>
  <c r="L103" i="7"/>
  <c r="L116" i="7"/>
  <c r="I270" i="7"/>
  <c r="I426" i="7"/>
  <c r="K426" i="7" s="1"/>
  <c r="L475" i="7"/>
  <c r="I490" i="7"/>
  <c r="K490" i="7" s="1"/>
  <c r="M9" i="8"/>
  <c r="I52" i="8"/>
  <c r="K52" i="8" s="1"/>
  <c r="J245" i="8"/>
  <c r="J245" i="1" s="1"/>
  <c r="J259" i="8"/>
  <c r="N279" i="8"/>
  <c r="L278" i="8"/>
  <c r="I296" i="8"/>
  <c r="K296" i="8" s="1"/>
  <c r="M299" i="8"/>
  <c r="M296" i="8" s="1"/>
  <c r="N301" i="8"/>
  <c r="K440" i="8"/>
  <c r="I426" i="8"/>
  <c r="K426" i="8" s="1"/>
  <c r="N476" i="8"/>
  <c r="L475" i="8"/>
  <c r="K512" i="8"/>
  <c r="I20" i="9"/>
  <c r="K22" i="9"/>
  <c r="L146" i="9"/>
  <c r="K263" i="10"/>
  <c r="I245" i="10"/>
  <c r="K245" i="10" s="1"/>
  <c r="I265" i="10"/>
  <c r="I296" i="10"/>
  <c r="K296" i="10" s="1"/>
  <c r="M299" i="10"/>
  <c r="M296" i="10" s="1"/>
  <c r="N301" i="10"/>
  <c r="L73" i="12"/>
  <c r="N73" i="12" s="1"/>
  <c r="L131" i="12"/>
  <c r="N132" i="12"/>
  <c r="N103" i="13"/>
  <c r="L101" i="13"/>
  <c r="N101" i="13" s="1"/>
  <c r="K126" i="13"/>
  <c r="K519" i="8"/>
  <c r="K490" i="10"/>
  <c r="M6" i="11"/>
  <c r="I63" i="11"/>
  <c r="K63" i="11" s="1"/>
  <c r="I52" i="11"/>
  <c r="K52" i="11" s="1"/>
  <c r="N77" i="11"/>
  <c r="L76" i="11"/>
  <c r="L73" i="11"/>
  <c r="N73" i="11" s="1"/>
  <c r="N218" i="11"/>
  <c r="L216" i="11"/>
  <c r="N333" i="11"/>
  <c r="L332" i="11"/>
  <c r="L247" i="12"/>
  <c r="N248" i="12"/>
  <c r="J504" i="12"/>
  <c r="K510" i="12"/>
  <c r="I32" i="13"/>
  <c r="K32" i="13" s="1"/>
  <c r="K44" i="13"/>
  <c r="K377" i="13"/>
  <c r="K453" i="13"/>
  <c r="I444" i="13"/>
  <c r="K444" i="13" s="1"/>
  <c r="N279" i="14"/>
  <c r="L278" i="14"/>
  <c r="I297" i="8"/>
  <c r="L299" i="8"/>
  <c r="I311" i="8"/>
  <c r="K319" i="8"/>
  <c r="I325" i="8"/>
  <c r="K326" i="8"/>
  <c r="I369" i="8"/>
  <c r="K369" i="8" s="1"/>
  <c r="L459" i="8"/>
  <c r="K514" i="8"/>
  <c r="I32" i="9"/>
  <c r="K32" i="9" s="1"/>
  <c r="L54" i="9"/>
  <c r="K62" i="9"/>
  <c r="L91" i="9"/>
  <c r="L103" i="9"/>
  <c r="L116" i="9"/>
  <c r="K125" i="9"/>
  <c r="I149" i="9"/>
  <c r="L171" i="9"/>
  <c r="K264" i="9"/>
  <c r="L332" i="9"/>
  <c r="I344" i="9"/>
  <c r="L352" i="9"/>
  <c r="L428" i="9"/>
  <c r="I444" i="9"/>
  <c r="K444" i="9" s="1"/>
  <c r="L492" i="9"/>
  <c r="K506" i="9"/>
  <c r="K516" i="9"/>
  <c r="K518" i="9"/>
  <c r="L9" i="10"/>
  <c r="L131" i="10"/>
  <c r="L187" i="10"/>
  <c r="K195" i="10"/>
  <c r="L230" i="10"/>
  <c r="L247" i="10"/>
  <c r="J259" i="10"/>
  <c r="L278" i="10"/>
  <c r="I297" i="10"/>
  <c r="L299" i="10"/>
  <c r="I311" i="10"/>
  <c r="K319" i="10"/>
  <c r="I325" i="10"/>
  <c r="K326" i="10"/>
  <c r="K345" i="10"/>
  <c r="N353" i="10"/>
  <c r="K359" i="10"/>
  <c r="I426" i="10"/>
  <c r="K426" i="10" s="1"/>
  <c r="L446" i="10"/>
  <c r="N448" i="10"/>
  <c r="K517" i="10"/>
  <c r="K515" i="10"/>
  <c r="K513" i="10"/>
  <c r="K514" i="10"/>
  <c r="K62" i="11"/>
  <c r="N116" i="11"/>
  <c r="L114" i="11"/>
  <c r="N114" i="11" s="1"/>
  <c r="M278" i="11"/>
  <c r="M275" i="11" s="1"/>
  <c r="M242" i="11" s="1"/>
  <c r="N280" i="11"/>
  <c r="N353" i="11"/>
  <c r="L352" i="11"/>
  <c r="L492" i="12"/>
  <c r="N494" i="12"/>
  <c r="L171" i="13"/>
  <c r="N172" i="13"/>
  <c r="L187" i="13"/>
  <c r="N189" i="13"/>
  <c r="K313" i="13"/>
  <c r="I296" i="13"/>
  <c r="K296" i="13" s="1"/>
  <c r="K390" i="13"/>
  <c r="K466" i="13"/>
  <c r="J457" i="13"/>
  <c r="K457" i="13" s="1"/>
  <c r="N476" i="13"/>
  <c r="L475" i="13"/>
  <c r="M446" i="14"/>
  <c r="M444" i="14" s="1"/>
  <c r="M444" i="1" s="1"/>
  <c r="N448" i="14"/>
  <c r="K513" i="8"/>
  <c r="K515" i="8"/>
  <c r="I52" i="9"/>
  <c r="K52" i="9" s="1"/>
  <c r="K392" i="10"/>
  <c r="K511" i="10"/>
  <c r="K509" i="10"/>
  <c r="K505" i="10"/>
  <c r="K510" i="10"/>
  <c r="K508" i="10"/>
  <c r="K504" i="10"/>
  <c r="K523" i="10"/>
  <c r="K27" i="11"/>
  <c r="I21" i="11"/>
  <c r="L54" i="11"/>
  <c r="N55" i="11"/>
  <c r="L103" i="11"/>
  <c r="N104" i="11"/>
  <c r="K320" i="11"/>
  <c r="J316" i="11"/>
  <c r="N429" i="11"/>
  <c r="L428" i="11"/>
  <c r="N72" i="12"/>
  <c r="N447" i="12"/>
  <c r="L446" i="12"/>
  <c r="K25" i="13"/>
  <c r="I21" i="13"/>
  <c r="N91" i="13"/>
  <c r="L89" i="13"/>
  <c r="N89" i="13" s="1"/>
  <c r="K359" i="13"/>
  <c r="I350" i="13"/>
  <c r="K350" i="13" s="1"/>
  <c r="I376" i="13"/>
  <c r="K376" i="13" s="1"/>
  <c r="I360" i="13"/>
  <c r="K360" i="13" s="1"/>
  <c r="I369" i="10"/>
  <c r="K369" i="10" s="1"/>
  <c r="N249" i="11"/>
  <c r="K361" i="11"/>
  <c r="I377" i="11"/>
  <c r="K377" i="11" s="1"/>
  <c r="K390" i="11"/>
  <c r="K488" i="11"/>
  <c r="K510" i="11"/>
  <c r="K508" i="11"/>
  <c r="K504" i="11"/>
  <c r="K507" i="11"/>
  <c r="I490" i="11"/>
  <c r="K490" i="11" s="1"/>
  <c r="K509" i="11"/>
  <c r="K512" i="11"/>
  <c r="I20" i="12"/>
  <c r="K22" i="12"/>
  <c r="N35" i="12"/>
  <c r="L32" i="12"/>
  <c r="N32" i="12" s="1"/>
  <c r="N76" i="12"/>
  <c r="K236" i="12"/>
  <c r="I228" i="12"/>
  <c r="K228" i="12" s="1"/>
  <c r="J259" i="12"/>
  <c r="I297" i="12"/>
  <c r="K391" i="12"/>
  <c r="J409" i="12"/>
  <c r="L428" i="12"/>
  <c r="N430" i="12"/>
  <c r="M6" i="13"/>
  <c r="K263" i="13"/>
  <c r="I245" i="13"/>
  <c r="K245" i="13" s="1"/>
  <c r="I265" i="13"/>
  <c r="L299" i="13"/>
  <c r="N301" i="13"/>
  <c r="L459" i="13"/>
  <c r="N461" i="13"/>
  <c r="I473" i="13"/>
  <c r="K473" i="13" s="1"/>
  <c r="K484" i="13"/>
  <c r="K506" i="13"/>
  <c r="K528" i="13"/>
  <c r="K98" i="14"/>
  <c r="I89" i="14"/>
  <c r="K89" i="14" s="1"/>
  <c r="J245" i="14"/>
  <c r="K263" i="14"/>
  <c r="J259" i="14"/>
  <c r="L428" i="14"/>
  <c r="N430" i="14"/>
  <c r="K238" i="11"/>
  <c r="K345" i="11"/>
  <c r="I344" i="11"/>
  <c r="K391" i="11"/>
  <c r="K528" i="11"/>
  <c r="N74" i="12"/>
  <c r="K392" i="12"/>
  <c r="K466" i="12"/>
  <c r="I457" i="12"/>
  <c r="K457" i="12" s="1"/>
  <c r="K518" i="12"/>
  <c r="K516" i="12"/>
  <c r="K517" i="12"/>
  <c r="K515" i="12"/>
  <c r="K513" i="12"/>
  <c r="K514" i="12"/>
  <c r="I63" i="13"/>
  <c r="K63" i="13" s="1"/>
  <c r="I52" i="13"/>
  <c r="K52" i="13" s="1"/>
  <c r="N77" i="13"/>
  <c r="L76" i="13"/>
  <c r="K238" i="13"/>
  <c r="L247" i="13"/>
  <c r="N249" i="13"/>
  <c r="L278" i="13"/>
  <c r="N280" i="13"/>
  <c r="K440" i="13"/>
  <c r="I426" i="13"/>
  <c r="K426" i="13" s="1"/>
  <c r="K510" i="13"/>
  <c r="K508" i="13"/>
  <c r="K504" i="13"/>
  <c r="K507" i="13"/>
  <c r="I490" i="13"/>
  <c r="K490" i="13" s="1"/>
  <c r="K509" i="13"/>
  <c r="K512" i="13"/>
  <c r="K44" i="14"/>
  <c r="I32" i="14"/>
  <c r="K32" i="14" s="1"/>
  <c r="N72" i="14"/>
  <c r="I185" i="14"/>
  <c r="K185" i="14" s="1"/>
  <c r="K195" i="14"/>
  <c r="I214" i="14"/>
  <c r="K214" i="14" s="1"/>
  <c r="K224" i="14"/>
  <c r="M242" i="14"/>
  <c r="M6" i="15"/>
  <c r="N9" i="15"/>
  <c r="L73" i="15"/>
  <c r="N73" i="15" s="1"/>
  <c r="N77" i="15"/>
  <c r="L76" i="15"/>
  <c r="M278" i="15"/>
  <c r="M275" i="15" s="1"/>
  <c r="N280" i="15"/>
  <c r="K228" i="11"/>
  <c r="K235" i="11"/>
  <c r="K369" i="11"/>
  <c r="K453" i="11"/>
  <c r="I444" i="11"/>
  <c r="K444" i="11" s="1"/>
  <c r="M461" i="11"/>
  <c r="M459" i="11" s="1"/>
  <c r="M457" i="11" s="1"/>
  <c r="K484" i="11"/>
  <c r="I473" i="11"/>
  <c r="K473" i="11" s="1"/>
  <c r="K235" i="13"/>
  <c r="K271" i="13"/>
  <c r="I270" i="13"/>
  <c r="J312" i="13"/>
  <c r="K315" i="13"/>
  <c r="J321" i="13"/>
  <c r="K321" i="13" s="1"/>
  <c r="K324" i="13"/>
  <c r="K488" i="13"/>
  <c r="K524" i="13"/>
  <c r="I20" i="14"/>
  <c r="K22" i="14"/>
  <c r="N231" i="14"/>
  <c r="L230" i="14"/>
  <c r="K359" i="14"/>
  <c r="J350" i="14"/>
  <c r="K504" i="14"/>
  <c r="J490" i="14"/>
  <c r="K271" i="15"/>
  <c r="I270" i="15"/>
  <c r="M299" i="15"/>
  <c r="M296" i="15" s="1"/>
  <c r="N301" i="15"/>
  <c r="L492" i="14"/>
  <c r="N494" i="14"/>
  <c r="K518" i="14"/>
  <c r="K516" i="14"/>
  <c r="K517" i="14"/>
  <c r="K515" i="14"/>
  <c r="K513" i="14"/>
  <c r="K514" i="14"/>
  <c r="L446" i="15"/>
  <c r="N448" i="15"/>
  <c r="M9" i="16"/>
  <c r="M6" i="16" s="1"/>
  <c r="N12" i="16"/>
  <c r="N201" i="16"/>
  <c r="L199" i="16"/>
  <c r="N199" i="16" s="1"/>
  <c r="K519" i="11"/>
  <c r="I368" i="12"/>
  <c r="K368" i="12" s="1"/>
  <c r="K505" i="12"/>
  <c r="K509" i="12"/>
  <c r="K511" i="12"/>
  <c r="N35" i="14"/>
  <c r="N55" i="14"/>
  <c r="L54" i="14"/>
  <c r="N132" i="14"/>
  <c r="L131" i="14"/>
  <c r="N188" i="14"/>
  <c r="L187" i="14"/>
  <c r="I267" i="14"/>
  <c r="K267" i="14" s="1"/>
  <c r="J316" i="14"/>
  <c r="K319" i="14"/>
  <c r="I344" i="14"/>
  <c r="K346" i="14"/>
  <c r="N460" i="14"/>
  <c r="L459" i="14"/>
  <c r="K519" i="14"/>
  <c r="L101" i="15"/>
  <c r="N101" i="15" s="1"/>
  <c r="M247" i="15"/>
  <c r="M244" i="15" s="1"/>
  <c r="M242" i="15" s="1"/>
  <c r="N249" i="15"/>
  <c r="J312" i="15"/>
  <c r="K315" i="15"/>
  <c r="I344" i="15"/>
  <c r="M459" i="15"/>
  <c r="M457" i="15" s="1"/>
  <c r="N461" i="15"/>
  <c r="L131" i="11"/>
  <c r="L187" i="11"/>
  <c r="L230" i="11"/>
  <c r="L247" i="11"/>
  <c r="I426" i="11"/>
  <c r="K426" i="11" s="1"/>
  <c r="I32" i="12"/>
  <c r="K32" i="12" s="1"/>
  <c r="L54" i="12"/>
  <c r="L91" i="12"/>
  <c r="L103" i="12"/>
  <c r="L116" i="12"/>
  <c r="I149" i="12"/>
  <c r="L171" i="12"/>
  <c r="L332" i="12"/>
  <c r="I344" i="12"/>
  <c r="L352" i="12"/>
  <c r="K506" i="12"/>
  <c r="L131" i="13"/>
  <c r="I369" i="13"/>
  <c r="K369" i="13" s="1"/>
  <c r="J228" i="14"/>
  <c r="K240" i="14"/>
  <c r="N248" i="14"/>
  <c r="L247" i="14"/>
  <c r="N300" i="14"/>
  <c r="L299" i="14"/>
  <c r="I311" i="14"/>
  <c r="I297" i="14"/>
  <c r="I296" i="14"/>
  <c r="K296" i="14" s="1"/>
  <c r="K317" i="14"/>
  <c r="L352" i="14"/>
  <c r="N354" i="14"/>
  <c r="I199" i="15"/>
  <c r="K199" i="15" s="1"/>
  <c r="K209" i="15"/>
  <c r="K263" i="15"/>
  <c r="I245" i="15"/>
  <c r="K245" i="15" s="1"/>
  <c r="I265" i="15"/>
  <c r="J321" i="15"/>
  <c r="K321" i="15" s="1"/>
  <c r="K324" i="15"/>
  <c r="K517" i="15"/>
  <c r="K515" i="15"/>
  <c r="K513" i="15"/>
  <c r="K514" i="15"/>
  <c r="K519" i="15"/>
  <c r="K516" i="15"/>
  <c r="K518" i="15"/>
  <c r="J359" i="16"/>
  <c r="I369" i="14"/>
  <c r="K369" i="14" s="1"/>
  <c r="I377" i="14"/>
  <c r="K377" i="14" s="1"/>
  <c r="K511" i="15"/>
  <c r="K509" i="15"/>
  <c r="K505" i="15"/>
  <c r="K510" i="15"/>
  <c r="K508" i="15"/>
  <c r="K504" i="15"/>
  <c r="K44" i="16"/>
  <c r="I32" i="16"/>
  <c r="K32" i="16" s="1"/>
  <c r="N92" i="16"/>
  <c r="L91" i="16"/>
  <c r="N104" i="16"/>
  <c r="L103" i="16"/>
  <c r="K155" i="16"/>
  <c r="I149" i="16"/>
  <c r="N447" i="16"/>
  <c r="L446" i="16"/>
  <c r="K466" i="16"/>
  <c r="I457" i="16"/>
  <c r="K457" i="16" s="1"/>
  <c r="M492" i="16"/>
  <c r="M490" i="16" s="1"/>
  <c r="M242" i="16" s="1"/>
  <c r="N494" i="16"/>
  <c r="M242" i="17"/>
  <c r="I228" i="14"/>
  <c r="I360" i="14"/>
  <c r="K360" i="14" s="1"/>
  <c r="I368" i="14"/>
  <c r="K368" i="14" s="1"/>
  <c r="L446" i="14"/>
  <c r="I457" i="14"/>
  <c r="K457" i="14" s="1"/>
  <c r="K505" i="14"/>
  <c r="K509" i="14"/>
  <c r="K511" i="14"/>
  <c r="L131" i="15"/>
  <c r="L187" i="15"/>
  <c r="K195" i="15"/>
  <c r="L230" i="15"/>
  <c r="L247" i="15"/>
  <c r="J259" i="15"/>
  <c r="L278" i="15"/>
  <c r="I297" i="15"/>
  <c r="L299" i="15"/>
  <c r="I311" i="15"/>
  <c r="K319" i="15"/>
  <c r="I325" i="15"/>
  <c r="K326" i="15"/>
  <c r="K345" i="15"/>
  <c r="N353" i="15"/>
  <c r="K359" i="15"/>
  <c r="N460" i="15"/>
  <c r="L459" i="15"/>
  <c r="N9" i="16"/>
  <c r="I63" i="16"/>
  <c r="K63" i="16" s="1"/>
  <c r="I52" i="16"/>
  <c r="K52" i="16" s="1"/>
  <c r="K62" i="16"/>
  <c r="I114" i="16"/>
  <c r="K114" i="16" s="1"/>
  <c r="K125" i="16"/>
  <c r="L146" i="16"/>
  <c r="N172" i="16"/>
  <c r="L171" i="16"/>
  <c r="I270" i="16"/>
  <c r="K272" i="16"/>
  <c r="I276" i="16"/>
  <c r="K276" i="16" s="1"/>
  <c r="J321" i="16"/>
  <c r="K321" i="16" s="1"/>
  <c r="I377" i="16"/>
  <c r="K377" i="16" s="1"/>
  <c r="M6" i="17"/>
  <c r="I185" i="17"/>
  <c r="K185" i="17" s="1"/>
  <c r="K195" i="17"/>
  <c r="I214" i="17"/>
  <c r="K214" i="17" s="1"/>
  <c r="K224" i="17"/>
  <c r="L91" i="14"/>
  <c r="L103" i="14"/>
  <c r="L116" i="14"/>
  <c r="I149" i="14"/>
  <c r="L171" i="14"/>
  <c r="K506" i="14"/>
  <c r="I376" i="15"/>
  <c r="K376" i="15" s="1"/>
  <c r="I490" i="15"/>
  <c r="K490" i="15" s="1"/>
  <c r="K506" i="15"/>
  <c r="K512" i="15"/>
  <c r="K527" i="15"/>
  <c r="N55" i="16"/>
  <c r="L54" i="16"/>
  <c r="K74" i="16"/>
  <c r="N117" i="16"/>
  <c r="L116" i="16"/>
  <c r="K236" i="16"/>
  <c r="I228" i="16"/>
  <c r="K228" i="16" s="1"/>
  <c r="N354" i="16"/>
  <c r="K426" i="16"/>
  <c r="K44" i="17"/>
  <c r="I32" i="17"/>
  <c r="K32" i="17" s="1"/>
  <c r="K48" i="17"/>
  <c r="I33" i="17"/>
  <c r="K33" i="17" s="1"/>
  <c r="K327" i="17"/>
  <c r="J325" i="17"/>
  <c r="L332" i="17"/>
  <c r="N333" i="17"/>
  <c r="N9" i="17"/>
  <c r="N72" i="17"/>
  <c r="N92" i="17"/>
  <c r="L91" i="17"/>
  <c r="N132" i="17"/>
  <c r="L131" i="17"/>
  <c r="L91" i="18"/>
  <c r="N92" i="18"/>
  <c r="L116" i="18"/>
  <c r="N117" i="18"/>
  <c r="I369" i="15"/>
  <c r="K369" i="15" s="1"/>
  <c r="K264" i="16"/>
  <c r="L332" i="16"/>
  <c r="I344" i="16"/>
  <c r="L352" i="16"/>
  <c r="L428" i="16"/>
  <c r="I444" i="16"/>
  <c r="K444" i="16" s="1"/>
  <c r="L492" i="16"/>
  <c r="K506" i="16"/>
  <c r="K512" i="16"/>
  <c r="N104" i="17"/>
  <c r="L103" i="17"/>
  <c r="N188" i="17"/>
  <c r="L187" i="17"/>
  <c r="N231" i="17"/>
  <c r="L230" i="17"/>
  <c r="J321" i="17"/>
  <c r="K321" i="17" s="1"/>
  <c r="K324" i="17"/>
  <c r="L475" i="16"/>
  <c r="N12" i="17"/>
  <c r="N35" i="17"/>
  <c r="N55" i="17"/>
  <c r="L54" i="17"/>
  <c r="I89" i="17"/>
  <c r="K89" i="17" s="1"/>
  <c r="L428" i="17"/>
  <c r="N429" i="17"/>
  <c r="L475" i="17"/>
  <c r="N476" i="17"/>
  <c r="I262" i="17"/>
  <c r="K262" i="17" s="1"/>
  <c r="K271" i="17"/>
  <c r="I270" i="17"/>
  <c r="J312" i="17"/>
  <c r="K315" i="17"/>
  <c r="K440" i="17"/>
  <c r="I426" i="17"/>
  <c r="K426" i="17" s="1"/>
  <c r="K514" i="17"/>
  <c r="K519" i="17"/>
  <c r="K518" i="17"/>
  <c r="K516" i="17"/>
  <c r="K513" i="17"/>
  <c r="N12" i="18"/>
  <c r="L9" i="18"/>
  <c r="M6" i="18"/>
  <c r="N218" i="18"/>
  <c r="L216" i="18"/>
  <c r="N232" i="18"/>
  <c r="L230" i="18"/>
  <c r="L116" i="17"/>
  <c r="I149" i="17"/>
  <c r="L171" i="17"/>
  <c r="N248" i="17"/>
  <c r="L247" i="17"/>
  <c r="K263" i="17"/>
  <c r="I265" i="17"/>
  <c r="N280" i="17"/>
  <c r="J316" i="17"/>
  <c r="K316" i="17" s="1"/>
  <c r="K359" i="17"/>
  <c r="I350" i="17"/>
  <c r="K350" i="17" s="1"/>
  <c r="I368" i="17"/>
  <c r="K368" i="17" s="1"/>
  <c r="K390" i="17"/>
  <c r="K524" i="17"/>
  <c r="K22" i="18"/>
  <c r="L146" i="18"/>
  <c r="M242" i="18"/>
  <c r="K345" i="18"/>
  <c r="I344" i="18"/>
  <c r="K391" i="18"/>
  <c r="K523" i="17"/>
  <c r="I63" i="18"/>
  <c r="K63" i="18" s="1"/>
  <c r="I52" i="18"/>
  <c r="K52" i="18" s="1"/>
  <c r="N77" i="18"/>
  <c r="L76" i="18"/>
  <c r="I262" i="18"/>
  <c r="K262" i="18" s="1"/>
  <c r="K264" i="18"/>
  <c r="J325" i="18"/>
  <c r="N334" i="18"/>
  <c r="N354" i="18"/>
  <c r="N493" i="18"/>
  <c r="L492" i="18"/>
  <c r="L278" i="17"/>
  <c r="I297" i="17"/>
  <c r="L299" i="17"/>
  <c r="I325" i="17"/>
  <c r="I369" i="17"/>
  <c r="K369" i="17" s="1"/>
  <c r="K510" i="17"/>
  <c r="K508" i="17"/>
  <c r="K504" i="17"/>
  <c r="K507" i="17"/>
  <c r="K511" i="17"/>
  <c r="I149" i="18"/>
  <c r="L171" i="18"/>
  <c r="N333" i="18"/>
  <c r="L332" i="18"/>
  <c r="N353" i="18"/>
  <c r="L352" i="18"/>
  <c r="N430" i="18"/>
  <c r="K453" i="18"/>
  <c r="I444" i="18"/>
  <c r="K444" i="18" s="1"/>
  <c r="K466" i="18"/>
  <c r="K361" i="18"/>
  <c r="I377" i="18"/>
  <c r="K377" i="18" s="1"/>
  <c r="K390" i="18"/>
  <c r="N429" i="18"/>
  <c r="L428" i="18"/>
  <c r="K525" i="18"/>
  <c r="K506" i="18"/>
  <c r="K512" i="18"/>
  <c r="K516" i="18"/>
  <c r="K518" i="18"/>
  <c r="I426" i="18"/>
  <c r="K426" i="18" s="1"/>
  <c r="L475" i="18"/>
  <c r="K149" i="15" l="1"/>
  <c r="K344" i="13"/>
  <c r="L330" i="8"/>
  <c r="N330" i="8" s="1"/>
  <c r="N492" i="13"/>
  <c r="L473" i="11"/>
  <c r="N473" i="11" s="1"/>
  <c r="L457" i="3"/>
  <c r="N457" i="3" s="1"/>
  <c r="K129" i="11"/>
  <c r="I68" i="13"/>
  <c r="K68" i="13" s="1"/>
  <c r="L71" i="14"/>
  <c r="N71" i="14" s="1"/>
  <c r="K228" i="6"/>
  <c r="I144" i="5"/>
  <c r="K144" i="5" s="1"/>
  <c r="L275" i="3"/>
  <c r="N275" i="3" s="1"/>
  <c r="L129" i="6"/>
  <c r="N129" i="6" s="1"/>
  <c r="L52" i="18"/>
  <c r="N52" i="18" s="1"/>
  <c r="I10" i="16"/>
  <c r="K10" i="16" s="1"/>
  <c r="L71" i="2"/>
  <c r="N71" i="2" s="1"/>
  <c r="I68" i="16"/>
  <c r="K68" i="16" s="1"/>
  <c r="L89" i="4"/>
  <c r="N89" i="4" s="1"/>
  <c r="L214" i="13"/>
  <c r="N214" i="13" s="1"/>
  <c r="N475" i="3"/>
  <c r="L52" i="15"/>
  <c r="N52" i="15" s="1"/>
  <c r="K265" i="18"/>
  <c r="L444" i="2"/>
  <c r="N444" i="2" s="1"/>
  <c r="K486" i="1"/>
  <c r="K522" i="1"/>
  <c r="N201" i="9"/>
  <c r="N332" i="4"/>
  <c r="L244" i="16"/>
  <c r="N244" i="16" s="1"/>
  <c r="L185" i="16"/>
  <c r="N185" i="16" s="1"/>
  <c r="I68" i="3"/>
  <c r="K68" i="3" s="1"/>
  <c r="K325" i="9"/>
  <c r="K325" i="15"/>
  <c r="K528" i="1"/>
  <c r="L52" i="5"/>
  <c r="N52" i="5" s="1"/>
  <c r="N187" i="18"/>
  <c r="N446" i="17"/>
  <c r="N103" i="18"/>
  <c r="L199" i="17"/>
  <c r="N199" i="17" s="1"/>
  <c r="L426" i="4"/>
  <c r="N426" i="4" s="1"/>
  <c r="K129" i="15"/>
  <c r="L228" i="12"/>
  <c r="N228" i="12" s="1"/>
  <c r="K149" i="10"/>
  <c r="K350" i="6"/>
  <c r="N171" i="8"/>
  <c r="L114" i="15"/>
  <c r="N114" i="15" s="1"/>
  <c r="K526" i="1"/>
  <c r="L169" i="10"/>
  <c r="N169" i="10" s="1"/>
  <c r="L457" i="2"/>
  <c r="N457" i="2" s="1"/>
  <c r="I68" i="8"/>
  <c r="K68" i="8" s="1"/>
  <c r="K270" i="12"/>
  <c r="N230" i="2"/>
  <c r="L244" i="9"/>
  <c r="N244" i="9" s="1"/>
  <c r="L89" i="10"/>
  <c r="N89" i="10" s="1"/>
  <c r="L71" i="3"/>
  <c r="L68" i="3" s="1"/>
  <c r="N68" i="3" s="1"/>
  <c r="L228" i="3"/>
  <c r="N228" i="3" s="1"/>
  <c r="N299" i="16"/>
  <c r="N201" i="6"/>
  <c r="L185" i="9"/>
  <c r="N185" i="9" s="1"/>
  <c r="N116" i="8"/>
  <c r="I267" i="6"/>
  <c r="K267" i="6" s="1"/>
  <c r="L330" i="7"/>
  <c r="N330" i="7" s="1"/>
  <c r="K325" i="7"/>
  <c r="N278" i="2"/>
  <c r="L74" i="17"/>
  <c r="N74" i="17" s="1"/>
  <c r="I68" i="7"/>
  <c r="K68" i="7" s="1"/>
  <c r="L71" i="17"/>
  <c r="L68" i="17" s="1"/>
  <c r="N68" i="17" s="1"/>
  <c r="L275" i="16"/>
  <c r="N275" i="16" s="1"/>
  <c r="I10" i="18"/>
  <c r="K10" i="18" s="1"/>
  <c r="L71" i="13"/>
  <c r="N71" i="13" s="1"/>
  <c r="I330" i="8"/>
  <c r="K330" i="8" s="1"/>
  <c r="L473" i="14"/>
  <c r="N473" i="14" s="1"/>
  <c r="K325" i="10"/>
  <c r="K325" i="8"/>
  <c r="N146" i="11"/>
  <c r="L426" i="15"/>
  <c r="N426" i="15" s="1"/>
  <c r="L71" i="5"/>
  <c r="L68" i="5" s="1"/>
  <c r="N68" i="5" s="1"/>
  <c r="K20" i="3"/>
  <c r="K240" i="1"/>
  <c r="N448" i="1"/>
  <c r="K524" i="1"/>
  <c r="K270" i="14"/>
  <c r="I244" i="5"/>
  <c r="K244" i="5" s="1"/>
  <c r="K149" i="7"/>
  <c r="I10" i="15"/>
  <c r="K10" i="15" s="1"/>
  <c r="L473" i="4"/>
  <c r="N473" i="4" s="1"/>
  <c r="L426" i="13"/>
  <c r="N426" i="13" s="1"/>
  <c r="L457" i="16"/>
  <c r="N457" i="16" s="1"/>
  <c r="K325" i="2"/>
  <c r="J411" i="1"/>
  <c r="I68" i="5"/>
  <c r="K68" i="5" s="1"/>
  <c r="L350" i="15"/>
  <c r="N350" i="15" s="1"/>
  <c r="I9" i="10"/>
  <c r="K9" i="10" s="1"/>
  <c r="L330" i="5"/>
  <c r="N330" i="5" s="1"/>
  <c r="K523" i="1"/>
  <c r="N299" i="18"/>
  <c r="L275" i="12"/>
  <c r="N275" i="12" s="1"/>
  <c r="L114" i="13"/>
  <c r="N114" i="13" s="1"/>
  <c r="L457" i="9"/>
  <c r="N457" i="9" s="1"/>
  <c r="L296" i="9"/>
  <c r="N296" i="9" s="1"/>
  <c r="L296" i="7"/>
  <c r="N296" i="7" s="1"/>
  <c r="K263" i="1"/>
  <c r="L296" i="3"/>
  <c r="N296" i="3" s="1"/>
  <c r="N144" i="8"/>
  <c r="L52" i="4"/>
  <c r="N52" i="4" s="1"/>
  <c r="I9" i="11"/>
  <c r="K9" i="11" s="1"/>
  <c r="L71" i="4"/>
  <c r="L68" i="4" s="1"/>
  <c r="L52" i="3"/>
  <c r="N52" i="3" s="1"/>
  <c r="N146" i="8"/>
  <c r="L426" i="5"/>
  <c r="N426" i="5" s="1"/>
  <c r="L101" i="4"/>
  <c r="N101" i="4" s="1"/>
  <c r="N35" i="1"/>
  <c r="K9" i="6"/>
  <c r="L275" i="18"/>
  <c r="N275" i="18" s="1"/>
  <c r="I10" i="9"/>
  <c r="K10" i="9" s="1"/>
  <c r="L330" i="10"/>
  <c r="N330" i="10" s="1"/>
  <c r="L350" i="8"/>
  <c r="N350" i="8" s="1"/>
  <c r="K527" i="1"/>
  <c r="L457" i="18"/>
  <c r="N457" i="18" s="1"/>
  <c r="N492" i="15"/>
  <c r="L490" i="10"/>
  <c r="N490" i="10" s="1"/>
  <c r="L350" i="5"/>
  <c r="N350" i="5" s="1"/>
  <c r="L228" i="7"/>
  <c r="N228" i="7" s="1"/>
  <c r="K21" i="14"/>
  <c r="L244" i="2"/>
  <c r="N244" i="2" s="1"/>
  <c r="I9" i="17"/>
  <c r="K9" i="17" s="1"/>
  <c r="L199" i="7"/>
  <c r="N199" i="7" s="1"/>
  <c r="L330" i="15"/>
  <c r="N330" i="15" s="1"/>
  <c r="L296" i="2"/>
  <c r="N296" i="2" s="1"/>
  <c r="L490" i="5"/>
  <c r="N490" i="5" s="1"/>
  <c r="K325" i="13"/>
  <c r="I9" i="7"/>
  <c r="K9" i="7" s="1"/>
  <c r="N492" i="7"/>
  <c r="K325" i="11"/>
  <c r="L52" i="8"/>
  <c r="N52" i="8" s="1"/>
  <c r="N492" i="4"/>
  <c r="I330" i="4"/>
  <c r="K330" i="4" s="1"/>
  <c r="N278" i="9"/>
  <c r="L426" i="8"/>
  <c r="N426" i="8" s="1"/>
  <c r="J311" i="14"/>
  <c r="J297" i="14" s="1"/>
  <c r="K297" i="14" s="1"/>
  <c r="L296" i="12"/>
  <c r="N296" i="12" s="1"/>
  <c r="L89" i="11"/>
  <c r="N89" i="11" s="1"/>
  <c r="K490" i="6"/>
  <c r="L52" i="13"/>
  <c r="N52" i="13" s="1"/>
  <c r="L185" i="7"/>
  <c r="N185" i="7" s="1"/>
  <c r="L244" i="7"/>
  <c r="N244" i="7" s="1"/>
  <c r="J311" i="6"/>
  <c r="L214" i="8"/>
  <c r="N214" i="8" s="1"/>
  <c r="K325" i="5"/>
  <c r="K235" i="1"/>
  <c r="K325" i="12"/>
  <c r="L473" i="15"/>
  <c r="N473" i="15" s="1"/>
  <c r="L71" i="11"/>
  <c r="L68" i="11" s="1"/>
  <c r="N68" i="11" s="1"/>
  <c r="L114" i="10"/>
  <c r="N114" i="10" s="1"/>
  <c r="K238" i="1"/>
  <c r="N73" i="18"/>
  <c r="L169" i="5"/>
  <c r="N169" i="5" s="1"/>
  <c r="N334" i="1"/>
  <c r="L114" i="4"/>
  <c r="N114" i="4" s="1"/>
  <c r="N76" i="6"/>
  <c r="K325" i="18"/>
  <c r="L350" i="10"/>
  <c r="N350" i="10" s="1"/>
  <c r="K473" i="14"/>
  <c r="K488" i="1"/>
  <c r="J311" i="11"/>
  <c r="J297" i="11" s="1"/>
  <c r="K297" i="11" s="1"/>
  <c r="L71" i="8"/>
  <c r="L68" i="8" s="1"/>
  <c r="N68" i="8" s="1"/>
  <c r="K20" i="6"/>
  <c r="J311" i="18"/>
  <c r="J297" i="18" s="1"/>
  <c r="K297" i="18" s="1"/>
  <c r="J311" i="9"/>
  <c r="J297" i="9" s="1"/>
  <c r="K297" i="9" s="1"/>
  <c r="N201" i="15"/>
  <c r="L199" i="15"/>
  <c r="N199" i="15" s="1"/>
  <c r="L89" i="15"/>
  <c r="N89" i="15" s="1"/>
  <c r="K350" i="14"/>
  <c r="K270" i="11"/>
  <c r="J409" i="1"/>
  <c r="L169" i="11"/>
  <c r="N169" i="11" s="1"/>
  <c r="K325" i="6"/>
  <c r="J410" i="1"/>
  <c r="N187" i="4"/>
  <c r="K521" i="1"/>
  <c r="K484" i="1"/>
  <c r="K350" i="10"/>
  <c r="J311" i="7"/>
  <c r="J297" i="7" s="1"/>
  <c r="K297" i="7" s="1"/>
  <c r="K482" i="1"/>
  <c r="K236" i="1"/>
  <c r="L144" i="2"/>
  <c r="N144" i="2" s="1"/>
  <c r="N146" i="5"/>
  <c r="K265" i="9"/>
  <c r="I330" i="17"/>
  <c r="K330" i="17" s="1"/>
  <c r="L350" i="17"/>
  <c r="N350" i="17" s="1"/>
  <c r="L129" i="16"/>
  <c r="N129" i="16" s="1"/>
  <c r="L330" i="13"/>
  <c r="N330" i="13" s="1"/>
  <c r="L444" i="11"/>
  <c r="N444" i="11" s="1"/>
  <c r="L296" i="11"/>
  <c r="N296" i="11" s="1"/>
  <c r="L490" i="8"/>
  <c r="N490" i="8" s="1"/>
  <c r="N520" i="4"/>
  <c r="L214" i="3"/>
  <c r="N214" i="3" s="1"/>
  <c r="N187" i="2"/>
  <c r="K20" i="8"/>
  <c r="L144" i="13"/>
  <c r="N144" i="13" s="1"/>
  <c r="N428" i="10"/>
  <c r="L169" i="3"/>
  <c r="N169" i="3" s="1"/>
  <c r="L89" i="3"/>
  <c r="N89" i="3" s="1"/>
  <c r="K525" i="1"/>
  <c r="N216" i="14"/>
  <c r="L214" i="14"/>
  <c r="N214" i="14" s="1"/>
  <c r="L71" i="10"/>
  <c r="L68" i="10" s="1"/>
  <c r="N68" i="10" s="1"/>
  <c r="N216" i="12"/>
  <c r="L214" i="12"/>
  <c r="N214" i="12" s="1"/>
  <c r="N146" i="10"/>
  <c r="L144" i="10"/>
  <c r="N144" i="10" s="1"/>
  <c r="K270" i="4"/>
  <c r="I244" i="4"/>
  <c r="K244" i="4" s="1"/>
  <c r="N230" i="16"/>
  <c r="L228" i="16"/>
  <c r="N228" i="16" s="1"/>
  <c r="N475" i="12"/>
  <c r="L473" i="12"/>
  <c r="N473" i="12" s="1"/>
  <c r="N201" i="11"/>
  <c r="L199" i="11"/>
  <c r="N199" i="11" s="1"/>
  <c r="K325" i="17"/>
  <c r="N201" i="18"/>
  <c r="L199" i="18"/>
  <c r="N199" i="18" s="1"/>
  <c r="I244" i="6"/>
  <c r="K244" i="6" s="1"/>
  <c r="K270" i="6"/>
  <c r="N76" i="14"/>
  <c r="L74" i="14"/>
  <c r="N74" i="14" s="1"/>
  <c r="I68" i="12"/>
  <c r="K68" i="12" s="1"/>
  <c r="J311" i="16"/>
  <c r="J297" i="16" s="1"/>
  <c r="K297" i="16" s="1"/>
  <c r="L71" i="7"/>
  <c r="L68" i="7" s="1"/>
  <c r="N68" i="7" s="1"/>
  <c r="N131" i="9"/>
  <c r="L129" i="9"/>
  <c r="N129" i="9" s="1"/>
  <c r="N216" i="5"/>
  <c r="L214" i="5"/>
  <c r="N214" i="5" s="1"/>
  <c r="N216" i="15"/>
  <c r="L214" i="15"/>
  <c r="N214" i="15" s="1"/>
  <c r="I244" i="18"/>
  <c r="K244" i="18" s="1"/>
  <c r="K270" i="18"/>
  <c r="N201" i="10"/>
  <c r="L199" i="10"/>
  <c r="N199" i="10" s="1"/>
  <c r="N201" i="13"/>
  <c r="L199" i="13"/>
  <c r="N199" i="13" s="1"/>
  <c r="I330" i="7"/>
  <c r="K330" i="7" s="1"/>
  <c r="K344" i="7"/>
  <c r="K20" i="16"/>
  <c r="I9" i="16"/>
  <c r="K9" i="16" s="1"/>
  <c r="N247" i="18"/>
  <c r="L244" i="18"/>
  <c r="N244" i="18" s="1"/>
  <c r="N201" i="5"/>
  <c r="L199" i="5"/>
  <c r="N199" i="5" s="1"/>
  <c r="K316" i="11"/>
  <c r="K129" i="17"/>
  <c r="I68" i="17"/>
  <c r="K68" i="17" s="1"/>
  <c r="N216" i="16"/>
  <c r="L214" i="16"/>
  <c r="N214" i="16" s="1"/>
  <c r="I267" i="16"/>
  <c r="K267" i="16" s="1"/>
  <c r="K265" i="16"/>
  <c r="L129" i="18"/>
  <c r="N129" i="18" s="1"/>
  <c r="N131" i="18"/>
  <c r="N201" i="14"/>
  <c r="L199" i="14"/>
  <c r="N199" i="14" s="1"/>
  <c r="K20" i="13"/>
  <c r="I9" i="13"/>
  <c r="K9" i="13" s="1"/>
  <c r="N103" i="10"/>
  <c r="L101" i="10"/>
  <c r="N101" i="10" s="1"/>
  <c r="N475" i="6"/>
  <c r="L473" i="6"/>
  <c r="N473" i="6" s="1"/>
  <c r="K21" i="6"/>
  <c r="I10" i="6"/>
  <c r="K10" i="6" s="1"/>
  <c r="N91" i="2"/>
  <c r="L89" i="2"/>
  <c r="N89" i="2" s="1"/>
  <c r="J311" i="13"/>
  <c r="J297" i="13" s="1"/>
  <c r="K297" i="13" s="1"/>
  <c r="J473" i="1"/>
  <c r="I74" i="1"/>
  <c r="K74" i="1" s="1"/>
  <c r="N216" i="17"/>
  <c r="L214" i="17"/>
  <c r="N214" i="17" s="1"/>
  <c r="N446" i="18"/>
  <c r="L444" i="18"/>
  <c r="N444" i="18" s="1"/>
  <c r="K129" i="14"/>
  <c r="I68" i="14"/>
  <c r="K68" i="14" s="1"/>
  <c r="N459" i="12"/>
  <c r="L457" i="12"/>
  <c r="N457" i="12" s="1"/>
  <c r="N446" i="13"/>
  <c r="L444" i="13"/>
  <c r="N444" i="13" s="1"/>
  <c r="K265" i="11"/>
  <c r="I267" i="11"/>
  <c r="K267" i="11" s="1"/>
  <c r="J311" i="12"/>
  <c r="K129" i="10"/>
  <c r="I68" i="10"/>
  <c r="K68" i="10" s="1"/>
  <c r="N54" i="10"/>
  <c r="L52" i="10"/>
  <c r="N52" i="10" s="1"/>
  <c r="K344" i="5"/>
  <c r="I330" i="5"/>
  <c r="K330" i="5" s="1"/>
  <c r="N171" i="7"/>
  <c r="L169" i="7"/>
  <c r="N169" i="7" s="1"/>
  <c r="N146" i="6"/>
  <c r="L144" i="6"/>
  <c r="N144" i="6" s="1"/>
  <c r="N446" i="5"/>
  <c r="L444" i="5"/>
  <c r="N444" i="5" s="1"/>
  <c r="N352" i="7"/>
  <c r="L350" i="7"/>
  <c r="N350" i="7" s="1"/>
  <c r="I297" i="1"/>
  <c r="K21" i="17"/>
  <c r="I10" i="17"/>
  <c r="K10" i="17" s="1"/>
  <c r="N146" i="17"/>
  <c r="L144" i="17"/>
  <c r="N144" i="17" s="1"/>
  <c r="N146" i="15"/>
  <c r="L144" i="15"/>
  <c r="N144" i="15" s="1"/>
  <c r="N146" i="12"/>
  <c r="L144" i="12"/>
  <c r="N144" i="12" s="1"/>
  <c r="N73" i="16"/>
  <c r="L71" i="16"/>
  <c r="K149" i="13"/>
  <c r="I144" i="13"/>
  <c r="K144" i="13" s="1"/>
  <c r="L228" i="13"/>
  <c r="N228" i="13" s="1"/>
  <c r="N230" i="13"/>
  <c r="K129" i="9"/>
  <c r="I68" i="9"/>
  <c r="K68" i="9" s="1"/>
  <c r="N230" i="9"/>
  <c r="L228" i="9"/>
  <c r="N228" i="9" s="1"/>
  <c r="N103" i="8"/>
  <c r="L101" i="8"/>
  <c r="N101" i="8" s="1"/>
  <c r="N201" i="4"/>
  <c r="L199" i="4"/>
  <c r="N199" i="4" s="1"/>
  <c r="K20" i="5"/>
  <c r="I9" i="5"/>
  <c r="K9" i="5" s="1"/>
  <c r="L91" i="1"/>
  <c r="N91" i="1" s="1"/>
  <c r="J228" i="1"/>
  <c r="I311" i="1"/>
  <c r="L446" i="1"/>
  <c r="K20" i="18"/>
  <c r="I9" i="18"/>
  <c r="K9" i="18" s="1"/>
  <c r="K20" i="15"/>
  <c r="I9" i="15"/>
  <c r="K9" i="15" s="1"/>
  <c r="K325" i="16"/>
  <c r="N76" i="16"/>
  <c r="L74" i="16"/>
  <c r="N74" i="16" s="1"/>
  <c r="N201" i="12"/>
  <c r="L199" i="12"/>
  <c r="N199" i="12" s="1"/>
  <c r="N171" i="15"/>
  <c r="L169" i="15"/>
  <c r="N169" i="15" s="1"/>
  <c r="N352" i="13"/>
  <c r="L350" i="13"/>
  <c r="N350" i="13" s="1"/>
  <c r="N146" i="14"/>
  <c r="L144" i="14"/>
  <c r="N144" i="14" s="1"/>
  <c r="K21" i="12"/>
  <c r="I10" i="12"/>
  <c r="K10" i="12" s="1"/>
  <c r="N216" i="10"/>
  <c r="L214" i="10"/>
  <c r="N214" i="10" s="1"/>
  <c r="N446" i="6"/>
  <c r="L444" i="6"/>
  <c r="N444" i="6" s="1"/>
  <c r="K20" i="4"/>
  <c r="I9" i="4"/>
  <c r="K9" i="4" s="1"/>
  <c r="N216" i="9"/>
  <c r="L214" i="9"/>
  <c r="N214" i="9" s="1"/>
  <c r="N73" i="9"/>
  <c r="L71" i="9"/>
  <c r="N103" i="2"/>
  <c r="L101" i="2"/>
  <c r="N101" i="2" s="1"/>
  <c r="N428" i="7"/>
  <c r="L426" i="7"/>
  <c r="N426" i="7" s="1"/>
  <c r="K21" i="7"/>
  <c r="I10" i="7"/>
  <c r="K10" i="7" s="1"/>
  <c r="L114" i="17"/>
  <c r="N114" i="17" s="1"/>
  <c r="N116" i="17"/>
  <c r="L89" i="17"/>
  <c r="N89" i="17" s="1"/>
  <c r="N91" i="17"/>
  <c r="N332" i="17"/>
  <c r="L330" i="17"/>
  <c r="N330" i="17" s="1"/>
  <c r="L185" i="15"/>
  <c r="N185" i="15" s="1"/>
  <c r="N187" i="15"/>
  <c r="N446" i="16"/>
  <c r="L444" i="16"/>
  <c r="N444" i="16" s="1"/>
  <c r="L129" i="13"/>
  <c r="N129" i="13" s="1"/>
  <c r="N131" i="13"/>
  <c r="L114" i="12"/>
  <c r="N114" i="12" s="1"/>
  <c r="N116" i="12"/>
  <c r="L52" i="14"/>
  <c r="N54" i="14"/>
  <c r="N247" i="13"/>
  <c r="L244" i="13"/>
  <c r="L296" i="13"/>
  <c r="N296" i="13" s="1"/>
  <c r="N299" i="13"/>
  <c r="N54" i="11"/>
  <c r="L52" i="11"/>
  <c r="L275" i="10"/>
  <c r="N275" i="10" s="1"/>
  <c r="N278" i="10"/>
  <c r="N9" i="10"/>
  <c r="L490" i="9"/>
  <c r="N492" i="9"/>
  <c r="I144" i="9"/>
  <c r="K144" i="9" s="1"/>
  <c r="K149" i="9"/>
  <c r="N131" i="12"/>
  <c r="L129" i="12"/>
  <c r="N129" i="12" s="1"/>
  <c r="N247" i="6"/>
  <c r="L244" i="6"/>
  <c r="M242" i="9"/>
  <c r="K199" i="7"/>
  <c r="I199" i="1"/>
  <c r="K199" i="1" s="1"/>
  <c r="L490" i="3"/>
  <c r="N490" i="3" s="1"/>
  <c r="N492" i="3"/>
  <c r="I490" i="1"/>
  <c r="K490" i="2"/>
  <c r="I265" i="1"/>
  <c r="K265" i="1" s="1"/>
  <c r="K265" i="2"/>
  <c r="K149" i="6"/>
  <c r="I144" i="6"/>
  <c r="K144" i="6" s="1"/>
  <c r="K21" i="5"/>
  <c r="I10" i="5"/>
  <c r="K10" i="5" s="1"/>
  <c r="K265" i="4"/>
  <c r="I267" i="4"/>
  <c r="L129" i="3"/>
  <c r="N131" i="3"/>
  <c r="L131" i="1"/>
  <c r="N131" i="1" s="1"/>
  <c r="K511" i="1"/>
  <c r="K509" i="1"/>
  <c r="K507" i="1"/>
  <c r="K505" i="1"/>
  <c r="K510" i="1"/>
  <c r="K506" i="1"/>
  <c r="K512" i="1"/>
  <c r="K508" i="1"/>
  <c r="K504" i="1"/>
  <c r="N9" i="3"/>
  <c r="L457" i="17"/>
  <c r="N457" i="17" s="1"/>
  <c r="N459" i="17"/>
  <c r="N352" i="4"/>
  <c r="L350" i="4"/>
  <c r="N350" i="4" s="1"/>
  <c r="I52" i="1"/>
  <c r="K52" i="1" s="1"/>
  <c r="K52" i="2"/>
  <c r="L101" i="6"/>
  <c r="N101" i="6" s="1"/>
  <c r="N103" i="6"/>
  <c r="K149" i="4"/>
  <c r="I144" i="4"/>
  <c r="K144" i="4" s="1"/>
  <c r="L228" i="18"/>
  <c r="N228" i="18" s="1"/>
  <c r="N230" i="18"/>
  <c r="L52" i="17"/>
  <c r="N54" i="17"/>
  <c r="L473" i="16"/>
  <c r="N473" i="16" s="1"/>
  <c r="N475" i="16"/>
  <c r="L350" i="16"/>
  <c r="N350" i="16" s="1"/>
  <c r="N352" i="16"/>
  <c r="L89" i="14"/>
  <c r="N89" i="14" s="1"/>
  <c r="N91" i="14"/>
  <c r="L101" i="16"/>
  <c r="N101" i="16" s="1"/>
  <c r="N103" i="16"/>
  <c r="L330" i="12"/>
  <c r="N330" i="12" s="1"/>
  <c r="N332" i="12"/>
  <c r="L101" i="12"/>
  <c r="N101" i="12" s="1"/>
  <c r="N103" i="12"/>
  <c r="L129" i="11"/>
  <c r="N129" i="11" s="1"/>
  <c r="N131" i="11"/>
  <c r="J311" i="15"/>
  <c r="J297" i="15" s="1"/>
  <c r="K297" i="15" s="1"/>
  <c r="K270" i="15"/>
  <c r="I244" i="15"/>
  <c r="K244" i="15" s="1"/>
  <c r="N230" i="14"/>
  <c r="L228" i="14"/>
  <c r="N228" i="14" s="1"/>
  <c r="L426" i="11"/>
  <c r="N426" i="11" s="1"/>
  <c r="N428" i="11"/>
  <c r="N475" i="8"/>
  <c r="L473" i="8"/>
  <c r="N473" i="8" s="1"/>
  <c r="M6" i="8"/>
  <c r="N9" i="8"/>
  <c r="L52" i="7"/>
  <c r="N52" i="7" s="1"/>
  <c r="N54" i="7"/>
  <c r="L457" i="6"/>
  <c r="N457" i="6" s="1"/>
  <c r="N459" i="6"/>
  <c r="L244" i="8"/>
  <c r="N247" i="8"/>
  <c r="K149" i="11"/>
  <c r="I144" i="11"/>
  <c r="K144" i="11" s="1"/>
  <c r="I244" i="9"/>
  <c r="K244" i="9" s="1"/>
  <c r="K270" i="9"/>
  <c r="L444" i="8"/>
  <c r="N444" i="8" s="1"/>
  <c r="N446" i="8"/>
  <c r="M473" i="5"/>
  <c r="N475" i="5"/>
  <c r="M475" i="1"/>
  <c r="I245" i="1"/>
  <c r="K245" i="1" s="1"/>
  <c r="K245" i="4"/>
  <c r="I376" i="1"/>
  <c r="K376" i="1" s="1"/>
  <c r="I457" i="1"/>
  <c r="L247" i="1"/>
  <c r="L68" i="18"/>
  <c r="N68" i="18" s="1"/>
  <c r="N71" i="18"/>
  <c r="K325" i="4"/>
  <c r="I325" i="1"/>
  <c r="N73" i="6"/>
  <c r="L71" i="6"/>
  <c r="K518" i="1"/>
  <c r="K516" i="1"/>
  <c r="K514" i="1"/>
  <c r="K513" i="1"/>
  <c r="K515" i="1"/>
  <c r="K517" i="1"/>
  <c r="K519" i="1"/>
  <c r="N32" i="2"/>
  <c r="L32" i="1"/>
  <c r="N32" i="1" s="1"/>
  <c r="M446" i="1"/>
  <c r="K21" i="8"/>
  <c r="I10" i="8"/>
  <c r="K10" i="8" s="1"/>
  <c r="K344" i="6"/>
  <c r="I330" i="6"/>
  <c r="K330" i="6" s="1"/>
  <c r="K21" i="4"/>
  <c r="I10" i="4"/>
  <c r="K10" i="4" s="1"/>
  <c r="M350" i="2"/>
  <c r="M350" i="1" s="1"/>
  <c r="M352" i="1"/>
  <c r="I33" i="1"/>
  <c r="K33" i="1" s="1"/>
  <c r="J259" i="1"/>
  <c r="M6" i="2"/>
  <c r="I276" i="1"/>
  <c r="K276" i="1" s="1"/>
  <c r="L350" i="18"/>
  <c r="N350" i="18" s="1"/>
  <c r="N352" i="18"/>
  <c r="I144" i="18"/>
  <c r="K144" i="18" s="1"/>
  <c r="K149" i="18"/>
  <c r="N299" i="17"/>
  <c r="L296" i="17"/>
  <c r="N296" i="17" s="1"/>
  <c r="K265" i="17"/>
  <c r="I267" i="17"/>
  <c r="K267" i="17" s="1"/>
  <c r="L169" i="17"/>
  <c r="N169" i="17" s="1"/>
  <c r="N171" i="17"/>
  <c r="J311" i="17"/>
  <c r="K312" i="17"/>
  <c r="N230" i="17"/>
  <c r="L228" i="17"/>
  <c r="N228" i="17" s="1"/>
  <c r="L101" i="17"/>
  <c r="N101" i="17" s="1"/>
  <c r="N103" i="17"/>
  <c r="L490" i="16"/>
  <c r="N490" i="16" s="1"/>
  <c r="N492" i="16"/>
  <c r="I330" i="16"/>
  <c r="K330" i="16" s="1"/>
  <c r="K344" i="16"/>
  <c r="N91" i="18"/>
  <c r="L89" i="18"/>
  <c r="N89" i="18" s="1"/>
  <c r="N131" i="17"/>
  <c r="L129" i="17"/>
  <c r="N129" i="17" s="1"/>
  <c r="I144" i="14"/>
  <c r="K144" i="14" s="1"/>
  <c r="K149" i="14"/>
  <c r="I244" i="16"/>
  <c r="K244" i="16" s="1"/>
  <c r="K270" i="16"/>
  <c r="L228" i="15"/>
  <c r="N228" i="15" s="1"/>
  <c r="N230" i="15"/>
  <c r="L71" i="15"/>
  <c r="K228" i="14"/>
  <c r="L350" i="14"/>
  <c r="N350" i="14" s="1"/>
  <c r="N352" i="14"/>
  <c r="N247" i="14"/>
  <c r="L244" i="14"/>
  <c r="L169" i="12"/>
  <c r="N169" i="12" s="1"/>
  <c r="N171" i="12"/>
  <c r="L89" i="12"/>
  <c r="N89" i="12" s="1"/>
  <c r="N91" i="12"/>
  <c r="N247" i="11"/>
  <c r="L244" i="11"/>
  <c r="K312" i="15"/>
  <c r="K316" i="14"/>
  <c r="N131" i="14"/>
  <c r="L129" i="14"/>
  <c r="N129" i="14" s="1"/>
  <c r="L490" i="14"/>
  <c r="N490" i="14" s="1"/>
  <c r="N492" i="14"/>
  <c r="N278" i="13"/>
  <c r="L275" i="13"/>
  <c r="N275" i="13" s="1"/>
  <c r="N461" i="11"/>
  <c r="L457" i="13"/>
  <c r="N457" i="13" s="1"/>
  <c r="N459" i="13"/>
  <c r="L426" i="12"/>
  <c r="N426" i="12" s="1"/>
  <c r="N428" i="12"/>
  <c r="L71" i="12"/>
  <c r="L473" i="13"/>
  <c r="N473" i="13" s="1"/>
  <c r="N475" i="13"/>
  <c r="L296" i="10"/>
  <c r="N296" i="10" s="1"/>
  <c r="N299" i="10"/>
  <c r="L244" i="10"/>
  <c r="N247" i="10"/>
  <c r="L129" i="10"/>
  <c r="N129" i="10" s="1"/>
  <c r="N131" i="10"/>
  <c r="L426" i="9"/>
  <c r="N426" i="9" s="1"/>
  <c r="N428" i="9"/>
  <c r="L114" i="9"/>
  <c r="N114" i="9" s="1"/>
  <c r="N116" i="9"/>
  <c r="L52" i="9"/>
  <c r="N54" i="9"/>
  <c r="N247" i="12"/>
  <c r="L244" i="12"/>
  <c r="L275" i="8"/>
  <c r="N275" i="8" s="1"/>
  <c r="N278" i="8"/>
  <c r="L114" i="7"/>
  <c r="N114" i="7" s="1"/>
  <c r="N116" i="7"/>
  <c r="N32" i="7"/>
  <c r="M6" i="7"/>
  <c r="N278" i="6"/>
  <c r="L275" i="6"/>
  <c r="N275" i="6" s="1"/>
  <c r="L185" i="6"/>
  <c r="N185" i="6" s="1"/>
  <c r="N187" i="6"/>
  <c r="N475" i="10"/>
  <c r="L473" i="10"/>
  <c r="N473" i="10" s="1"/>
  <c r="K265" i="8"/>
  <c r="I267" i="8"/>
  <c r="K267" i="8" s="1"/>
  <c r="K325" i="14"/>
  <c r="J311" i="10"/>
  <c r="J297" i="10" s="1"/>
  <c r="K297" i="10" s="1"/>
  <c r="M275" i="7"/>
  <c r="M275" i="1" s="1"/>
  <c r="M278" i="1"/>
  <c r="K473" i="7"/>
  <c r="L52" i="6"/>
  <c r="N54" i="6"/>
  <c r="L426" i="3"/>
  <c r="N426" i="3" s="1"/>
  <c r="N428" i="3"/>
  <c r="L199" i="3"/>
  <c r="N199" i="3" s="1"/>
  <c r="N201" i="3"/>
  <c r="K426" i="2"/>
  <c r="I426" i="1"/>
  <c r="K426" i="1" s="1"/>
  <c r="K21" i="10"/>
  <c r="I10" i="10"/>
  <c r="K10" i="10" s="1"/>
  <c r="N275" i="7"/>
  <c r="N492" i="6"/>
  <c r="L490" i="6"/>
  <c r="N490" i="6" s="1"/>
  <c r="N457" i="7"/>
  <c r="N131" i="7"/>
  <c r="L129" i="7"/>
  <c r="N129" i="7" s="1"/>
  <c r="L275" i="5"/>
  <c r="N275" i="5" s="1"/>
  <c r="N278" i="5"/>
  <c r="L185" i="5"/>
  <c r="N185" i="5" s="1"/>
  <c r="N187" i="5"/>
  <c r="L457" i="4"/>
  <c r="N457" i="4" s="1"/>
  <c r="N459" i="4"/>
  <c r="J311" i="4"/>
  <c r="J297" i="4" s="1"/>
  <c r="K297" i="4" s="1"/>
  <c r="L275" i="4"/>
  <c r="N275" i="4" s="1"/>
  <c r="L278" i="1"/>
  <c r="N278" i="4"/>
  <c r="N247" i="3"/>
  <c r="L244" i="3"/>
  <c r="I169" i="1"/>
  <c r="K169" i="1" s="1"/>
  <c r="J457" i="1"/>
  <c r="L9" i="1"/>
  <c r="N9" i="1" s="1"/>
  <c r="I473" i="1"/>
  <c r="M428" i="1"/>
  <c r="L144" i="3"/>
  <c r="N144" i="3" s="1"/>
  <c r="N146" i="3"/>
  <c r="L146" i="1"/>
  <c r="N146" i="1" s="1"/>
  <c r="L492" i="1"/>
  <c r="L490" i="2"/>
  <c r="N492" i="2"/>
  <c r="L74" i="2"/>
  <c r="N76" i="2"/>
  <c r="L76" i="1"/>
  <c r="N76" i="1" s="1"/>
  <c r="L296" i="4"/>
  <c r="N296" i="4" s="1"/>
  <c r="N299" i="4"/>
  <c r="L214" i="4"/>
  <c r="N214" i="4" s="1"/>
  <c r="N216" i="4"/>
  <c r="L74" i="4"/>
  <c r="N74" i="4" s="1"/>
  <c r="N76" i="4"/>
  <c r="M330" i="2"/>
  <c r="M332" i="1"/>
  <c r="K129" i="2"/>
  <c r="I129" i="1"/>
  <c r="K129" i="1" s="1"/>
  <c r="I68" i="2"/>
  <c r="K21" i="2"/>
  <c r="I10" i="2"/>
  <c r="I21" i="1"/>
  <c r="K21" i="1" s="1"/>
  <c r="M461" i="1"/>
  <c r="N461" i="1" s="1"/>
  <c r="M247" i="1"/>
  <c r="I369" i="1"/>
  <c r="K369" i="1" s="1"/>
  <c r="L228" i="8"/>
  <c r="N228" i="8" s="1"/>
  <c r="N230" i="8"/>
  <c r="L89" i="6"/>
  <c r="N89" i="6" s="1"/>
  <c r="N91" i="6"/>
  <c r="J311" i="5"/>
  <c r="J297" i="5" s="1"/>
  <c r="K297" i="5" s="1"/>
  <c r="K214" i="4"/>
  <c r="I214" i="1"/>
  <c r="K214" i="1" s="1"/>
  <c r="N214" i="2"/>
  <c r="N332" i="6"/>
  <c r="L330" i="6"/>
  <c r="N330" i="6" s="1"/>
  <c r="I244" i="3"/>
  <c r="K244" i="3" s="1"/>
  <c r="K270" i="3"/>
  <c r="L330" i="2"/>
  <c r="N332" i="2"/>
  <c r="L332" i="1"/>
  <c r="L169" i="2"/>
  <c r="N171" i="2"/>
  <c r="L171" i="1"/>
  <c r="N171" i="1" s="1"/>
  <c r="L299" i="1"/>
  <c r="I275" i="1"/>
  <c r="K275" i="1" s="1"/>
  <c r="J359" i="1"/>
  <c r="K359" i="1" s="1"/>
  <c r="J321" i="1"/>
  <c r="K321" i="1" s="1"/>
  <c r="L426" i="18"/>
  <c r="N426" i="18" s="1"/>
  <c r="N428" i="18"/>
  <c r="L330" i="18"/>
  <c r="N332" i="18"/>
  <c r="L275" i="17"/>
  <c r="N275" i="17" s="1"/>
  <c r="N278" i="17"/>
  <c r="N247" i="17"/>
  <c r="L244" i="17"/>
  <c r="N187" i="17"/>
  <c r="L185" i="17"/>
  <c r="N185" i="17" s="1"/>
  <c r="L426" i="16"/>
  <c r="N426" i="16" s="1"/>
  <c r="N428" i="16"/>
  <c r="N116" i="18"/>
  <c r="L114" i="18"/>
  <c r="N114" i="18" s="1"/>
  <c r="L114" i="16"/>
  <c r="N114" i="16" s="1"/>
  <c r="N116" i="16"/>
  <c r="L101" i="14"/>
  <c r="N101" i="14" s="1"/>
  <c r="N103" i="14"/>
  <c r="N299" i="14"/>
  <c r="L296" i="14"/>
  <c r="N296" i="14" s="1"/>
  <c r="K344" i="12"/>
  <c r="I330" i="12"/>
  <c r="K330" i="12" s="1"/>
  <c r="L185" i="11"/>
  <c r="N185" i="11" s="1"/>
  <c r="N187" i="11"/>
  <c r="N459" i="14"/>
  <c r="L457" i="14"/>
  <c r="N457" i="14" s="1"/>
  <c r="N187" i="14"/>
  <c r="L185" i="14"/>
  <c r="N185" i="14" s="1"/>
  <c r="I9" i="14"/>
  <c r="K9" i="14" s="1"/>
  <c r="K20" i="14"/>
  <c r="L426" i="14"/>
  <c r="N426" i="14" s="1"/>
  <c r="N428" i="14"/>
  <c r="N103" i="11"/>
  <c r="L101" i="11"/>
  <c r="N101" i="11" s="1"/>
  <c r="I330" i="9"/>
  <c r="K330" i="9" s="1"/>
  <c r="K344" i="9"/>
  <c r="L89" i="9"/>
  <c r="N89" i="9" s="1"/>
  <c r="N91" i="9"/>
  <c r="L74" i="11"/>
  <c r="N74" i="11" s="1"/>
  <c r="N76" i="11"/>
  <c r="L89" i="7"/>
  <c r="N89" i="7" s="1"/>
  <c r="N91" i="7"/>
  <c r="N299" i="6"/>
  <c r="L296" i="6"/>
  <c r="N296" i="6" s="1"/>
  <c r="N76" i="10"/>
  <c r="L74" i="10"/>
  <c r="N74" i="10" s="1"/>
  <c r="L473" i="9"/>
  <c r="N473" i="9" s="1"/>
  <c r="N475" i="9"/>
  <c r="K344" i="10"/>
  <c r="I330" i="10"/>
  <c r="K330" i="10" s="1"/>
  <c r="N446" i="9"/>
  <c r="L444" i="9"/>
  <c r="N444" i="9" s="1"/>
  <c r="L457" i="10"/>
  <c r="N457" i="10" s="1"/>
  <c r="N459" i="10"/>
  <c r="K270" i="10"/>
  <c r="I244" i="10"/>
  <c r="K244" i="10" s="1"/>
  <c r="N171" i="6"/>
  <c r="L169" i="6"/>
  <c r="N169" i="6" s="1"/>
  <c r="L144" i="4"/>
  <c r="N144" i="4" s="1"/>
  <c r="N146" i="4"/>
  <c r="K344" i="3"/>
  <c r="I330" i="3"/>
  <c r="K330" i="3" s="1"/>
  <c r="K265" i="5"/>
  <c r="I267" i="5"/>
  <c r="K267" i="5" s="1"/>
  <c r="L428" i="1"/>
  <c r="N428" i="1" s="1"/>
  <c r="L426" i="2"/>
  <c r="N428" i="2"/>
  <c r="I377" i="1"/>
  <c r="K377" i="1" s="1"/>
  <c r="K377" i="2"/>
  <c r="L350" i="2"/>
  <c r="L352" i="1"/>
  <c r="N352" i="1" s="1"/>
  <c r="N352" i="2"/>
  <c r="K129" i="6"/>
  <c r="I68" i="6"/>
  <c r="K68" i="6" s="1"/>
  <c r="L444" i="3"/>
  <c r="N444" i="3" s="1"/>
  <c r="N446" i="3"/>
  <c r="K444" i="2"/>
  <c r="I444" i="1"/>
  <c r="K444" i="1" s="1"/>
  <c r="L201" i="1"/>
  <c r="N201" i="1" s="1"/>
  <c r="N201" i="2"/>
  <c r="L199" i="2"/>
  <c r="I360" i="1"/>
  <c r="K360" i="1" s="1"/>
  <c r="L228" i="5"/>
  <c r="N228" i="5" s="1"/>
  <c r="N230" i="5"/>
  <c r="K262" i="2"/>
  <c r="I262" i="1"/>
  <c r="K262" i="1" s="1"/>
  <c r="I32" i="1"/>
  <c r="K32" i="1" s="1"/>
  <c r="L473" i="18"/>
  <c r="N473" i="18" s="1"/>
  <c r="N475" i="18"/>
  <c r="L169" i="18"/>
  <c r="N169" i="18" s="1"/>
  <c r="N171" i="18"/>
  <c r="L490" i="18"/>
  <c r="N490" i="18" s="1"/>
  <c r="N492" i="18"/>
  <c r="L74" i="18"/>
  <c r="N74" i="18" s="1"/>
  <c r="N76" i="18"/>
  <c r="N146" i="18"/>
  <c r="L144" i="18"/>
  <c r="N144" i="18" s="1"/>
  <c r="N475" i="17"/>
  <c r="L473" i="17"/>
  <c r="N473" i="17" s="1"/>
  <c r="L169" i="14"/>
  <c r="N169" i="14" s="1"/>
  <c r="N171" i="14"/>
  <c r="N146" i="16"/>
  <c r="L144" i="16"/>
  <c r="N144" i="16" s="1"/>
  <c r="L296" i="15"/>
  <c r="N296" i="15" s="1"/>
  <c r="N299" i="15"/>
  <c r="L244" i="15"/>
  <c r="N247" i="15"/>
  <c r="L129" i="15"/>
  <c r="N129" i="15" s="1"/>
  <c r="N131" i="15"/>
  <c r="L444" i="15"/>
  <c r="N444" i="15" s="1"/>
  <c r="N446" i="15"/>
  <c r="I244" i="13"/>
  <c r="K244" i="13" s="1"/>
  <c r="K270" i="13"/>
  <c r="I330" i="11"/>
  <c r="K330" i="11" s="1"/>
  <c r="K344" i="11"/>
  <c r="K265" i="13"/>
  <c r="I267" i="13"/>
  <c r="K267" i="13" s="1"/>
  <c r="K21" i="13"/>
  <c r="I10" i="13"/>
  <c r="K10" i="13" s="1"/>
  <c r="K21" i="11"/>
  <c r="I10" i="11"/>
  <c r="K10" i="11" s="1"/>
  <c r="L185" i="13"/>
  <c r="N185" i="13" s="1"/>
  <c r="N187" i="13"/>
  <c r="L444" i="10"/>
  <c r="N444" i="10" s="1"/>
  <c r="N446" i="10"/>
  <c r="L185" i="10"/>
  <c r="N185" i="10" s="1"/>
  <c r="N187" i="10"/>
  <c r="L330" i="9"/>
  <c r="N330" i="9" s="1"/>
  <c r="N332" i="9"/>
  <c r="L457" i="8"/>
  <c r="N457" i="8" s="1"/>
  <c r="N459" i="8"/>
  <c r="N216" i="11"/>
  <c r="L214" i="11"/>
  <c r="N214" i="11" s="1"/>
  <c r="N146" i="9"/>
  <c r="L144" i="9"/>
  <c r="N144" i="9" s="1"/>
  <c r="I244" i="7"/>
  <c r="K244" i="7" s="1"/>
  <c r="K270" i="7"/>
  <c r="L228" i="6"/>
  <c r="N228" i="6" s="1"/>
  <c r="N230" i="6"/>
  <c r="N278" i="11"/>
  <c r="L275" i="11"/>
  <c r="N275" i="11" s="1"/>
  <c r="L129" i="8"/>
  <c r="N129" i="8" s="1"/>
  <c r="N131" i="8"/>
  <c r="L330" i="14"/>
  <c r="N330" i="14" s="1"/>
  <c r="N332" i="14"/>
  <c r="M296" i="7"/>
  <c r="M296" i="1" s="1"/>
  <c r="M299" i="1"/>
  <c r="N146" i="7"/>
  <c r="L144" i="7"/>
  <c r="N144" i="7" s="1"/>
  <c r="L457" i="5"/>
  <c r="N457" i="5" s="1"/>
  <c r="N459" i="5"/>
  <c r="L129" i="5"/>
  <c r="N129" i="5" s="1"/>
  <c r="N131" i="5"/>
  <c r="L129" i="4"/>
  <c r="N129" i="4" s="1"/>
  <c r="N131" i="4"/>
  <c r="L330" i="3"/>
  <c r="N330" i="3" s="1"/>
  <c r="N332" i="3"/>
  <c r="L473" i="2"/>
  <c r="N475" i="2"/>
  <c r="L475" i="1"/>
  <c r="L103" i="1"/>
  <c r="N103" i="1" s="1"/>
  <c r="K20" i="2"/>
  <c r="I9" i="2"/>
  <c r="I20" i="1"/>
  <c r="K20" i="1" s="1"/>
  <c r="J390" i="1"/>
  <c r="K390" i="1" s="1"/>
  <c r="I63" i="1"/>
  <c r="K63" i="1" s="1"/>
  <c r="K63" i="2"/>
  <c r="N428" i="6"/>
  <c r="L426" i="6"/>
  <c r="N426" i="6" s="1"/>
  <c r="I368" i="1"/>
  <c r="K368" i="1" s="1"/>
  <c r="K368" i="4"/>
  <c r="J325" i="1"/>
  <c r="N101" i="3"/>
  <c r="N354" i="1"/>
  <c r="L216" i="1"/>
  <c r="N216" i="1" s="1"/>
  <c r="I101" i="1"/>
  <c r="K101" i="1" s="1"/>
  <c r="M242" i="8"/>
  <c r="K325" i="3"/>
  <c r="N54" i="2"/>
  <c r="L52" i="2"/>
  <c r="L54" i="1"/>
  <c r="N54" i="1" s="1"/>
  <c r="K312" i="7"/>
  <c r="N228" i="2"/>
  <c r="L459" i="1"/>
  <c r="I330" i="18"/>
  <c r="K330" i="18" s="1"/>
  <c r="K344" i="18"/>
  <c r="I144" i="17"/>
  <c r="K144" i="17" s="1"/>
  <c r="K149" i="17"/>
  <c r="N216" i="18"/>
  <c r="L214" i="18"/>
  <c r="N214" i="18" s="1"/>
  <c r="N9" i="18"/>
  <c r="I244" i="17"/>
  <c r="K244" i="17" s="1"/>
  <c r="K270" i="17"/>
  <c r="N428" i="17"/>
  <c r="L426" i="17"/>
  <c r="N426" i="17" s="1"/>
  <c r="L330" i="16"/>
  <c r="N330" i="16" s="1"/>
  <c r="N332" i="16"/>
  <c r="L52" i="16"/>
  <c r="N54" i="16"/>
  <c r="L114" i="14"/>
  <c r="N114" i="14" s="1"/>
  <c r="N116" i="14"/>
  <c r="L169" i="16"/>
  <c r="N169" i="16" s="1"/>
  <c r="N171" i="16"/>
  <c r="L457" i="15"/>
  <c r="N457" i="15" s="1"/>
  <c r="N459" i="15"/>
  <c r="L275" i="15"/>
  <c r="N275" i="15" s="1"/>
  <c r="N278" i="15"/>
  <c r="L444" i="14"/>
  <c r="N444" i="14" s="1"/>
  <c r="N446" i="14"/>
  <c r="I144" i="16"/>
  <c r="K144" i="16" s="1"/>
  <c r="K149" i="16"/>
  <c r="L89" i="16"/>
  <c r="N89" i="16" s="1"/>
  <c r="N91" i="16"/>
  <c r="K359" i="16"/>
  <c r="J350" i="16"/>
  <c r="K350" i="16" s="1"/>
  <c r="K265" i="15"/>
  <c r="I267" i="15"/>
  <c r="K267" i="15" s="1"/>
  <c r="L350" i="12"/>
  <c r="N350" i="12" s="1"/>
  <c r="N352" i="12"/>
  <c r="I144" i="12"/>
  <c r="K144" i="12" s="1"/>
  <c r="K149" i="12"/>
  <c r="L52" i="12"/>
  <c r="N52" i="12" s="1"/>
  <c r="N54" i="12"/>
  <c r="L228" i="11"/>
  <c r="N228" i="11" s="1"/>
  <c r="N230" i="11"/>
  <c r="K344" i="15"/>
  <c r="I330" i="15"/>
  <c r="K330" i="15" s="1"/>
  <c r="K344" i="14"/>
  <c r="I330" i="14"/>
  <c r="K330" i="14" s="1"/>
  <c r="N76" i="15"/>
  <c r="L74" i="15"/>
  <c r="N74" i="15" s="1"/>
  <c r="L74" i="13"/>
  <c r="N74" i="13" s="1"/>
  <c r="N76" i="13"/>
  <c r="N459" i="11"/>
  <c r="I9" i="12"/>
  <c r="K9" i="12" s="1"/>
  <c r="K20" i="12"/>
  <c r="L444" i="12"/>
  <c r="N444" i="12" s="1"/>
  <c r="N446" i="12"/>
  <c r="N171" i="13"/>
  <c r="L169" i="13"/>
  <c r="N169" i="13" s="1"/>
  <c r="L490" i="12"/>
  <c r="N490" i="12" s="1"/>
  <c r="N492" i="12"/>
  <c r="L350" i="11"/>
  <c r="N350" i="11" s="1"/>
  <c r="N352" i="11"/>
  <c r="L228" i="10"/>
  <c r="N228" i="10" s="1"/>
  <c r="N230" i="10"/>
  <c r="L350" i="9"/>
  <c r="N350" i="9" s="1"/>
  <c r="N352" i="9"/>
  <c r="L169" i="9"/>
  <c r="N169" i="9" s="1"/>
  <c r="N171" i="9"/>
  <c r="L101" i="9"/>
  <c r="N101" i="9" s="1"/>
  <c r="N103" i="9"/>
  <c r="L296" i="8"/>
  <c r="N296" i="8" s="1"/>
  <c r="N299" i="8"/>
  <c r="N278" i="14"/>
  <c r="L275" i="14"/>
  <c r="N275" i="14" s="1"/>
  <c r="J490" i="12"/>
  <c r="K490" i="12" s="1"/>
  <c r="K504" i="12"/>
  <c r="J504" i="1"/>
  <c r="L330" i="11"/>
  <c r="N330" i="11" s="1"/>
  <c r="N332" i="11"/>
  <c r="K265" i="10"/>
  <c r="I267" i="10"/>
  <c r="K267" i="10" s="1"/>
  <c r="I9" i="9"/>
  <c r="K9" i="9" s="1"/>
  <c r="K20" i="9"/>
  <c r="L473" i="7"/>
  <c r="N473" i="7" s="1"/>
  <c r="N475" i="7"/>
  <c r="L101" i="7"/>
  <c r="N101" i="7" s="1"/>
  <c r="N103" i="7"/>
  <c r="K245" i="8"/>
  <c r="L185" i="8"/>
  <c r="N185" i="8" s="1"/>
  <c r="N187" i="8"/>
  <c r="N187" i="12"/>
  <c r="L185" i="12"/>
  <c r="N185" i="12" s="1"/>
  <c r="N492" i="11"/>
  <c r="L490" i="11"/>
  <c r="N490" i="11" s="1"/>
  <c r="K312" i="10"/>
  <c r="M490" i="9"/>
  <c r="M490" i="1" s="1"/>
  <c r="M492" i="1"/>
  <c r="J311" i="8"/>
  <c r="J297" i="8" s="1"/>
  <c r="K297" i="8" s="1"/>
  <c r="N459" i="7"/>
  <c r="N9" i="7"/>
  <c r="N216" i="6"/>
  <c r="L214" i="6"/>
  <c r="N214" i="6" s="1"/>
  <c r="L114" i="6"/>
  <c r="N114" i="6" s="1"/>
  <c r="N116" i="6"/>
  <c r="L444" i="4"/>
  <c r="N444" i="4" s="1"/>
  <c r="N446" i="4"/>
  <c r="L350" i="3"/>
  <c r="N350" i="3" s="1"/>
  <c r="N352" i="3"/>
  <c r="L185" i="3"/>
  <c r="N187" i="3"/>
  <c r="L187" i="1"/>
  <c r="N187" i="1" s="1"/>
  <c r="I244" i="2"/>
  <c r="K270" i="2"/>
  <c r="I270" i="1"/>
  <c r="K270" i="1" s="1"/>
  <c r="N278" i="7"/>
  <c r="N91" i="8"/>
  <c r="L89" i="8"/>
  <c r="N89" i="8" s="1"/>
  <c r="L296" i="5"/>
  <c r="N296" i="5" s="1"/>
  <c r="N299" i="5"/>
  <c r="L244" i="5"/>
  <c r="N247" i="5"/>
  <c r="L244" i="4"/>
  <c r="N247" i="4"/>
  <c r="I10" i="3"/>
  <c r="K10" i="3" s="1"/>
  <c r="K21" i="3"/>
  <c r="I350" i="1"/>
  <c r="I149" i="1"/>
  <c r="K149" i="1" s="1"/>
  <c r="I144" i="2"/>
  <c r="K149" i="2"/>
  <c r="M74" i="1"/>
  <c r="M9" i="1"/>
  <c r="I185" i="1"/>
  <c r="K185" i="1" s="1"/>
  <c r="N492" i="17"/>
  <c r="L490" i="17"/>
  <c r="N490" i="17" s="1"/>
  <c r="L74" i="5"/>
  <c r="N74" i="5" s="1"/>
  <c r="N76" i="5"/>
  <c r="N446" i="7"/>
  <c r="L444" i="7"/>
  <c r="N444" i="7" s="1"/>
  <c r="N91" i="5"/>
  <c r="L89" i="5"/>
  <c r="N89" i="5" s="1"/>
  <c r="J350" i="1"/>
  <c r="N76" i="3"/>
  <c r="L74" i="3"/>
  <c r="N74" i="3" s="1"/>
  <c r="I330" i="2"/>
  <c r="I344" i="1"/>
  <c r="K344" i="1" s="1"/>
  <c r="K344" i="2"/>
  <c r="K228" i="2"/>
  <c r="I228" i="1"/>
  <c r="L114" i="2"/>
  <c r="L116" i="1"/>
  <c r="N116" i="1" s="1"/>
  <c r="N116" i="2"/>
  <c r="M459" i="1"/>
  <c r="K391" i="1"/>
  <c r="I89" i="1"/>
  <c r="K89" i="1" s="1"/>
  <c r="N352" i="6"/>
  <c r="L350" i="6"/>
  <c r="N350" i="6" s="1"/>
  <c r="L228" i="4"/>
  <c r="N228" i="4" s="1"/>
  <c r="N230" i="4"/>
  <c r="L230" i="1"/>
  <c r="N230" i="1" s="1"/>
  <c r="L169" i="4"/>
  <c r="N169" i="4" s="1"/>
  <c r="N171" i="4"/>
  <c r="J311" i="3"/>
  <c r="J297" i="3" s="1"/>
  <c r="K297" i="3" s="1"/>
  <c r="N114" i="3"/>
  <c r="J311" i="2"/>
  <c r="K312" i="2"/>
  <c r="J312" i="1"/>
  <c r="K312" i="1" s="1"/>
  <c r="I114" i="1"/>
  <c r="K114" i="1" s="1"/>
  <c r="K114" i="2"/>
  <c r="L73" i="1"/>
  <c r="N73" i="1" s="1"/>
  <c r="I296" i="1"/>
  <c r="K296" i="1" s="1"/>
  <c r="J316" i="1"/>
  <c r="K316" i="1" s="1"/>
  <c r="L68" i="2" l="1"/>
  <c r="N68" i="2" s="1"/>
  <c r="L68" i="14"/>
  <c r="N68" i="14" s="1"/>
  <c r="N71" i="5"/>
  <c r="N71" i="3"/>
  <c r="N71" i="17"/>
  <c r="L68" i="13"/>
  <c r="N68" i="13" s="1"/>
  <c r="N71" i="4"/>
  <c r="N71" i="11"/>
  <c r="K311" i="14"/>
  <c r="K311" i="9"/>
  <c r="N71" i="8"/>
  <c r="K473" i="1"/>
  <c r="K311" i="11"/>
  <c r="N71" i="7"/>
  <c r="K228" i="1"/>
  <c r="J297" i="6"/>
  <c r="K297" i="6" s="1"/>
  <c r="K311" i="6"/>
  <c r="N71" i="10"/>
  <c r="N446" i="1"/>
  <c r="K311" i="7"/>
  <c r="K311" i="18"/>
  <c r="K311" i="10"/>
  <c r="K311" i="13"/>
  <c r="K311" i="16"/>
  <c r="K311" i="3"/>
  <c r="L6" i="10"/>
  <c r="N6" i="10" s="1"/>
  <c r="J297" i="12"/>
  <c r="K297" i="12" s="1"/>
  <c r="K311" i="12"/>
  <c r="L242" i="2"/>
  <c r="K311" i="15"/>
  <c r="N71" i="9"/>
  <c r="L68" i="9"/>
  <c r="N68" i="9" s="1"/>
  <c r="N71" i="16"/>
  <c r="L68" i="16"/>
  <c r="N68" i="16" s="1"/>
  <c r="L114" i="1"/>
  <c r="N114" i="1" s="1"/>
  <c r="N114" i="2"/>
  <c r="L101" i="1"/>
  <c r="N101" i="1" s="1"/>
  <c r="N71" i="6"/>
  <c r="L68" i="6"/>
  <c r="N68" i="6" s="1"/>
  <c r="N244" i="8"/>
  <c r="L242" i="8"/>
  <c r="N242" i="8" s="1"/>
  <c r="N52" i="17"/>
  <c r="L6" i="17"/>
  <c r="N6" i="17" s="1"/>
  <c r="N52" i="14"/>
  <c r="L144" i="1"/>
  <c r="N144" i="1" s="1"/>
  <c r="K144" i="2"/>
  <c r="I144" i="1"/>
  <c r="K144" i="1" s="1"/>
  <c r="N244" i="3"/>
  <c r="L242" i="3"/>
  <c r="N242" i="3" s="1"/>
  <c r="L244" i="1"/>
  <c r="N244" i="1" s="1"/>
  <c r="L275" i="1"/>
  <c r="N275" i="1" s="1"/>
  <c r="L68" i="15"/>
  <c r="N71" i="15"/>
  <c r="N244" i="5"/>
  <c r="L242" i="5"/>
  <c r="N185" i="3"/>
  <c r="L185" i="1"/>
  <c r="N185" i="1" s="1"/>
  <c r="N52" i="16"/>
  <c r="J490" i="1"/>
  <c r="N244" i="15"/>
  <c r="L242" i="15"/>
  <c r="N242" i="15" s="1"/>
  <c r="L169" i="1"/>
  <c r="N169" i="1" s="1"/>
  <c r="N169" i="2"/>
  <c r="L214" i="1"/>
  <c r="N214" i="1" s="1"/>
  <c r="L89" i="1"/>
  <c r="N89" i="1" s="1"/>
  <c r="L490" i="1"/>
  <c r="N490" i="1" s="1"/>
  <c r="N490" i="2"/>
  <c r="N244" i="12"/>
  <c r="L242" i="12"/>
  <c r="N242" i="12" s="1"/>
  <c r="N52" i="9"/>
  <c r="N244" i="10"/>
  <c r="L242" i="10"/>
  <c r="N242" i="10" s="1"/>
  <c r="J297" i="17"/>
  <c r="K297" i="17" s="1"/>
  <c r="K311" i="17"/>
  <c r="M6" i="1"/>
  <c r="K325" i="1"/>
  <c r="N247" i="1"/>
  <c r="M242" i="5"/>
  <c r="M473" i="1"/>
  <c r="N473" i="5"/>
  <c r="L6" i="3"/>
  <c r="N6" i="3" s="1"/>
  <c r="K311" i="5"/>
  <c r="N244" i="6"/>
  <c r="L242" i="6"/>
  <c r="N242" i="6" s="1"/>
  <c r="N490" i="9"/>
  <c r="L242" i="17"/>
  <c r="N242" i="17" s="1"/>
  <c r="N244" i="17"/>
  <c r="L74" i="1"/>
  <c r="N74" i="1" s="1"/>
  <c r="N74" i="2"/>
  <c r="K311" i="8"/>
  <c r="K267" i="4"/>
  <c r="I267" i="1"/>
  <c r="K267" i="1" s="1"/>
  <c r="J311" i="1"/>
  <c r="K311" i="1" s="1"/>
  <c r="J297" i="2"/>
  <c r="K311" i="2"/>
  <c r="I330" i="1"/>
  <c r="K330" i="1" s="1"/>
  <c r="K330" i="2"/>
  <c r="L296" i="1"/>
  <c r="N296" i="1" s="1"/>
  <c r="L228" i="1"/>
  <c r="N228" i="1" s="1"/>
  <c r="L473" i="1"/>
  <c r="N473" i="1" s="1"/>
  <c r="N473" i="2"/>
  <c r="L242" i="16"/>
  <c r="N242" i="16" s="1"/>
  <c r="L444" i="1"/>
  <c r="N444" i="1" s="1"/>
  <c r="N199" i="2"/>
  <c r="L199" i="1"/>
  <c r="N199" i="1" s="1"/>
  <c r="L350" i="1"/>
  <c r="N350" i="1" s="1"/>
  <c r="N350" i="2"/>
  <c r="L426" i="1"/>
  <c r="N426" i="1" s="1"/>
  <c r="N426" i="2"/>
  <c r="N330" i="18"/>
  <c r="L242" i="18"/>
  <c r="N242" i="18" s="1"/>
  <c r="N299" i="1"/>
  <c r="N330" i="2"/>
  <c r="L330" i="1"/>
  <c r="K68" i="2"/>
  <c r="I68" i="1"/>
  <c r="K68" i="1" s="1"/>
  <c r="M330" i="1"/>
  <c r="M242" i="2"/>
  <c r="L6" i="8"/>
  <c r="N6" i="8" s="1"/>
  <c r="N244" i="11"/>
  <c r="L242" i="11"/>
  <c r="N242" i="11" s="1"/>
  <c r="K350" i="1"/>
  <c r="N244" i="4"/>
  <c r="L242" i="4"/>
  <c r="N242" i="4" s="1"/>
  <c r="K244" i="2"/>
  <c r="I244" i="1"/>
  <c r="K244" i="1" s="1"/>
  <c r="L6" i="7"/>
  <c r="N6" i="7" s="1"/>
  <c r="M242" i="7"/>
  <c r="L6" i="18"/>
  <c r="N6" i="18" s="1"/>
  <c r="N459" i="1"/>
  <c r="N52" i="2"/>
  <c r="L52" i="1"/>
  <c r="N52" i="1" s="1"/>
  <c r="K9" i="2"/>
  <c r="I9" i="1"/>
  <c r="K9" i="1" s="1"/>
  <c r="N475" i="1"/>
  <c r="L71" i="1"/>
  <c r="N71" i="1" s="1"/>
  <c r="K311" i="4"/>
  <c r="L6" i="5"/>
  <c r="N6" i="5" s="1"/>
  <c r="L457" i="1"/>
  <c r="N457" i="1" s="1"/>
  <c r="N332" i="1"/>
  <c r="K10" i="2"/>
  <c r="I10" i="1"/>
  <c r="K10" i="1" s="1"/>
  <c r="N492" i="1"/>
  <c r="N278" i="1"/>
  <c r="N68" i="4"/>
  <c r="L6" i="4"/>
  <c r="N6" i="4" s="1"/>
  <c r="N52" i="6"/>
  <c r="N71" i="12"/>
  <c r="L68" i="12"/>
  <c r="L242" i="14"/>
  <c r="N242" i="14" s="1"/>
  <c r="N244" i="14"/>
  <c r="K457" i="1"/>
  <c r="L242" i="7"/>
  <c r="L242" i="9"/>
  <c r="N242" i="9" s="1"/>
  <c r="N129" i="3"/>
  <c r="L129" i="1"/>
  <c r="N129" i="1" s="1"/>
  <c r="K490" i="1"/>
  <c r="N52" i="11"/>
  <c r="L6" i="11"/>
  <c r="N6" i="11" s="1"/>
  <c r="N244" i="13"/>
  <c r="L242" i="13"/>
  <c r="N242" i="13" s="1"/>
  <c r="L6" i="2" l="1"/>
  <c r="N6" i="2" s="1"/>
  <c r="L6" i="14"/>
  <c r="N6" i="14" s="1"/>
  <c r="L6" i="13"/>
  <c r="N6" i="13" s="1"/>
  <c r="L6" i="9"/>
  <c r="N6" i="9" s="1"/>
  <c r="L6" i="16"/>
  <c r="N6" i="16" s="1"/>
  <c r="L6" i="6"/>
  <c r="N6" i="6" s="1"/>
  <c r="L68" i="1"/>
  <c r="N68" i="1" s="1"/>
  <c r="N68" i="15"/>
  <c r="L6" i="15"/>
  <c r="N6" i="15" s="1"/>
  <c r="N242" i="7"/>
  <c r="N242" i="5"/>
  <c r="L242" i="1"/>
  <c r="N242" i="1" s="1"/>
  <c r="N68" i="12"/>
  <c r="L6" i="12"/>
  <c r="N6" i="12" s="1"/>
  <c r="M242" i="1"/>
  <c r="N330" i="1"/>
  <c r="J297" i="1"/>
  <c r="K297" i="1" s="1"/>
  <c r="K297" i="2"/>
  <c r="N242" i="2"/>
  <c r="L6" i="1" l="1"/>
  <c r="N6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L137" authorId="0" shapeId="0" xr:uid="{00000000-0006-0000-0600-000001000000}">
      <text>
        <r>
          <rPr>
            <sz val="11"/>
            <color theme="1"/>
            <rFont val="Arial"/>
          </rPr>
          <t>รวมงบอบรม</t>
        </r>
      </text>
    </comment>
    <comment ref="L138" authorId="0" shapeId="0" xr:uid="{00000000-0006-0000-0600-000002000000}">
      <text>
        <r>
          <rPr>
            <sz val="11"/>
            <color theme="1"/>
            <rFont val="Arial"/>
          </rPr>
          <t>ภูฟ้า</t>
        </r>
      </text>
    </comment>
    <comment ref="L139" authorId="0" shapeId="0" xr:uid="{00000000-0006-0000-0600-000003000000}">
      <text>
        <r>
          <rPr>
            <sz val="11"/>
            <color theme="1"/>
            <rFont val="Arial"/>
          </rPr>
          <t>ปิดทอง</t>
        </r>
      </text>
    </comment>
  </commentList>
</comments>
</file>

<file path=xl/sharedStrings.xml><?xml version="1.0" encoding="utf-8"?>
<sst xmlns="http://schemas.openxmlformats.org/spreadsheetml/2006/main" count="17999" uniqueCount="251">
  <si>
    <t>รายละเอียดแผนงาน/โครงการ ผลผลิต/กิจกรรม ปีงบประมาณ พ.ศ. 2565</t>
  </si>
  <si>
    <t>ภาคเหนือ</t>
  </si>
  <si>
    <t>ใส่ข้อมูลปริมาณ
 ตามหน่วย</t>
  </si>
  <si>
    <t>ใส่ข้อมูล</t>
  </si>
  <si>
    <t>แผนงาน/โครงการ/กิจกรรม</t>
  </si>
  <si>
    <t>หน่วย</t>
  </si>
  <si>
    <t>แผนงาน</t>
  </si>
  <si>
    <t>ผลงาน</t>
  </si>
  <si>
    <t>ร้อยละ</t>
  </si>
  <si>
    <t>งบประมาณ 
(บาท)</t>
  </si>
  <si>
    <t>ผลการเบิกจ่าย
(บาท)</t>
  </si>
  <si>
    <t>งบประมาณตาม พรบ.งบประมาณ 2565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</si>
  <si>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</si>
  <si>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</si>
  <si>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</si>
  <si>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</si>
  <si>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</si>
  <si>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>◾</t>
  </si>
  <si>
    <t>งบประมาณ</t>
  </si>
  <si>
    <t xml:space="preserve"> - ส.ป.ก.ส่วนกลาง </t>
  </si>
  <si>
    <t>บาท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</si>
  <si>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</si>
  <si>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</si>
  <si>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</si>
  <si>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</si>
  <si>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</si>
  <si>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</si>
  <si>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</si>
  <si>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</si>
  <si>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</si>
  <si>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</si>
  <si>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</si>
  <si>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</si>
  <si>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</si>
  <si>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</si>
  <si>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</si>
  <si>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</si>
  <si>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</si>
  <si>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</si>
  <si>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</si>
  <si>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</si>
  <si>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(การจัดทำฐานข้อมูลสมุนไพรและแผนการผลิตตามความต้องการตลาด)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</si>
  <si>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</si>
  <si>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</si>
  <si>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</si>
  <si>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</si>
  <si>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การส่งเสริมด้านการตลาดผลิตภัณฑ์สมุนไพร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</si>
  <si>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</si>
  <si>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</si>
  <si>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</si>
  <si>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</si>
  <si>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</si>
  <si>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</si>
  <si>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</si>
  <si>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</si>
  <si>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</si>
  <si>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</si>
  <si>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</si>
  <si>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</si>
  <si>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</si>
  <si>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</si>
  <si>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</si>
  <si>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</si>
  <si>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</si>
  <si>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</si>
  <si>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</si>
  <si>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</si>
  <si>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</si>
  <si>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</si>
  <si>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</si>
  <si>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</si>
  <si>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</si>
  <si>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</si>
  <si>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</si>
  <si>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</si>
  <si>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</si>
  <si>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</si>
  <si>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</si>
  <si>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</si>
  <si>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</si>
  <si>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 - อบรมเกษตรกร (แผนพรบ. 800 แผนปฏิบัติการ 940)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</si>
  <si>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</si>
  <si>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</si>
  <si>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</si>
  <si>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</si>
  <si>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</si>
  <si>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</si>
  <si>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</si>
  <si>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</si>
  <si>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</si>
  <si>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</si>
  <si>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</si>
  <si>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</si>
  <si>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</si>
  <si>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</si>
  <si>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</si>
  <si>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</si>
  <si>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</si>
  <si>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</si>
  <si>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</si>
  <si>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</si>
  <si>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</si>
  <si>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</si>
  <si>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</si>
  <si>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</si>
  <si>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</si>
  <si>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</si>
  <si>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</si>
  <si>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</si>
  <si>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</si>
  <si>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</si>
  <si>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</si>
  <si>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</si>
  <si>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</si>
  <si>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</si>
  <si>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</si>
  <si>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</si>
  <si>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</si>
  <si>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</si>
  <si>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</si>
  <si>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 xml:space="preserve">      - ครั้งที่ 1 (อบรมรายละ 2 หลักสูตร)</t>
  </si>
  <si>
    <t xml:space="preserve">      - ครั้งที่ 2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</si>
  <si>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</si>
  <si>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</si>
  <si>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</si>
  <si>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</si>
  <si>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</si>
  <si>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</si>
  <si>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</si>
  <si>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</si>
  <si>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</si>
  <si>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</si>
  <si>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</si>
  <si>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</si>
  <si>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</si>
  <si>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</si>
  <si>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</si>
  <si>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</si>
  <si>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</si>
  <si>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</si>
  <si>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</si>
  <si>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</si>
  <si>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</si>
  <si>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</si>
  <si>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</si>
  <si>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</si>
  <si>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</si>
  <si>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</si>
  <si>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</si>
  <si>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</si>
  <si>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</si>
  <si>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</si>
  <si>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</si>
  <si>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</si>
  <si>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</si>
  <si>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</si>
  <si>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</si>
  <si>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</si>
  <si>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</si>
  <si>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</si>
  <si>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</si>
  <si>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</si>
  <si>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</si>
  <si>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</si>
  <si>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</si>
  <si>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</si>
  <si>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</si>
  <si>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</si>
  <si>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</si>
  <si>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</si>
  <si>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</si>
  <si>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</si>
  <si>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3. กรณีอื่นๆ ( เช่น พื้นที่นอกเขตฯ ฐานข้อมูลลคลาดเคลื่อน)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</si>
  <si>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</si>
  <si>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</si>
  <si>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</si>
  <si>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</si>
  <si>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</si>
  <si>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</si>
  <si>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</si>
  <si>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</si>
  <si>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</si>
  <si>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</si>
  <si>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</si>
  <si>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</si>
  <si>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</si>
  <si>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</si>
  <si>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</si>
  <si>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</si>
  <si>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</si>
  <si>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</si>
  <si>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</si>
  <si>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</si>
  <si>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</si>
  <si>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</si>
  <si>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</si>
  <si>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</si>
  <si>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</si>
  <si>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</si>
  <si>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</si>
  <si>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</si>
  <si>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</si>
  <si>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</si>
  <si>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</si>
  <si>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</si>
  <si>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</si>
  <si>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</si>
  <si>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</si>
  <si>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</si>
  <si>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</si>
  <si>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</si>
  <si>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</si>
  <si>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 (ข้อมูลจาก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</si>
  <si>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</si>
  <si>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</si>
  <si>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</si>
  <si>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</si>
  <si>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* เป็นโครงการที่มีงบลงทุนอยู่ในกิจกรรมตาม พรบ.</t>
  </si>
  <si>
    <t>สำนักงานการปฏิรูปที่ดินจังหวัด กำแพงเพชร</t>
  </si>
  <si>
    <t>- ครั้งที่ 1 (อบรมรายละ 2 หลักสูตร)</t>
  </si>
  <si>
    <t>- ครั้งที่ 2</t>
  </si>
  <si>
    <t xml:space="preserve"> - หลักสูตรการสร้างความเข้มแข็งและพัฒธุรกิจของสหกรณ์การเกษตรในเขตปฏิรูปที่ดิน  โดย ส.ป.ก.จังหวัด</t>
  </si>
  <si>
    <t>3. กรณีอื่นๆ ( เช่น พื้นที่นอกเขตฯ ฐานข้อมูลคลาดเคลื่อน)</t>
  </si>
  <si>
    <t xml:space="preserve">โครงการศูนย์บริการประชาชนในเขตปฏิรูปที่ดินเพื่อเกษตรกรรม* </t>
  </si>
  <si>
    <t>สำนักงานการปฏิรูปที่ดินจังหวัด เชียงราย</t>
  </si>
  <si>
    <t xml:space="preserve"> 3. กรณีอื่นๆ ( เช่น พื้นที่นอกเขตฯ ฐานข้อมูลคลาดเคลื่อน)</t>
  </si>
  <si>
    <t>สำนักงานการปฏิรูปที่ดินจังหวัด เชียงใหม่</t>
  </si>
  <si>
    <t>1. การเตรียมการ (การจัดทำฐานข้อมูลสมุนไพรและแผนการผลิตคามความต้องการตลาด)</t>
  </si>
  <si>
    <t>(5) โครงการธนาคารอาหารชุมชน (เกษตรวิชญา) ตำบลโป่งแยง อำเภอแม่ริม จังหวัดเชียงใหม่</t>
  </si>
  <si>
    <t>- หลักสูตรการสร้างความเข้มแข็งและพัฒธุรกิจของสหกรณ์การเกษตรในเขตปฏิรูปที่ดิน โดย ส.ป.ก.จังหวัด</t>
  </si>
  <si>
    <t>สำนักงานการปฏิรูปที่ดินจังหวัด ตาก</t>
  </si>
  <si>
    <t>สำนักงานการปฏิรูปที่ดินจังหวัด นครสวรรค์</t>
  </si>
  <si>
    <t>สำนักงานการปฏิรูปที่ดินจังหวัด น่าน</t>
  </si>
  <si>
    <t>(5) โครงการศูนย์ภูฟ้าพัฒนา  40 ราย / โครงการปิดทองหลังพระสืบสานแนวพระราชดำริ 50 ราย</t>
  </si>
  <si>
    <t>สำนักงานการปฏิรูปที่ดินจังหวัด พะเยา</t>
  </si>
  <si>
    <t>(5) โครงการศูนย์เรียนรู้การพัฒนาเกษตรอ่างเก็บน้ำห้วยไฟอันเนื่องมาจากพระราชดำริ จังหวัดพะเยา</t>
  </si>
  <si>
    <t>สำนักงานการปฏิรูปที่ดินจังหวัด พิจิตร</t>
  </si>
  <si>
    <t>สำนักงานการปฏิรูปที่ดินจังหวัด พิษณุโลก</t>
  </si>
  <si>
    <t>สำนักงานการปฏิรูปที่ดินจังหวัด เพชรบูรณ์</t>
  </si>
  <si>
    <t>3. กรณีอื่นๆ ( เช่น พื้นที่นอกเขตฯ ฐานข้อมูล,คลาดเคลื่อน)</t>
  </si>
  <si>
    <t>สำนักงานการปฏิรูปที่ดินจังหวัด แพร่</t>
  </si>
  <si>
    <t>สำนักงานการปฏิรูปที่ดินจังหวัด แม่ฮ่องสอน</t>
  </si>
  <si>
    <t xml:space="preserve"> - หลักสูตรการสร้างความเข้มแข็งและพัฒธุรกิจของสหกรณ์การเกษตรในเขตปฏิรูปที่ดิน</t>
  </si>
  <si>
    <t>สำนักงานการปฏิรูปที่ดินจังหวัด ลำปาง</t>
  </si>
  <si>
    <t>สำนักงานการปฏิรูปที่ดินจังหวัด ลำพูน</t>
  </si>
  <si>
    <t>(5) โครงการพัฒนาพื้นที่ลุ่มน้ำแม่อาวอันเนื่องมาจากพระราชดำริ จังหวัดลำพูน</t>
  </si>
  <si>
    <t>สำนักงานการปฏิรูปที่ดินจังหวัด สุโขทัย</t>
  </si>
  <si>
    <t>สำนักงานการปฏิรูปที่ดินจังหวัด อุตรดิตถ์</t>
  </si>
  <si>
    <t>สำนักงานการปฏิรูปที่ดินจังหวัด อุทัยธานี</t>
  </si>
  <si>
    <t>ข้อมูล ณ วันที่ 15 ธันวาคม 2564</t>
  </si>
  <si>
    <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TH SarabunPSK"/>
        <family val="2"/>
      </rPr>
      <t>ท่านั้น</t>
    </r>
    <r>
      <rPr>
        <b/>
        <u/>
        <sz val="15"/>
        <color theme="1"/>
        <rFont val="TH SarabunPSK"/>
        <family val="2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</si>
</sst>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</numFmts>
  <fonts count="17" x14ac:knownFonts="1">
    <font>
      <sz val="11"/>
      <color theme="1"/>
      <name val="Arial"/>
    </font>
    <font>
      <b/>
      <sz val="15"/>
      <color theme="1"/>
      <name val="TH SarabunPSK"/>
      <family val="2"/>
    </font>
    <font>
      <sz val="11"/>
      <color theme="1"/>
      <name val="TH SarabunPSK"/>
      <family val="2"/>
    </font>
    <font>
      <sz val="10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0"/>
      <name val="TH SarabunPSK"/>
      <family val="2"/>
    </font>
    <font>
      <b/>
      <u/>
      <sz val="15"/>
      <color theme="1"/>
      <name val="TH SarabunPSK"/>
      <family val="2"/>
    </font>
    <font>
      <b/>
      <u/>
      <sz val="15"/>
      <color rgb="FFCC4125"/>
      <name val="TH SarabunPSK"/>
      <family val="2"/>
    </font>
    <font>
      <sz val="15"/>
      <color rgb="FFC00000"/>
      <name val="TH SarabunPSK"/>
      <family val="2"/>
    </font>
    <font>
      <sz val="15"/>
      <color theme="0"/>
      <name val="TH SarabunPSK"/>
      <family val="2"/>
    </font>
    <font>
      <sz val="15"/>
      <color rgb="FFFF0000"/>
      <name val="TH SarabunPSK"/>
      <family val="2"/>
    </font>
    <font>
      <sz val="9"/>
      <color theme="1"/>
      <name val="TH SarabunPSK"/>
      <family val="2"/>
    </font>
    <font>
      <sz val="14"/>
      <color theme="1"/>
      <name val="TH SarabunPSK"/>
      <family val="2"/>
    </font>
    <font>
      <sz val="15"/>
      <color rgb="FF666666"/>
      <name val="TH SarabunPSK"/>
      <family val="2"/>
    </font>
    <font>
      <b/>
      <sz val="14"/>
      <color theme="1"/>
      <name val="TH SarabunPSK"/>
      <family val="2"/>
    </font>
    <font>
      <b/>
      <sz val="16"/>
      <color theme="0"/>
      <name val="TH SarabunPSK"/>
      <family val="2"/>
    </font>
    <font>
      <sz val="16"/>
      <name val="TH SarabunPSK"/>
      <family val="2"/>
    </font>
  </fonts>
  <fills count="25">
    <fill>
      <patternFill patternType="none"/>
    </fill>
    <fill>
      <patternFill patternType="gray125"/>
    </fill>
    <fill>
      <patternFill patternType="solid">
        <fgColor rgb="FFFCFAB0"/>
        <bgColor rgb="FFFCFAB0"/>
      </patternFill>
    </fill>
    <fill>
      <patternFill patternType="solid">
        <fgColor theme="0"/>
        <bgColor theme="0"/>
      </patternFill>
    </fill>
    <fill>
      <patternFill patternType="solid">
        <fgColor rgb="FFFAE6F6"/>
        <bgColor rgb="FFFAE6F6"/>
      </patternFill>
    </fill>
    <fill>
      <patternFill patternType="solid">
        <fgColor rgb="FF548135"/>
        <bgColor rgb="FF548135"/>
      </patternFill>
    </fill>
    <fill>
      <patternFill patternType="solid">
        <fgColor rgb="FFFFE598"/>
        <bgColor rgb="FFFFE598"/>
      </patternFill>
    </fill>
    <fill>
      <patternFill patternType="solid">
        <fgColor rgb="FFDADADA"/>
        <bgColor rgb="FFDADADA"/>
      </patternFill>
    </fill>
    <fill>
      <patternFill patternType="solid">
        <fgColor rgb="FFFFFF00"/>
        <bgColor rgb="FFFFFF00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D9E2F3"/>
        <bgColor rgb="FFD9E2F3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A8D08D"/>
        <bgColor rgb="FFA8D08D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FFFFFF"/>
        <bgColor rgb="FFFFFFFF"/>
      </patternFill>
    </fill>
    <fill>
      <patternFill patternType="solid">
        <fgColor rgb="FFFFF2CC"/>
        <bgColor rgb="FFFFF2CC"/>
      </patternFill>
    </fill>
  </fills>
  <borders count="5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theme="1"/>
      </right>
      <top style="thin">
        <color rgb="FF000000"/>
      </top>
      <bottom style="thin">
        <color rgb="FF000000"/>
      </bottom>
      <diagonal/>
    </border>
    <border>
      <left style="thin">
        <color theme="1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theme="1"/>
      </left>
      <right style="thin">
        <color theme="1"/>
      </right>
      <top style="thin">
        <color rgb="FF000000"/>
      </top>
      <bottom style="thin">
        <color rgb="FF000000"/>
      </bottom>
      <diagonal/>
    </border>
    <border>
      <left/>
      <right style="thin">
        <color theme="1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hair">
        <color rgb="FF000000"/>
      </bottom>
      <diagonal/>
    </border>
  </borders>
  <cellStyleXfs count="1">
    <xf numFmtId="0" fontId="0" fillId="0" borderId="0"/>
  </cellStyleXfs>
  <cellXfs count="409">
    <xf numFmtId="0" fontId="0" fillId="0" borderId="0" xfId="0" applyFont="1" applyAlignment="1"/>
    <xf numFmtId="0" fontId="2" fillId="0" borderId="0" xfId="0" applyFont="1" applyAlignment="1"/>
    <xf numFmtId="0" fontId="1" fillId="0" borderId="0" xfId="0" applyFont="1" applyAlignment="1">
      <alignment horizontal="center" vertical="center"/>
    </xf>
    <xf numFmtId="187" fontId="3" fillId="2" borderId="1" xfId="0" applyNumberFormat="1" applyFont="1" applyFill="1" applyBorder="1" applyAlignment="1">
      <alignment horizontal="center" vertical="center" wrapText="1"/>
    </xf>
    <xf numFmtId="188" fontId="4" fillId="3" borderId="2" xfId="0" applyNumberFormat="1" applyFont="1" applyFill="1" applyBorder="1" applyAlignment="1">
      <alignment vertical="center" wrapText="1"/>
    </xf>
    <xf numFmtId="187" fontId="4" fillId="3" borderId="3" xfId="0" applyNumberFormat="1" applyFont="1" applyFill="1" applyBorder="1" applyAlignment="1">
      <alignment vertical="center" wrapText="1"/>
    </xf>
    <xf numFmtId="187" fontId="3" fillId="4" borderId="1" xfId="0" applyNumberFormat="1" applyFont="1" applyFill="1" applyBorder="1" applyAlignment="1">
      <alignment horizontal="center" vertical="center" wrapText="1"/>
    </xf>
    <xf numFmtId="0" fontId="5" fillId="5" borderId="7" xfId="0" applyFont="1" applyFill="1" applyBorder="1" applyAlignment="1">
      <alignment horizontal="center" vertical="center"/>
    </xf>
    <xf numFmtId="188" fontId="1" fillId="6" borderId="1" xfId="0" applyNumberFormat="1" applyFont="1" applyFill="1" applyBorder="1" applyAlignment="1">
      <alignment horizontal="center" vertical="center"/>
    </xf>
    <xf numFmtId="187" fontId="1" fillId="2" borderId="1" xfId="0" applyNumberFormat="1" applyFont="1" applyFill="1" applyBorder="1" applyAlignment="1">
      <alignment horizontal="center" vertical="center" wrapText="1"/>
    </xf>
    <xf numFmtId="188" fontId="1" fillId="6" borderId="8" xfId="0" applyNumberFormat="1" applyFont="1" applyFill="1" applyBorder="1" applyAlignment="1">
      <alignment horizontal="center" vertical="center"/>
    </xf>
    <xf numFmtId="188" fontId="1" fillId="7" borderId="9" xfId="0" applyNumberFormat="1" applyFont="1" applyFill="1" applyBorder="1" applyAlignment="1">
      <alignment horizontal="center" vertical="center" wrapText="1"/>
    </xf>
    <xf numFmtId="188" fontId="1" fillId="4" borderId="10" xfId="0" applyNumberFormat="1" applyFont="1" applyFill="1" applyBorder="1" applyAlignment="1">
      <alignment horizontal="center" vertical="center"/>
    </xf>
    <xf numFmtId="188" fontId="1" fillId="7" borderId="11" xfId="0" applyNumberFormat="1" applyFont="1" applyFill="1" applyBorder="1" applyAlignment="1">
      <alignment horizontal="center" vertical="center"/>
    </xf>
    <xf numFmtId="0" fontId="1" fillId="8" borderId="12" xfId="0" applyFont="1" applyFill="1" applyBorder="1" applyAlignment="1">
      <alignment vertical="center"/>
    </xf>
    <xf numFmtId="189" fontId="1" fillId="8" borderId="12" xfId="0" applyNumberFormat="1" applyFont="1" applyFill="1" applyBorder="1" applyAlignment="1">
      <alignment vertical="center"/>
    </xf>
    <xf numFmtId="188" fontId="1" fillId="8" borderId="12" xfId="0" applyNumberFormat="1" applyFont="1" applyFill="1" applyBorder="1" applyAlignment="1">
      <alignment vertical="center"/>
    </xf>
    <xf numFmtId="188" fontId="1" fillId="8" borderId="13" xfId="0" applyNumberFormat="1" applyFont="1" applyFill="1" applyBorder="1" applyAlignment="1">
      <alignment horizontal="right" vertical="center" wrapText="1"/>
    </xf>
    <xf numFmtId="187" fontId="1" fillId="9" borderId="14" xfId="0" applyNumberFormat="1" applyFont="1" applyFill="1" applyBorder="1" applyAlignment="1">
      <alignment vertical="center"/>
    </xf>
    <xf numFmtId="187" fontId="1" fillId="9" borderId="15" xfId="0" applyNumberFormat="1" applyFont="1" applyFill="1" applyBorder="1" applyAlignment="1">
      <alignment vertical="center"/>
    </xf>
    <xf numFmtId="0" fontId="4" fillId="9" borderId="16" xfId="0" applyFont="1" applyFill="1" applyBorder="1" applyAlignment="1">
      <alignment vertical="center"/>
    </xf>
    <xf numFmtId="0" fontId="4" fillId="9" borderId="12" xfId="0" applyFont="1" applyFill="1" applyBorder="1" applyAlignment="1">
      <alignment horizontal="left" vertical="center"/>
    </xf>
    <xf numFmtId="189" fontId="4" fillId="9" borderId="12" xfId="0" applyNumberFormat="1" applyFont="1" applyFill="1" applyBorder="1" applyAlignment="1">
      <alignment horizontal="left" vertical="center"/>
    </xf>
    <xf numFmtId="188" fontId="4" fillId="9" borderId="12" xfId="0" applyNumberFormat="1" applyFont="1" applyFill="1" applyBorder="1" applyAlignment="1">
      <alignment horizontal="left" vertical="center"/>
    </xf>
    <xf numFmtId="188" fontId="4" fillId="9" borderId="12" xfId="0" applyNumberFormat="1" applyFont="1" applyFill="1" applyBorder="1" applyAlignment="1">
      <alignment vertical="center"/>
    </xf>
    <xf numFmtId="187" fontId="1" fillId="10" borderId="14" xfId="0" applyNumberFormat="1" applyFont="1" applyFill="1" applyBorder="1" applyAlignment="1">
      <alignment vertical="center"/>
    </xf>
    <xf numFmtId="0" fontId="1" fillId="10" borderId="15" xfId="0" applyFont="1" applyFill="1" applyBorder="1" applyAlignment="1">
      <alignment vertical="center"/>
    </xf>
    <xf numFmtId="187" fontId="1" fillId="10" borderId="15" xfId="0" applyNumberFormat="1" applyFont="1" applyFill="1" applyBorder="1" applyAlignment="1">
      <alignment vertical="center"/>
    </xf>
    <xf numFmtId="0" fontId="1" fillId="10" borderId="16" xfId="0" applyFont="1" applyFill="1" applyBorder="1" applyAlignment="1">
      <alignment vertical="center"/>
    </xf>
    <xf numFmtId="0" fontId="1" fillId="10" borderId="17" xfId="0" applyFont="1" applyFill="1" applyBorder="1" applyAlignment="1">
      <alignment horizontal="left" vertical="center"/>
    </xf>
    <xf numFmtId="189" fontId="1" fillId="10" borderId="17" xfId="0" applyNumberFormat="1" applyFont="1" applyFill="1" applyBorder="1" applyAlignment="1">
      <alignment horizontal="left" vertical="center"/>
    </xf>
    <xf numFmtId="188" fontId="1" fillId="10" borderId="17" xfId="0" applyNumberFormat="1" applyFont="1" applyFill="1" applyBorder="1" applyAlignment="1">
      <alignment horizontal="left" vertical="center"/>
    </xf>
    <xf numFmtId="188" fontId="1" fillId="10" borderId="17" xfId="0" applyNumberFormat="1" applyFont="1" applyFill="1" applyBorder="1" applyAlignment="1">
      <alignment horizontal="center" vertical="center"/>
    </xf>
    <xf numFmtId="188" fontId="4" fillId="10" borderId="17" xfId="0" applyNumberFormat="1" applyFont="1" applyFill="1" applyBorder="1" applyAlignment="1">
      <alignment vertical="center"/>
    </xf>
    <xf numFmtId="190" fontId="1" fillId="11" borderId="18" xfId="0" applyNumberFormat="1" applyFont="1" applyFill="1" applyBorder="1" applyAlignment="1">
      <alignment vertical="center"/>
    </xf>
    <xf numFmtId="0" fontId="1" fillId="11" borderId="19" xfId="0" applyFont="1" applyFill="1" applyBorder="1" applyAlignment="1">
      <alignment vertical="center"/>
    </xf>
    <xf numFmtId="187" fontId="1" fillId="11" borderId="19" xfId="0" applyNumberFormat="1" applyFont="1" applyFill="1" applyBorder="1" applyAlignment="1">
      <alignment vertical="center"/>
    </xf>
    <xf numFmtId="0" fontId="1" fillId="11" borderId="13" xfId="0" applyFont="1" applyFill="1" applyBorder="1" applyAlignment="1">
      <alignment horizontal="center" vertical="center" wrapText="1"/>
    </xf>
    <xf numFmtId="189" fontId="1" fillId="11" borderId="13" xfId="0" applyNumberFormat="1" applyFont="1" applyFill="1" applyBorder="1" applyAlignment="1">
      <alignment horizontal="right" vertical="center" wrapText="1"/>
    </xf>
    <xf numFmtId="191" fontId="1" fillId="11" borderId="13" xfId="0" applyNumberFormat="1" applyFont="1" applyFill="1" applyBorder="1" applyAlignment="1">
      <alignment horizontal="right" vertical="center" wrapText="1"/>
    </xf>
    <xf numFmtId="188" fontId="1" fillId="11" borderId="13" xfId="0" applyNumberFormat="1" applyFont="1" applyFill="1" applyBorder="1" applyAlignment="1">
      <alignment vertical="center"/>
    </xf>
    <xf numFmtId="188" fontId="1" fillId="11" borderId="13" xfId="0" applyNumberFormat="1" applyFont="1" applyFill="1" applyBorder="1" applyAlignment="1">
      <alignment horizontal="right" vertical="center" wrapText="1"/>
    </xf>
    <xf numFmtId="190" fontId="1" fillId="3" borderId="18" xfId="0" applyNumberFormat="1" applyFont="1" applyFill="1" applyBorder="1" applyAlignment="1">
      <alignment vertical="center"/>
    </xf>
    <xf numFmtId="0" fontId="1" fillId="3" borderId="19" xfId="0" applyFont="1" applyFill="1" applyBorder="1" applyAlignment="1">
      <alignment vertical="center"/>
    </xf>
    <xf numFmtId="0" fontId="6" fillId="3" borderId="19" xfId="0" quotePrefix="1" applyFont="1" applyFill="1" applyBorder="1" applyAlignment="1">
      <alignment vertical="center"/>
    </xf>
    <xf numFmtId="0" fontId="4" fillId="3" borderId="19" xfId="0" applyFont="1" applyFill="1" applyBorder="1" applyAlignment="1">
      <alignment vertical="center"/>
    </xf>
    <xf numFmtId="0" fontId="4" fillId="3" borderId="20" xfId="0" applyFont="1" applyFill="1" applyBorder="1" applyAlignment="1">
      <alignment vertical="center"/>
    </xf>
    <xf numFmtId="187" fontId="4" fillId="0" borderId="13" xfId="0" applyNumberFormat="1" applyFont="1" applyBorder="1" applyAlignment="1">
      <alignment horizontal="center" vertical="center" wrapText="1"/>
    </xf>
    <xf numFmtId="189" fontId="4" fillId="0" borderId="13" xfId="0" applyNumberFormat="1" applyFont="1" applyBorder="1" applyAlignment="1">
      <alignment horizontal="right" vertical="center" wrapText="1"/>
    </xf>
    <xf numFmtId="188" fontId="4" fillId="0" borderId="13" xfId="0" applyNumberFormat="1" applyFont="1" applyBorder="1" applyAlignment="1">
      <alignment horizontal="right" vertical="center" wrapText="1"/>
    </xf>
    <xf numFmtId="188" fontId="1" fillId="3" borderId="13" xfId="0" applyNumberFormat="1" applyFont="1" applyFill="1" applyBorder="1" applyAlignment="1">
      <alignment vertical="center"/>
    </xf>
    <xf numFmtId="187" fontId="1" fillId="3" borderId="19" xfId="0" applyNumberFormat="1" applyFont="1" applyFill="1" applyBorder="1" applyAlignment="1">
      <alignment vertical="center"/>
    </xf>
    <xf numFmtId="0" fontId="4" fillId="3" borderId="20" xfId="0" applyFont="1" applyFill="1" applyBorder="1" applyAlignment="1">
      <alignment horizontal="left" vertical="center"/>
    </xf>
    <xf numFmtId="188" fontId="4" fillId="3" borderId="13" xfId="0" applyNumberFormat="1" applyFont="1" applyFill="1" applyBorder="1" applyAlignment="1">
      <alignment vertical="center"/>
    </xf>
    <xf numFmtId="188" fontId="4" fillId="4" borderId="13" xfId="0" applyNumberFormat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6" fillId="12" borderId="19" xfId="0" quotePrefix="1" applyFont="1" applyFill="1" applyBorder="1" applyAlignment="1">
      <alignment vertical="center"/>
    </xf>
    <xf numFmtId="0" fontId="4" fillId="12" borderId="19" xfId="0" applyFont="1" applyFill="1" applyBorder="1" applyAlignment="1">
      <alignment vertical="center"/>
    </xf>
    <xf numFmtId="0" fontId="4" fillId="12" borderId="20" xfId="0" applyFont="1" applyFill="1" applyBorder="1" applyAlignment="1">
      <alignment vertical="center"/>
    </xf>
    <xf numFmtId="0" fontId="4" fillId="0" borderId="13" xfId="0" applyFont="1" applyBorder="1" applyAlignment="1">
      <alignment horizontal="center" vertical="center" wrapText="1"/>
    </xf>
    <xf numFmtId="188" fontId="4" fillId="0" borderId="13" xfId="0" applyNumberFormat="1" applyFont="1" applyBorder="1" applyAlignment="1">
      <alignment vertical="center"/>
    </xf>
    <xf numFmtId="0" fontId="4" fillId="13" borderId="19" xfId="0" applyFont="1" applyFill="1" applyBorder="1" applyAlignment="1">
      <alignment horizontal="right" vertical="center"/>
    </xf>
    <xf numFmtId="0" fontId="4" fillId="13" borderId="19" xfId="0" quotePrefix="1" applyFont="1" applyFill="1" applyBorder="1" applyAlignment="1">
      <alignment vertical="center"/>
    </xf>
    <xf numFmtId="0" fontId="4" fillId="13" borderId="19" xfId="0" applyFont="1" applyFill="1" applyBorder="1" applyAlignment="1">
      <alignment vertical="center"/>
    </xf>
    <xf numFmtId="0" fontId="4" fillId="13" borderId="20" xfId="0" applyFont="1" applyFill="1" applyBorder="1" applyAlignment="1">
      <alignment vertical="center"/>
    </xf>
    <xf numFmtId="0" fontId="4" fillId="3" borderId="13" xfId="0" applyFont="1" applyFill="1" applyBorder="1" applyAlignment="1">
      <alignment horizontal="center" vertical="center" wrapText="1"/>
    </xf>
    <xf numFmtId="189" fontId="4" fillId="3" borderId="13" xfId="0" applyNumberFormat="1" applyFont="1" applyFill="1" applyBorder="1" applyAlignment="1">
      <alignment horizontal="right" vertical="center" wrapText="1"/>
    </xf>
    <xf numFmtId="189" fontId="4" fillId="2" borderId="13" xfId="0" applyNumberFormat="1" applyFont="1" applyFill="1" applyBorder="1" applyAlignment="1">
      <alignment horizontal="right" vertical="center" wrapText="1"/>
    </xf>
    <xf numFmtId="0" fontId="4" fillId="8" borderId="19" xfId="0" applyFont="1" applyFill="1" applyBorder="1" applyAlignment="1">
      <alignment horizontal="right" vertical="center"/>
    </xf>
    <xf numFmtId="0" fontId="4" fillId="8" borderId="19" xfId="0" quotePrefix="1" applyFont="1" applyFill="1" applyBorder="1" applyAlignment="1">
      <alignment vertical="center"/>
    </xf>
    <xf numFmtId="0" fontId="4" fillId="8" borderId="19" xfId="0" applyFont="1" applyFill="1" applyBorder="1" applyAlignment="1">
      <alignment vertical="center"/>
    </xf>
    <xf numFmtId="0" fontId="4" fillId="8" borderId="20" xfId="0" applyFont="1" applyFill="1" applyBorder="1" applyAlignment="1">
      <alignment vertical="center"/>
    </xf>
    <xf numFmtId="187" fontId="1" fillId="0" borderId="22" xfId="0" applyNumberFormat="1" applyFont="1" applyBorder="1" applyAlignment="1">
      <alignment horizontal="left" vertical="center"/>
    </xf>
    <xf numFmtId="0" fontId="4" fillId="0" borderId="22" xfId="0" quotePrefix="1" applyFont="1" applyBorder="1" applyAlignment="1">
      <alignment vertical="center"/>
    </xf>
    <xf numFmtId="0" fontId="4" fillId="0" borderId="22" xfId="0" applyFont="1" applyBorder="1" applyAlignment="1">
      <alignment vertical="center"/>
    </xf>
    <xf numFmtId="0" fontId="4" fillId="0" borderId="23" xfId="0" applyFont="1" applyBorder="1" applyAlignment="1">
      <alignment vertical="center"/>
    </xf>
    <xf numFmtId="0" fontId="4" fillId="0" borderId="22" xfId="0" applyFont="1" applyBorder="1" applyAlignment="1">
      <alignment horizontal="right" vertical="center"/>
    </xf>
    <xf numFmtId="0" fontId="1" fillId="0" borderId="13" xfId="0" applyFont="1" applyBorder="1" applyAlignment="1">
      <alignment horizontal="center" vertical="center" wrapText="1"/>
    </xf>
    <xf numFmtId="189" fontId="1" fillId="3" borderId="13" xfId="0" applyNumberFormat="1" applyFont="1" applyFill="1" applyBorder="1" applyAlignment="1">
      <alignment horizontal="right" vertical="center" wrapText="1"/>
    </xf>
    <xf numFmtId="188" fontId="1" fillId="0" borderId="13" xfId="0" applyNumberFormat="1" applyFont="1" applyBorder="1" applyAlignment="1">
      <alignment horizontal="right" vertical="center" wrapText="1"/>
    </xf>
    <xf numFmtId="0" fontId="4" fillId="14" borderId="19" xfId="0" applyFont="1" applyFill="1" applyBorder="1" applyAlignment="1">
      <alignment horizontal="right" vertical="center"/>
    </xf>
    <xf numFmtId="0" fontId="4" fillId="14" borderId="19" xfId="0" quotePrefix="1" applyFont="1" applyFill="1" applyBorder="1" applyAlignment="1">
      <alignment vertical="center"/>
    </xf>
    <xf numFmtId="0" fontId="4" fillId="14" borderId="19" xfId="0" applyFont="1" applyFill="1" applyBorder="1" applyAlignment="1">
      <alignment vertical="center"/>
    </xf>
    <xf numFmtId="0" fontId="4" fillId="14" borderId="20" xfId="0" applyFont="1" applyFill="1" applyBorder="1" applyAlignment="1">
      <alignment vertical="center"/>
    </xf>
    <xf numFmtId="189" fontId="4" fillId="2" borderId="19" xfId="0" applyNumberFormat="1" applyFont="1" applyFill="1" applyBorder="1" applyAlignment="1">
      <alignment horizontal="right" vertical="center"/>
    </xf>
    <xf numFmtId="187" fontId="1" fillId="10" borderId="18" xfId="0" applyNumberFormat="1" applyFont="1" applyFill="1" applyBorder="1" applyAlignment="1">
      <alignment vertical="center"/>
    </xf>
    <xf numFmtId="0" fontId="1" fillId="10" borderId="19" xfId="0" applyFont="1" applyFill="1" applyBorder="1" applyAlignment="1">
      <alignment vertical="center" wrapText="1"/>
    </xf>
    <xf numFmtId="187" fontId="1" fillId="10" borderId="19" xfId="0" applyNumberFormat="1" applyFont="1" applyFill="1" applyBorder="1" applyAlignment="1">
      <alignment vertical="center" wrapText="1"/>
    </xf>
    <xf numFmtId="0" fontId="4" fillId="10" borderId="19" xfId="0" applyFont="1" applyFill="1" applyBorder="1" applyAlignment="1">
      <alignment vertical="center" wrapText="1"/>
    </xf>
    <xf numFmtId="0" fontId="4" fillId="10" borderId="20" xfId="0" applyFont="1" applyFill="1" applyBorder="1" applyAlignment="1">
      <alignment vertical="center" wrapText="1"/>
    </xf>
    <xf numFmtId="0" fontId="4" fillId="10" borderId="13" xfId="0" applyFont="1" applyFill="1" applyBorder="1" applyAlignment="1">
      <alignment horizontal="center" vertical="center" wrapText="1"/>
    </xf>
    <xf numFmtId="189" fontId="4" fillId="10" borderId="13" xfId="0" applyNumberFormat="1" applyFont="1" applyFill="1" applyBorder="1" applyAlignment="1">
      <alignment horizontal="right" vertical="center" wrapText="1"/>
    </xf>
    <xf numFmtId="188" fontId="4" fillId="10" borderId="13" xfId="0" applyNumberFormat="1" applyFont="1" applyFill="1" applyBorder="1" applyAlignment="1">
      <alignment horizontal="right" vertical="center" wrapText="1"/>
    </xf>
    <xf numFmtId="188" fontId="4" fillId="10" borderId="13" xfId="0" applyNumberFormat="1" applyFont="1" applyFill="1" applyBorder="1" applyAlignment="1">
      <alignment vertical="center" wrapText="1"/>
    </xf>
    <xf numFmtId="188" fontId="4" fillId="10" borderId="13" xfId="0" applyNumberFormat="1" applyFont="1" applyFill="1" applyBorder="1" applyAlignment="1">
      <alignment vertical="center"/>
    </xf>
    <xf numFmtId="0" fontId="1" fillId="11" borderId="20" xfId="0" applyFont="1" applyFill="1" applyBorder="1" applyAlignment="1">
      <alignment vertical="center"/>
    </xf>
    <xf numFmtId="188" fontId="1" fillId="11" borderId="13" xfId="0" applyNumberFormat="1" applyFont="1" applyFill="1" applyBorder="1" applyAlignment="1">
      <alignment vertical="center" wrapText="1"/>
    </xf>
    <xf numFmtId="0" fontId="4" fillId="0" borderId="23" xfId="0" quotePrefix="1" applyFont="1" applyBorder="1" applyAlignment="1">
      <alignment vertical="center" wrapText="1"/>
    </xf>
    <xf numFmtId="0" fontId="4" fillId="0" borderId="23" xfId="0" quotePrefix="1" applyFont="1" applyBorder="1" applyAlignment="1">
      <alignment vertical="center"/>
    </xf>
    <xf numFmtId="0" fontId="1" fillId="10" borderId="19" xfId="0" applyFont="1" applyFill="1" applyBorder="1" applyAlignment="1">
      <alignment vertical="center"/>
    </xf>
    <xf numFmtId="190" fontId="1" fillId="10" borderId="19" xfId="0" applyNumberFormat="1" applyFont="1" applyFill="1" applyBorder="1" applyAlignment="1">
      <alignment vertical="center"/>
    </xf>
    <xf numFmtId="0" fontId="4" fillId="10" borderId="19" xfId="0" applyFont="1" applyFill="1" applyBorder="1" applyAlignment="1">
      <alignment vertical="center"/>
    </xf>
    <xf numFmtId="0" fontId="4" fillId="10" borderId="20" xfId="0" applyFont="1" applyFill="1" applyBorder="1" applyAlignment="1">
      <alignment vertical="center"/>
    </xf>
    <xf numFmtId="190" fontId="1" fillId="11" borderId="19" xfId="0" applyNumberFormat="1" applyFont="1" applyFill="1" applyBorder="1" applyAlignment="1">
      <alignment vertical="center"/>
    </xf>
    <xf numFmtId="187" fontId="1" fillId="0" borderId="24" xfId="0" applyNumberFormat="1" applyFont="1" applyBorder="1" applyAlignment="1">
      <alignment vertical="center"/>
    </xf>
    <xf numFmtId="187" fontId="1" fillId="0" borderId="25" xfId="0" applyNumberFormat="1" applyFont="1" applyBorder="1" applyAlignment="1">
      <alignment vertical="center"/>
    </xf>
    <xf numFmtId="0" fontId="4" fillId="14" borderId="26" xfId="0" applyFont="1" applyFill="1" applyBorder="1" applyAlignment="1">
      <alignment horizontal="right" vertical="center"/>
    </xf>
    <xf numFmtId="0" fontId="4" fillId="14" borderId="26" xfId="0" quotePrefix="1" applyFont="1" applyFill="1" applyBorder="1" applyAlignment="1">
      <alignment vertical="center"/>
    </xf>
    <xf numFmtId="0" fontId="4" fillId="14" borderId="26" xfId="0" applyFont="1" applyFill="1" applyBorder="1" applyAlignment="1">
      <alignment vertical="center"/>
    </xf>
    <xf numFmtId="0" fontId="4" fillId="14" borderId="27" xfId="0" applyFont="1" applyFill="1" applyBorder="1" applyAlignment="1">
      <alignment vertical="center"/>
    </xf>
    <xf numFmtId="0" fontId="4" fillId="3" borderId="28" xfId="0" applyFont="1" applyFill="1" applyBorder="1" applyAlignment="1">
      <alignment horizontal="center" vertical="center" wrapText="1"/>
    </xf>
    <xf numFmtId="189" fontId="4" fillId="3" borderId="28" xfId="0" applyNumberFormat="1" applyFont="1" applyFill="1" applyBorder="1" applyAlignment="1">
      <alignment horizontal="right" vertical="center" wrapText="1"/>
    </xf>
    <xf numFmtId="189" fontId="4" fillId="2" borderId="26" xfId="0" applyNumberFormat="1" applyFont="1" applyFill="1" applyBorder="1" applyAlignment="1">
      <alignment horizontal="right" vertical="center"/>
    </xf>
    <xf numFmtId="188" fontId="4" fillId="0" borderId="28" xfId="0" applyNumberFormat="1" applyFont="1" applyBorder="1" applyAlignment="1">
      <alignment horizontal="right" vertical="center" wrapText="1"/>
    </xf>
    <xf numFmtId="188" fontId="4" fillId="0" borderId="28" xfId="0" applyNumberFormat="1" applyFont="1" applyBorder="1" applyAlignment="1">
      <alignment vertical="center"/>
    </xf>
    <xf numFmtId="187" fontId="1" fillId="14" borderId="29" xfId="0" applyNumberFormat="1" applyFont="1" applyFill="1" applyBorder="1" applyAlignment="1">
      <alignment vertical="center"/>
    </xf>
    <xf numFmtId="187" fontId="1" fillId="14" borderId="30" xfId="0" applyNumberFormat="1" applyFont="1" applyFill="1" applyBorder="1" applyAlignment="1">
      <alignment vertical="center"/>
    </xf>
    <xf numFmtId="0" fontId="4" fillId="14" borderId="30" xfId="0" applyFont="1" applyFill="1" applyBorder="1" applyAlignment="1">
      <alignment vertical="center"/>
    </xf>
    <xf numFmtId="0" fontId="4" fillId="14" borderId="31" xfId="0" applyFont="1" applyFill="1" applyBorder="1" applyAlignment="1">
      <alignment vertical="center"/>
    </xf>
    <xf numFmtId="0" fontId="4" fillId="14" borderId="32" xfId="0" applyFont="1" applyFill="1" applyBorder="1" applyAlignment="1">
      <alignment horizontal="left" vertical="center"/>
    </xf>
    <xf numFmtId="189" fontId="4" fillId="14" borderId="32" xfId="0" applyNumberFormat="1" applyFont="1" applyFill="1" applyBorder="1" applyAlignment="1">
      <alignment horizontal="left" vertical="center"/>
    </xf>
    <xf numFmtId="188" fontId="4" fillId="14" borderId="32" xfId="0" applyNumberFormat="1" applyFont="1" applyFill="1" applyBorder="1" applyAlignment="1">
      <alignment horizontal="left" vertical="center"/>
    </xf>
    <xf numFmtId="188" fontId="4" fillId="14" borderId="32" xfId="0" applyNumberFormat="1" applyFont="1" applyFill="1" applyBorder="1" applyAlignment="1">
      <alignment vertical="center"/>
    </xf>
    <xf numFmtId="187" fontId="1" fillId="15" borderId="18" xfId="0" applyNumberFormat="1" applyFont="1" applyFill="1" applyBorder="1" applyAlignment="1">
      <alignment vertical="center"/>
    </xf>
    <xf numFmtId="187" fontId="1" fillId="15" borderId="19" xfId="0" applyNumberFormat="1" applyFont="1" applyFill="1" applyBorder="1" applyAlignment="1">
      <alignment vertical="center"/>
    </xf>
    <xf numFmtId="0" fontId="1" fillId="15" borderId="19" xfId="0" applyFont="1" applyFill="1" applyBorder="1" applyAlignment="1">
      <alignment vertical="center"/>
    </xf>
    <xf numFmtId="0" fontId="1" fillId="15" borderId="20" xfId="0" applyFont="1" applyFill="1" applyBorder="1" applyAlignment="1">
      <alignment vertical="center"/>
    </xf>
    <xf numFmtId="0" fontId="1" fillId="15" borderId="13" xfId="0" applyFont="1" applyFill="1" applyBorder="1" applyAlignment="1">
      <alignment horizontal="center" vertical="center"/>
    </xf>
    <xf numFmtId="189" fontId="1" fillId="15" borderId="13" xfId="0" applyNumberFormat="1" applyFont="1" applyFill="1" applyBorder="1" applyAlignment="1">
      <alignment horizontal="center" vertical="center"/>
    </xf>
    <xf numFmtId="188" fontId="1" fillId="15" borderId="13" xfId="0" applyNumberFormat="1" applyFont="1" applyFill="1" applyBorder="1" applyAlignment="1">
      <alignment horizontal="center" vertical="center"/>
    </xf>
    <xf numFmtId="188" fontId="4" fillId="15" borderId="13" xfId="0" applyNumberFormat="1" applyFont="1" applyFill="1" applyBorder="1" applyAlignment="1">
      <alignment horizontal="right" vertical="center" wrapText="1"/>
    </xf>
    <xf numFmtId="187" fontId="1" fillId="12" borderId="18" xfId="0" applyNumberFormat="1" applyFont="1" applyFill="1" applyBorder="1" applyAlignment="1">
      <alignment vertical="center"/>
    </xf>
    <xf numFmtId="0" fontId="1" fillId="12" borderId="19" xfId="0" applyFont="1" applyFill="1" applyBorder="1" applyAlignment="1">
      <alignment vertical="center"/>
    </xf>
    <xf numFmtId="187" fontId="1" fillId="12" borderId="19" xfId="0" applyNumberFormat="1" applyFont="1" applyFill="1" applyBorder="1" applyAlignment="1">
      <alignment vertical="center"/>
    </xf>
    <xf numFmtId="0" fontId="1" fillId="12" borderId="20" xfId="0" applyFont="1" applyFill="1" applyBorder="1" applyAlignment="1">
      <alignment vertical="center"/>
    </xf>
    <xf numFmtId="0" fontId="1" fillId="12" borderId="13" xfId="0" applyFont="1" applyFill="1" applyBorder="1" applyAlignment="1">
      <alignment horizontal="center" vertical="center" wrapText="1"/>
    </xf>
    <xf numFmtId="189" fontId="1" fillId="12" borderId="13" xfId="0" applyNumberFormat="1" applyFont="1" applyFill="1" applyBorder="1" applyAlignment="1">
      <alignment horizontal="right" vertical="center" wrapText="1"/>
    </xf>
    <xf numFmtId="188" fontId="1" fillId="12" borderId="13" xfId="0" applyNumberFormat="1" applyFont="1" applyFill="1" applyBorder="1" applyAlignment="1">
      <alignment horizontal="right" vertical="center" wrapText="1"/>
    </xf>
    <xf numFmtId="188" fontId="1" fillId="12" borderId="13" xfId="0" applyNumberFormat="1" applyFont="1" applyFill="1" applyBorder="1" applyAlignment="1">
      <alignment vertical="center"/>
    </xf>
    <xf numFmtId="188" fontId="1" fillId="0" borderId="13" xfId="0" applyNumberFormat="1" applyFont="1" applyBorder="1" applyAlignment="1">
      <alignment vertical="center"/>
    </xf>
    <xf numFmtId="187" fontId="1" fillId="16" borderId="18" xfId="0" applyNumberFormat="1" applyFont="1" applyFill="1" applyBorder="1" applyAlignment="1">
      <alignment vertical="center"/>
    </xf>
    <xf numFmtId="187" fontId="1" fillId="16" borderId="19" xfId="0" applyNumberFormat="1" applyFont="1" applyFill="1" applyBorder="1" applyAlignment="1">
      <alignment vertical="center"/>
    </xf>
    <xf numFmtId="0" fontId="1" fillId="16" borderId="19" xfId="0" applyFont="1" applyFill="1" applyBorder="1" applyAlignment="1">
      <alignment vertical="center"/>
    </xf>
    <xf numFmtId="0" fontId="1" fillId="16" borderId="20" xfId="0" applyFont="1" applyFill="1" applyBorder="1" applyAlignment="1">
      <alignment vertical="center"/>
    </xf>
    <xf numFmtId="0" fontId="4" fillId="16" borderId="13" xfId="0" applyFont="1" applyFill="1" applyBorder="1" applyAlignment="1">
      <alignment horizontal="center" vertical="center" wrapText="1"/>
    </xf>
    <xf numFmtId="189" fontId="4" fillId="16" borderId="13" xfId="0" applyNumberFormat="1" applyFont="1" applyFill="1" applyBorder="1" applyAlignment="1">
      <alignment horizontal="right" vertical="center" wrapText="1"/>
    </xf>
    <xf numFmtId="188" fontId="4" fillId="16" borderId="13" xfId="0" applyNumberFormat="1" applyFont="1" applyFill="1" applyBorder="1" applyAlignment="1">
      <alignment horizontal="right" vertical="center" wrapText="1"/>
    </xf>
    <xf numFmtId="188" fontId="1" fillId="16" borderId="13" xfId="0" applyNumberFormat="1" applyFont="1" applyFill="1" applyBorder="1" applyAlignment="1">
      <alignment vertical="center"/>
    </xf>
    <xf numFmtId="0" fontId="1" fillId="16" borderId="13" xfId="0" applyFont="1" applyFill="1" applyBorder="1" applyAlignment="1">
      <alignment horizontal="center" vertical="center" shrinkToFit="1"/>
    </xf>
    <xf numFmtId="189" fontId="1" fillId="16" borderId="13" xfId="0" applyNumberFormat="1" applyFont="1" applyFill="1" applyBorder="1" applyAlignment="1">
      <alignment horizontal="right" vertical="center" wrapText="1"/>
    </xf>
    <xf numFmtId="188" fontId="1" fillId="16" borderId="13" xfId="0" applyNumberFormat="1" applyFont="1" applyFill="1" applyBorder="1" applyAlignment="1">
      <alignment horizontal="right" vertical="center" wrapText="1"/>
    </xf>
    <xf numFmtId="0" fontId="1" fillId="16" borderId="13" xfId="0" applyFont="1" applyFill="1" applyBorder="1" applyAlignment="1">
      <alignment horizontal="center" vertical="center" wrapText="1"/>
    </xf>
    <xf numFmtId="187" fontId="1" fillId="16" borderId="19" xfId="0" applyNumberFormat="1" applyFont="1" applyFill="1" applyBorder="1" applyAlignment="1">
      <alignment horizontal="left" vertical="center"/>
    </xf>
    <xf numFmtId="189" fontId="1" fillId="2" borderId="13" xfId="0" applyNumberFormat="1" applyFont="1" applyFill="1" applyBorder="1" applyAlignment="1">
      <alignment horizontal="right" vertical="center" wrapText="1"/>
    </xf>
    <xf numFmtId="0" fontId="1" fillId="0" borderId="22" xfId="0" applyFont="1" applyBorder="1" applyAlignment="1">
      <alignment vertical="center"/>
    </xf>
    <xf numFmtId="187" fontId="1" fillId="12" borderId="19" xfId="0" applyNumberFormat="1" applyFont="1" applyFill="1" applyBorder="1" applyAlignment="1">
      <alignment horizontal="left" vertical="center"/>
    </xf>
    <xf numFmtId="187" fontId="1" fillId="17" borderId="29" xfId="0" applyNumberFormat="1" applyFont="1" applyFill="1" applyBorder="1" applyAlignment="1">
      <alignment vertical="center"/>
    </xf>
    <xf numFmtId="187" fontId="1" fillId="17" borderId="30" xfId="0" applyNumberFormat="1" applyFont="1" applyFill="1" applyBorder="1" applyAlignment="1">
      <alignment vertical="center"/>
    </xf>
    <xf numFmtId="0" fontId="1" fillId="17" borderId="30" xfId="0" applyFont="1" applyFill="1" applyBorder="1" applyAlignment="1">
      <alignment vertical="center"/>
    </xf>
    <xf numFmtId="0" fontId="1" fillId="17" borderId="31" xfId="0" applyFont="1" applyFill="1" applyBorder="1" applyAlignment="1">
      <alignment vertical="center"/>
    </xf>
    <xf numFmtId="0" fontId="1" fillId="17" borderId="32" xfId="0" applyFont="1" applyFill="1" applyBorder="1" applyAlignment="1">
      <alignment horizontal="left" vertical="center"/>
    </xf>
    <xf numFmtId="189" fontId="1" fillId="17" borderId="32" xfId="0" applyNumberFormat="1" applyFont="1" applyFill="1" applyBorder="1" applyAlignment="1">
      <alignment horizontal="left" vertical="center"/>
    </xf>
    <xf numFmtId="188" fontId="1" fillId="17" borderId="32" xfId="0" applyNumberFormat="1" applyFont="1" applyFill="1" applyBorder="1" applyAlignment="1">
      <alignment horizontal="left" vertical="center"/>
    </xf>
    <xf numFmtId="188" fontId="1" fillId="17" borderId="32" xfId="0" applyNumberFormat="1" applyFont="1" applyFill="1" applyBorder="1" applyAlignment="1">
      <alignment vertical="center"/>
    </xf>
    <xf numFmtId="188" fontId="4" fillId="17" borderId="32" xfId="0" applyNumberFormat="1" applyFont="1" applyFill="1" applyBorder="1" applyAlignment="1">
      <alignment vertical="center"/>
    </xf>
    <xf numFmtId="187" fontId="1" fillId="18" borderId="18" xfId="0" applyNumberFormat="1" applyFont="1" applyFill="1" applyBorder="1" applyAlignment="1">
      <alignment vertical="center"/>
    </xf>
    <xf numFmtId="187" fontId="1" fillId="18" borderId="19" xfId="0" applyNumberFormat="1" applyFont="1" applyFill="1" applyBorder="1" applyAlignment="1">
      <alignment vertical="center"/>
    </xf>
    <xf numFmtId="0" fontId="1" fillId="18" borderId="19" xfId="0" applyFont="1" applyFill="1" applyBorder="1" applyAlignment="1">
      <alignment vertical="center"/>
    </xf>
    <xf numFmtId="0" fontId="1" fillId="18" borderId="20" xfId="0" applyFont="1" applyFill="1" applyBorder="1" applyAlignment="1">
      <alignment vertical="center"/>
    </xf>
    <xf numFmtId="0" fontId="1" fillId="18" borderId="13" xfId="0" applyFont="1" applyFill="1" applyBorder="1" applyAlignment="1">
      <alignment horizontal="center" vertical="center"/>
    </xf>
    <xf numFmtId="189" fontId="1" fillId="18" borderId="13" xfId="0" applyNumberFormat="1" applyFont="1" applyFill="1" applyBorder="1" applyAlignment="1">
      <alignment vertical="center"/>
    </xf>
    <xf numFmtId="188" fontId="1" fillId="18" borderId="13" xfId="0" applyNumberFormat="1" applyFont="1" applyFill="1" applyBorder="1" applyAlignment="1">
      <alignment vertical="center"/>
    </xf>
    <xf numFmtId="188" fontId="4" fillId="18" borderId="13" xfId="0" applyNumberFormat="1" applyFont="1" applyFill="1" applyBorder="1" applyAlignment="1">
      <alignment horizontal="right" vertical="center" wrapText="1"/>
    </xf>
    <xf numFmtId="187" fontId="1" fillId="19" borderId="18" xfId="0" applyNumberFormat="1" applyFont="1" applyFill="1" applyBorder="1" applyAlignment="1">
      <alignment vertical="center"/>
    </xf>
    <xf numFmtId="0" fontId="1" fillId="19" borderId="19" xfId="0" applyFont="1" applyFill="1" applyBorder="1" applyAlignment="1">
      <alignment vertical="center"/>
    </xf>
    <xf numFmtId="0" fontId="1" fillId="19" borderId="20" xfId="0" applyFont="1" applyFill="1" applyBorder="1" applyAlignment="1">
      <alignment vertical="center"/>
    </xf>
    <xf numFmtId="0" fontId="1" fillId="19" borderId="13" xfId="0" applyFont="1" applyFill="1" applyBorder="1" applyAlignment="1">
      <alignment horizontal="center" vertical="center" wrapText="1"/>
    </xf>
    <xf numFmtId="189" fontId="1" fillId="19" borderId="13" xfId="0" applyNumberFormat="1" applyFont="1" applyFill="1" applyBorder="1" applyAlignment="1">
      <alignment horizontal="right" vertical="center" wrapText="1"/>
    </xf>
    <xf numFmtId="188" fontId="1" fillId="19" borderId="13" xfId="0" applyNumberFormat="1" applyFont="1" applyFill="1" applyBorder="1" applyAlignment="1">
      <alignment horizontal="right" vertical="center" wrapText="1"/>
    </xf>
    <xf numFmtId="188" fontId="1" fillId="19" borderId="13" xfId="0" applyNumberFormat="1" applyFont="1" applyFill="1" applyBorder="1" applyAlignment="1">
      <alignment vertical="center"/>
    </xf>
    <xf numFmtId="187" fontId="1" fillId="18" borderId="20" xfId="0" applyNumberFormat="1" applyFont="1" applyFill="1" applyBorder="1" applyAlignment="1">
      <alignment vertical="center"/>
    </xf>
    <xf numFmtId="0" fontId="1" fillId="18" borderId="13" xfId="0" applyFont="1" applyFill="1" applyBorder="1" applyAlignment="1">
      <alignment horizontal="left" vertical="center"/>
    </xf>
    <xf numFmtId="189" fontId="1" fillId="18" borderId="13" xfId="0" applyNumberFormat="1" applyFont="1" applyFill="1" applyBorder="1" applyAlignment="1">
      <alignment horizontal="right" vertical="center"/>
    </xf>
    <xf numFmtId="188" fontId="1" fillId="18" borderId="13" xfId="0" applyNumberFormat="1" applyFont="1" applyFill="1" applyBorder="1" applyAlignment="1">
      <alignment horizontal="right" vertical="center"/>
    </xf>
    <xf numFmtId="190" fontId="1" fillId="19" borderId="18" xfId="0" applyNumberFormat="1" applyFont="1" applyFill="1" applyBorder="1" applyAlignment="1">
      <alignment vertical="center"/>
    </xf>
    <xf numFmtId="190" fontId="1" fillId="19" borderId="19" xfId="0" applyNumberFormat="1" applyFont="1" applyFill="1" applyBorder="1" applyAlignment="1">
      <alignment vertical="center"/>
    </xf>
    <xf numFmtId="187" fontId="1" fillId="19" borderId="19" xfId="0" applyNumberFormat="1" applyFont="1" applyFill="1" applyBorder="1" applyAlignment="1">
      <alignment vertical="center"/>
    </xf>
    <xf numFmtId="189" fontId="4" fillId="2" borderId="20" xfId="0" applyNumberFormat="1" applyFont="1" applyFill="1" applyBorder="1" applyAlignment="1">
      <alignment horizontal="right" vertical="center"/>
    </xf>
    <xf numFmtId="190" fontId="1" fillId="19" borderId="33" xfId="0" applyNumberFormat="1" applyFont="1" applyFill="1" applyBorder="1" applyAlignment="1">
      <alignment vertical="center"/>
    </xf>
    <xf numFmtId="0" fontId="1" fillId="19" borderId="34" xfId="0" applyFont="1" applyFill="1" applyBorder="1" applyAlignment="1">
      <alignment vertical="center"/>
    </xf>
    <xf numFmtId="190" fontId="1" fillId="19" borderId="34" xfId="0" applyNumberFormat="1" applyFont="1" applyFill="1" applyBorder="1" applyAlignment="1">
      <alignment vertical="center"/>
    </xf>
    <xf numFmtId="187" fontId="1" fillId="19" borderId="34" xfId="0" applyNumberFormat="1" applyFont="1" applyFill="1" applyBorder="1" applyAlignment="1">
      <alignment vertical="center"/>
    </xf>
    <xf numFmtId="0" fontId="1" fillId="19" borderId="35" xfId="0" applyFont="1" applyFill="1" applyBorder="1" applyAlignment="1">
      <alignment vertical="center"/>
    </xf>
    <xf numFmtId="0" fontId="1" fillId="19" borderId="36" xfId="0" applyFont="1" applyFill="1" applyBorder="1" applyAlignment="1">
      <alignment horizontal="center" vertical="center" wrapText="1"/>
    </xf>
    <xf numFmtId="189" fontId="1" fillId="19" borderId="36" xfId="0" applyNumberFormat="1" applyFont="1" applyFill="1" applyBorder="1" applyAlignment="1">
      <alignment horizontal="right" vertical="center" wrapText="1"/>
    </xf>
    <xf numFmtId="188" fontId="1" fillId="19" borderId="36" xfId="0" applyNumberFormat="1" applyFont="1" applyFill="1" applyBorder="1" applyAlignment="1">
      <alignment horizontal="right" vertical="center" wrapText="1"/>
    </xf>
    <xf numFmtId="188" fontId="1" fillId="19" borderId="36" xfId="0" applyNumberFormat="1" applyFont="1" applyFill="1" applyBorder="1" applyAlignment="1">
      <alignment vertical="center"/>
    </xf>
    <xf numFmtId="189" fontId="1" fillId="19" borderId="13" xfId="0" applyNumberFormat="1" applyFont="1" applyFill="1" applyBorder="1" applyAlignment="1">
      <alignment horizontal="center" vertical="center"/>
    </xf>
    <xf numFmtId="0" fontId="6" fillId="0" borderId="22" xfId="0" applyFont="1" applyBorder="1" applyAlignment="1">
      <alignment vertical="center"/>
    </xf>
    <xf numFmtId="189" fontId="4" fillId="3" borderId="13" xfId="0" applyNumberFormat="1" applyFont="1" applyFill="1" applyBorder="1" applyAlignment="1">
      <alignment horizontal="center" vertical="center"/>
    </xf>
    <xf numFmtId="188" fontId="4" fillId="3" borderId="13" xfId="0" applyNumberFormat="1" applyFont="1" applyFill="1" applyBorder="1" applyAlignment="1">
      <alignment horizontal="center" vertical="center"/>
    </xf>
    <xf numFmtId="188" fontId="4" fillId="0" borderId="13" xfId="0" applyNumberFormat="1" applyFont="1" applyBorder="1" applyAlignment="1">
      <alignment horizontal="left" vertical="center" shrinkToFit="1"/>
    </xf>
    <xf numFmtId="0" fontId="1" fillId="0" borderId="25" xfId="0" applyFont="1" applyBorder="1" applyAlignment="1">
      <alignment vertical="center"/>
    </xf>
    <xf numFmtId="0" fontId="4" fillId="0" borderId="25" xfId="0" applyFont="1" applyBorder="1" applyAlignment="1">
      <alignment vertical="center"/>
    </xf>
    <xf numFmtId="0" fontId="4" fillId="0" borderId="37" xfId="0" applyFont="1" applyBorder="1" applyAlignment="1">
      <alignment vertical="center"/>
    </xf>
    <xf numFmtId="0" fontId="4" fillId="0" borderId="28" xfId="0" applyFont="1" applyBorder="1" applyAlignment="1">
      <alignment horizontal="center" vertical="center" wrapText="1"/>
    </xf>
    <xf numFmtId="189" fontId="4" fillId="3" borderId="28" xfId="0" applyNumberFormat="1" applyFont="1" applyFill="1" applyBorder="1" applyAlignment="1">
      <alignment horizontal="center" vertical="center"/>
    </xf>
    <xf numFmtId="188" fontId="4" fillId="0" borderId="28" xfId="0" applyNumberFormat="1" applyFont="1" applyBorder="1" applyAlignment="1">
      <alignment horizontal="left" vertical="center" shrinkToFit="1"/>
    </xf>
    <xf numFmtId="0" fontId="1" fillId="20" borderId="29" xfId="0" applyFont="1" applyFill="1" applyBorder="1" applyAlignment="1">
      <alignment vertical="center"/>
    </xf>
    <xf numFmtId="0" fontId="1" fillId="20" borderId="30" xfId="0" applyFont="1" applyFill="1" applyBorder="1" applyAlignment="1">
      <alignment vertical="center"/>
    </xf>
    <xf numFmtId="0" fontId="1" fillId="20" borderId="31" xfId="0" applyFont="1" applyFill="1" applyBorder="1" applyAlignment="1">
      <alignment vertical="center"/>
    </xf>
    <xf numFmtId="0" fontId="1" fillId="20" borderId="32" xfId="0" applyFont="1" applyFill="1" applyBorder="1" applyAlignment="1">
      <alignment vertical="center"/>
    </xf>
    <xf numFmtId="189" fontId="1" fillId="20" borderId="32" xfId="0" applyNumberFormat="1" applyFont="1" applyFill="1" applyBorder="1" applyAlignment="1">
      <alignment vertical="center"/>
    </xf>
    <xf numFmtId="188" fontId="1" fillId="20" borderId="32" xfId="0" applyNumberFormat="1" applyFont="1" applyFill="1" applyBorder="1" applyAlignment="1">
      <alignment vertical="center"/>
    </xf>
    <xf numFmtId="0" fontId="1" fillId="21" borderId="18" xfId="0" applyFont="1" applyFill="1" applyBorder="1" applyAlignment="1">
      <alignment vertical="center"/>
    </xf>
    <xf numFmtId="0" fontId="1" fillId="21" borderId="19" xfId="0" applyFont="1" applyFill="1" applyBorder="1" applyAlignment="1">
      <alignment vertical="center"/>
    </xf>
    <xf numFmtId="0" fontId="1" fillId="21" borderId="20" xfId="0" applyFont="1" applyFill="1" applyBorder="1" applyAlignment="1">
      <alignment vertical="center"/>
    </xf>
    <xf numFmtId="0" fontId="1" fillId="21" borderId="13" xfId="0" applyFont="1" applyFill="1" applyBorder="1" applyAlignment="1">
      <alignment horizontal="left" vertical="center"/>
    </xf>
    <xf numFmtId="189" fontId="1" fillId="21" borderId="13" xfId="0" applyNumberFormat="1" applyFont="1" applyFill="1" applyBorder="1" applyAlignment="1">
      <alignment horizontal="left" vertical="center"/>
    </xf>
    <xf numFmtId="188" fontId="1" fillId="21" borderId="13" xfId="0" applyNumberFormat="1" applyFont="1" applyFill="1" applyBorder="1" applyAlignment="1">
      <alignment horizontal="left" vertical="center"/>
    </xf>
    <xf numFmtId="188" fontId="1" fillId="21" borderId="13" xfId="0" applyNumberFormat="1" applyFont="1" applyFill="1" applyBorder="1" applyAlignment="1">
      <alignment vertical="center"/>
    </xf>
    <xf numFmtId="0" fontId="1" fillId="22" borderId="18" xfId="0" applyFont="1" applyFill="1" applyBorder="1" applyAlignment="1">
      <alignment vertical="center"/>
    </xf>
    <xf numFmtId="187" fontId="1" fillId="22" borderId="19" xfId="0" applyNumberFormat="1" applyFont="1" applyFill="1" applyBorder="1" applyAlignment="1">
      <alignment vertical="center"/>
    </xf>
    <xf numFmtId="0" fontId="1" fillId="22" borderId="19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22" borderId="13" xfId="0" applyFont="1" applyFill="1" applyBorder="1" applyAlignment="1">
      <alignment horizontal="center" vertical="center"/>
    </xf>
    <xf numFmtId="189" fontId="1" fillId="22" borderId="13" xfId="0" applyNumberFormat="1" applyFont="1" applyFill="1" applyBorder="1" applyAlignment="1">
      <alignment horizontal="center" vertical="center"/>
    </xf>
    <xf numFmtId="188" fontId="1" fillId="22" borderId="13" xfId="0" applyNumberFormat="1" applyFont="1" applyFill="1" applyBorder="1" applyAlignment="1">
      <alignment horizontal="right" vertical="center" wrapText="1"/>
    </xf>
    <xf numFmtId="188" fontId="1" fillId="22" borderId="13" xfId="0" applyNumberFormat="1" applyFont="1" applyFill="1" applyBorder="1" applyAlignment="1">
      <alignment vertical="center"/>
    </xf>
    <xf numFmtId="187" fontId="1" fillId="3" borderId="21" xfId="0" applyNumberFormat="1" applyFont="1" applyFill="1" applyBorder="1" applyAlignment="1">
      <alignment vertical="center"/>
    </xf>
    <xf numFmtId="187" fontId="1" fillId="3" borderId="22" xfId="0" applyNumberFormat="1" applyFont="1" applyFill="1" applyBorder="1" applyAlignment="1">
      <alignment vertical="center"/>
    </xf>
    <xf numFmtId="0" fontId="6" fillId="3" borderId="19" xfId="0" applyFont="1" applyFill="1" applyBorder="1" applyAlignment="1">
      <alignment vertical="center"/>
    </xf>
    <xf numFmtId="188" fontId="4" fillId="3" borderId="13" xfId="0" applyNumberFormat="1" applyFont="1" applyFill="1" applyBorder="1" applyAlignment="1">
      <alignment horizontal="right" vertical="center" wrapText="1"/>
    </xf>
    <xf numFmtId="0" fontId="4" fillId="22" borderId="19" xfId="0" applyFont="1" applyFill="1" applyBorder="1" applyAlignment="1">
      <alignment vertical="center"/>
    </xf>
    <xf numFmtId="0" fontId="4" fillId="22" borderId="20" xfId="0" applyFont="1" applyFill="1" applyBorder="1" applyAlignment="1">
      <alignment vertical="center"/>
    </xf>
    <xf numFmtId="0" fontId="1" fillId="22" borderId="22" xfId="0" applyFont="1" applyFill="1" applyBorder="1" applyAlignment="1">
      <alignment vertical="center"/>
    </xf>
    <xf numFmtId="0" fontId="4" fillId="22" borderId="22" xfId="0" applyFont="1" applyFill="1" applyBorder="1" applyAlignment="1">
      <alignment vertical="center"/>
    </xf>
    <xf numFmtId="0" fontId="4" fillId="22" borderId="23" xfId="0" applyFont="1" applyFill="1" applyBorder="1" applyAlignment="1">
      <alignment vertical="center"/>
    </xf>
    <xf numFmtId="0" fontId="1" fillId="22" borderId="23" xfId="0" applyFont="1" applyFill="1" applyBorder="1" applyAlignment="1">
      <alignment vertical="center"/>
    </xf>
    <xf numFmtId="0" fontId="1" fillId="0" borderId="23" xfId="0" applyFont="1" applyBorder="1" applyAlignment="1">
      <alignment vertical="center"/>
    </xf>
    <xf numFmtId="0" fontId="1" fillId="3" borderId="13" xfId="0" applyFont="1" applyFill="1" applyBorder="1" applyAlignment="1">
      <alignment horizontal="center" vertical="center" wrapText="1"/>
    </xf>
    <xf numFmtId="0" fontId="4" fillId="0" borderId="22" xfId="0" quotePrefix="1" applyFont="1" applyBorder="1" applyAlignment="1">
      <alignment horizontal="left" vertical="center"/>
    </xf>
    <xf numFmtId="189" fontId="1" fillId="3" borderId="13" xfId="0" applyNumberFormat="1" applyFont="1" applyFill="1" applyBorder="1" applyAlignment="1">
      <alignment horizontal="center" vertical="center"/>
    </xf>
    <xf numFmtId="187" fontId="1" fillId="0" borderId="25" xfId="0" applyNumberFormat="1" applyFont="1" applyBorder="1" applyAlignment="1">
      <alignment horizontal="left" vertical="center"/>
    </xf>
    <xf numFmtId="0" fontId="4" fillId="0" borderId="25" xfId="0" applyFont="1" applyBorder="1" applyAlignment="1">
      <alignment horizontal="right" vertical="center"/>
    </xf>
    <xf numFmtId="0" fontId="4" fillId="0" borderId="37" xfId="0" quotePrefix="1" applyFont="1" applyBorder="1" applyAlignment="1">
      <alignment vertical="center"/>
    </xf>
    <xf numFmtId="189" fontId="4" fillId="2" borderId="28" xfId="0" applyNumberFormat="1" applyFont="1" applyFill="1" applyBorder="1" applyAlignment="1">
      <alignment horizontal="right" vertical="center" wrapText="1"/>
    </xf>
    <xf numFmtId="189" fontId="4" fillId="0" borderId="13" xfId="0" applyNumberFormat="1" applyFont="1" applyBorder="1" applyAlignment="1">
      <alignment horizontal="center" vertical="center"/>
    </xf>
    <xf numFmtId="187" fontId="4" fillId="0" borderId="21" xfId="0" applyNumberFormat="1" applyFont="1" applyBorder="1" applyAlignment="1">
      <alignment vertical="center"/>
    </xf>
    <xf numFmtId="187" fontId="4" fillId="0" borderId="22" xfId="0" applyNumberFormat="1" applyFont="1" applyBorder="1" applyAlignment="1">
      <alignment vertical="center"/>
    </xf>
    <xf numFmtId="187" fontId="4" fillId="0" borderId="22" xfId="0" applyNumberFormat="1" applyFont="1" applyBorder="1" applyAlignment="1">
      <alignment horizontal="left" vertical="center"/>
    </xf>
    <xf numFmtId="0" fontId="1" fillId="22" borderId="33" xfId="0" applyFont="1" applyFill="1" applyBorder="1" applyAlignment="1">
      <alignment vertical="center"/>
    </xf>
    <xf numFmtId="187" fontId="1" fillId="22" borderId="34" xfId="0" applyNumberFormat="1" applyFont="1" applyFill="1" applyBorder="1" applyAlignment="1">
      <alignment vertical="center"/>
    </xf>
    <xf numFmtId="0" fontId="1" fillId="22" borderId="34" xfId="0" applyFont="1" applyFill="1" applyBorder="1" applyAlignment="1">
      <alignment vertical="center"/>
    </xf>
    <xf numFmtId="0" fontId="1" fillId="22" borderId="35" xfId="0" applyFont="1" applyFill="1" applyBorder="1" applyAlignment="1">
      <alignment vertical="center"/>
    </xf>
    <xf numFmtId="0" fontId="1" fillId="22" borderId="36" xfId="0" applyFont="1" applyFill="1" applyBorder="1" applyAlignment="1">
      <alignment horizontal="center" vertical="center"/>
    </xf>
    <xf numFmtId="189" fontId="1" fillId="22" borderId="36" xfId="0" applyNumberFormat="1" applyFont="1" applyFill="1" applyBorder="1" applyAlignment="1">
      <alignment horizontal="center" vertical="center"/>
    </xf>
    <xf numFmtId="188" fontId="1" fillId="22" borderId="36" xfId="0" applyNumberFormat="1" applyFont="1" applyFill="1" applyBorder="1" applyAlignment="1">
      <alignment horizontal="right" vertical="center" wrapText="1"/>
    </xf>
    <xf numFmtId="188" fontId="1" fillId="22" borderId="36" xfId="0" applyNumberFormat="1" applyFont="1" applyFill="1" applyBorder="1" applyAlignment="1">
      <alignment vertical="center"/>
    </xf>
    <xf numFmtId="0" fontId="1" fillId="0" borderId="22" xfId="0" quotePrefix="1" applyFont="1" applyBorder="1" applyAlignment="1">
      <alignment vertical="center"/>
    </xf>
    <xf numFmtId="187" fontId="1" fillId="12" borderId="22" xfId="0" applyNumberFormat="1" applyFont="1" applyFill="1" applyBorder="1" applyAlignment="1">
      <alignment horizontal="left" vertical="center"/>
    </xf>
    <xf numFmtId="0" fontId="1" fillId="12" borderId="22" xfId="0" applyFont="1" applyFill="1" applyBorder="1" applyAlignment="1">
      <alignment vertical="center"/>
    </xf>
    <xf numFmtId="0" fontId="1" fillId="12" borderId="23" xfId="0" applyFont="1" applyFill="1" applyBorder="1" applyAlignment="1">
      <alignment vertical="center"/>
    </xf>
    <xf numFmtId="0" fontId="1" fillId="0" borderId="21" xfId="0" applyFont="1" applyBorder="1" applyAlignment="1">
      <alignment horizontal="center" vertical="center"/>
    </xf>
    <xf numFmtId="189" fontId="1" fillId="0" borderId="13" xfId="0" applyNumberFormat="1" applyFont="1" applyBorder="1" applyAlignment="1">
      <alignment horizontal="right" vertical="center" wrapText="1"/>
    </xf>
    <xf numFmtId="0" fontId="4" fillId="0" borderId="23" xfId="0" applyFont="1" applyBorder="1" applyAlignment="1">
      <alignment horizontal="left" vertical="center"/>
    </xf>
    <xf numFmtId="0" fontId="4" fillId="0" borderId="21" xfId="0" applyFont="1" applyBorder="1" applyAlignment="1">
      <alignment horizontal="center" vertical="center"/>
    </xf>
    <xf numFmtId="187" fontId="4" fillId="0" borderId="38" xfId="0" applyNumberFormat="1" applyFont="1" applyBorder="1" applyAlignment="1">
      <alignment vertical="center"/>
    </xf>
    <xf numFmtId="187" fontId="4" fillId="0" borderId="39" xfId="0" applyNumberFormat="1" applyFont="1" applyBorder="1" applyAlignment="1">
      <alignment vertical="center"/>
    </xf>
    <xf numFmtId="187" fontId="4" fillId="0" borderId="39" xfId="0" applyNumberFormat="1" applyFont="1" applyBorder="1" applyAlignment="1">
      <alignment horizontal="left" vertical="center"/>
    </xf>
    <xf numFmtId="187" fontId="1" fillId="0" borderId="39" xfId="0" applyNumberFormat="1" applyFont="1" applyBorder="1" applyAlignment="1">
      <alignment horizontal="left" vertical="center"/>
    </xf>
    <xf numFmtId="0" fontId="4" fillId="0" borderId="39" xfId="0" applyFont="1" applyBorder="1" applyAlignment="1">
      <alignment vertical="center"/>
    </xf>
    <xf numFmtId="0" fontId="4" fillId="0" borderId="40" xfId="0" applyFont="1" applyBorder="1" applyAlignment="1">
      <alignment vertical="center"/>
    </xf>
    <xf numFmtId="0" fontId="1" fillId="0" borderId="38" xfId="0" applyFont="1" applyBorder="1" applyAlignment="1">
      <alignment horizontal="center" vertical="center"/>
    </xf>
    <xf numFmtId="188" fontId="4" fillId="0" borderId="41" xfId="0" applyNumberFormat="1" applyFont="1" applyBorder="1" applyAlignment="1">
      <alignment vertical="center"/>
    </xf>
    <xf numFmtId="187" fontId="4" fillId="0" borderId="24" xfId="0" applyNumberFormat="1" applyFont="1" applyBorder="1" applyAlignment="1">
      <alignment vertical="center"/>
    </xf>
    <xf numFmtId="187" fontId="4" fillId="0" borderId="25" xfId="0" applyNumberFormat="1" applyFont="1" applyBorder="1" applyAlignment="1">
      <alignment vertical="center"/>
    </xf>
    <xf numFmtId="187" fontId="4" fillId="0" borderId="25" xfId="0" applyNumberFormat="1" applyFont="1" applyBorder="1" applyAlignment="1">
      <alignment horizontal="left" vertical="center"/>
    </xf>
    <xf numFmtId="0" fontId="4" fillId="0" borderId="24" xfId="0" applyFont="1" applyBorder="1" applyAlignment="1">
      <alignment horizontal="center" vertical="center"/>
    </xf>
    <xf numFmtId="187" fontId="1" fillId="0" borderId="19" xfId="0" applyNumberFormat="1" applyFont="1" applyBorder="1" applyAlignment="1">
      <alignment horizontal="left" vertical="center"/>
    </xf>
    <xf numFmtId="0" fontId="1" fillId="0" borderId="19" xfId="0" applyFont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0" borderId="18" xfId="0" applyFont="1" applyBorder="1" applyAlignment="1">
      <alignment horizontal="center" vertical="center"/>
    </xf>
    <xf numFmtId="0" fontId="8" fillId="0" borderId="22" xfId="0" applyFont="1" applyBorder="1" applyAlignment="1">
      <alignment vertical="center"/>
    </xf>
    <xf numFmtId="0" fontId="4" fillId="12" borderId="22" xfId="0" applyFont="1" applyFill="1" applyBorder="1" applyAlignment="1">
      <alignment vertical="center"/>
    </xf>
    <xf numFmtId="0" fontId="4" fillId="12" borderId="23" xfId="0" applyFont="1" applyFill="1" applyBorder="1" applyAlignment="1">
      <alignment vertical="center"/>
    </xf>
    <xf numFmtId="0" fontId="4" fillId="12" borderId="21" xfId="0" applyFont="1" applyFill="1" applyBorder="1" applyAlignment="1">
      <alignment horizontal="center" vertical="center"/>
    </xf>
    <xf numFmtId="187" fontId="1" fillId="16" borderId="22" xfId="0" applyNumberFormat="1" applyFont="1" applyFill="1" applyBorder="1" applyAlignment="1">
      <alignment horizontal="left" vertical="center"/>
    </xf>
    <xf numFmtId="0" fontId="4" fillId="16" borderId="22" xfId="0" applyFont="1" applyFill="1" applyBorder="1" applyAlignment="1">
      <alignment vertical="center"/>
    </xf>
    <xf numFmtId="0" fontId="4" fillId="16" borderId="23" xfId="0" applyFont="1" applyFill="1" applyBorder="1" applyAlignment="1">
      <alignment vertical="center"/>
    </xf>
    <xf numFmtId="0" fontId="4" fillId="16" borderId="21" xfId="0" applyFont="1" applyFill="1" applyBorder="1" applyAlignment="1">
      <alignment horizontal="center" vertical="center"/>
    </xf>
    <xf numFmtId="187" fontId="1" fillId="0" borderId="42" xfId="0" applyNumberFormat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3" xfId="0" applyNumberFormat="1" applyFont="1" applyBorder="1" applyAlignment="1">
      <alignment horizontal="left" vertical="center"/>
    </xf>
    <xf numFmtId="0" fontId="4" fillId="0" borderId="43" xfId="0" applyFont="1" applyBorder="1" applyAlignment="1">
      <alignment vertical="center"/>
    </xf>
    <xf numFmtId="0" fontId="4" fillId="0" borderId="44" xfId="0" applyFont="1" applyBorder="1" applyAlignment="1">
      <alignment vertical="center"/>
    </xf>
    <xf numFmtId="0" fontId="4" fillId="0" borderId="42" xfId="0" applyFont="1" applyBorder="1" applyAlignment="1">
      <alignment horizontal="center" vertical="center"/>
    </xf>
    <xf numFmtId="189" fontId="4" fillId="0" borderId="45" xfId="0" applyNumberFormat="1" applyFont="1" applyBorder="1" applyAlignment="1">
      <alignment horizontal="right" vertical="center" wrapText="1"/>
    </xf>
    <xf numFmtId="189" fontId="4" fillId="2" borderId="45" xfId="0" applyNumberFormat="1" applyFont="1" applyFill="1" applyBorder="1" applyAlignment="1">
      <alignment horizontal="right" vertical="center" wrapText="1"/>
    </xf>
    <xf numFmtId="188" fontId="4" fillId="0" borderId="45" xfId="0" applyNumberFormat="1" applyFont="1" applyBorder="1" applyAlignment="1">
      <alignment vertical="center"/>
    </xf>
    <xf numFmtId="188" fontId="1" fillId="22" borderId="17" xfId="0" applyNumberFormat="1" applyFont="1" applyFill="1" applyBorder="1" applyAlignment="1">
      <alignment horizontal="right" vertical="center" wrapText="1"/>
    </xf>
    <xf numFmtId="0" fontId="4" fillId="14" borderId="46" xfId="0" applyFont="1" applyFill="1" applyBorder="1" applyAlignment="1">
      <alignment horizontal="right" vertical="center"/>
    </xf>
    <xf numFmtId="0" fontId="4" fillId="14" borderId="46" xfId="0" quotePrefix="1" applyFont="1" applyFill="1" applyBorder="1" applyAlignment="1">
      <alignment vertical="center"/>
    </xf>
    <xf numFmtId="0" fontId="4" fillId="14" borderId="46" xfId="0" applyFont="1" applyFill="1" applyBorder="1" applyAlignment="1">
      <alignment vertical="center"/>
    </xf>
    <xf numFmtId="0" fontId="4" fillId="14" borderId="47" xfId="0" applyFont="1" applyFill="1" applyBorder="1" applyAlignment="1">
      <alignment vertical="center"/>
    </xf>
    <xf numFmtId="0" fontId="4" fillId="3" borderId="45" xfId="0" applyFont="1" applyFill="1" applyBorder="1" applyAlignment="1">
      <alignment horizontal="center" vertical="center" wrapText="1"/>
    </xf>
    <xf numFmtId="189" fontId="4" fillId="3" borderId="45" xfId="0" applyNumberFormat="1" applyFont="1" applyFill="1" applyBorder="1" applyAlignment="1">
      <alignment horizontal="right" vertical="center" wrapText="1"/>
    </xf>
    <xf numFmtId="189" fontId="4" fillId="2" borderId="46" xfId="0" applyNumberFormat="1" applyFont="1" applyFill="1" applyBorder="1" applyAlignment="1">
      <alignment horizontal="right" vertical="center"/>
    </xf>
    <xf numFmtId="188" fontId="4" fillId="0" borderId="45" xfId="0" applyNumberFormat="1" applyFont="1" applyBorder="1" applyAlignment="1">
      <alignment horizontal="right" vertical="center" wrapText="1"/>
    </xf>
    <xf numFmtId="187" fontId="1" fillId="3" borderId="22" xfId="0" applyNumberFormat="1" applyFont="1" applyFill="1" applyBorder="1" applyAlignment="1">
      <alignment horizontal="left" vertical="center"/>
    </xf>
    <xf numFmtId="0" fontId="4" fillId="3" borderId="22" xfId="0" applyFont="1" applyFill="1" applyBorder="1" applyAlignment="1">
      <alignment vertical="center"/>
    </xf>
    <xf numFmtId="0" fontId="4" fillId="3" borderId="23" xfId="0" applyFont="1" applyFill="1" applyBorder="1" applyAlignment="1">
      <alignment vertical="center"/>
    </xf>
    <xf numFmtId="0" fontId="4" fillId="3" borderId="21" xfId="0" applyFont="1" applyFill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1" fillId="3" borderId="18" xfId="0" applyFont="1" applyFill="1" applyBorder="1" applyAlignment="1">
      <alignment vertical="center"/>
    </xf>
    <xf numFmtId="0" fontId="1" fillId="3" borderId="48" xfId="0" applyFont="1" applyFill="1" applyBorder="1" applyAlignment="1">
      <alignment vertical="center"/>
    </xf>
    <xf numFmtId="187" fontId="1" fillId="3" borderId="46" xfId="0" applyNumberFormat="1" applyFont="1" applyFill="1" applyBorder="1" applyAlignment="1">
      <alignment vertical="center"/>
    </xf>
    <xf numFmtId="0" fontId="1" fillId="3" borderId="46" xfId="0" applyFont="1" applyFill="1" applyBorder="1" applyAlignment="1">
      <alignment vertical="center"/>
    </xf>
    <xf numFmtId="0" fontId="1" fillId="0" borderId="43" xfId="0" applyFont="1" applyBorder="1" applyAlignment="1">
      <alignment vertical="center"/>
    </xf>
    <xf numFmtId="0" fontId="4" fillId="0" borderId="45" xfId="0" applyFont="1" applyBorder="1" applyAlignment="1">
      <alignment horizontal="center" vertical="center" wrapText="1"/>
    </xf>
    <xf numFmtId="189" fontId="4" fillId="3" borderId="45" xfId="0" applyNumberFormat="1" applyFont="1" applyFill="1" applyBorder="1" applyAlignment="1">
      <alignment horizontal="center" vertical="center"/>
    </xf>
    <xf numFmtId="188" fontId="4" fillId="3" borderId="45" xfId="0" applyNumberFormat="1" applyFont="1" applyFill="1" applyBorder="1" applyAlignment="1">
      <alignment horizontal="center" vertical="center"/>
    </xf>
    <xf numFmtId="187" fontId="5" fillId="0" borderId="21" xfId="0" applyNumberFormat="1" applyFont="1" applyBorder="1" applyAlignment="1">
      <alignment vertical="center"/>
    </xf>
    <xf numFmtId="187" fontId="5" fillId="0" borderId="22" xfId="0" applyNumberFormat="1" applyFont="1" applyBorder="1" applyAlignment="1">
      <alignment vertical="center"/>
    </xf>
    <xf numFmtId="187" fontId="5" fillId="0" borderId="22" xfId="0" applyNumberFormat="1" applyFont="1" applyBorder="1" applyAlignment="1">
      <alignment horizontal="left" vertical="center"/>
    </xf>
    <xf numFmtId="0" fontId="9" fillId="0" borderId="22" xfId="0" quotePrefix="1" applyFont="1" applyBorder="1" applyAlignment="1">
      <alignment vertical="center"/>
    </xf>
    <xf numFmtId="0" fontId="9" fillId="0" borderId="22" xfId="0" applyFont="1" applyBorder="1" applyAlignment="1">
      <alignment vertical="center"/>
    </xf>
    <xf numFmtId="0" fontId="9" fillId="0" borderId="23" xfId="0" applyFont="1" applyBorder="1" applyAlignment="1">
      <alignment vertical="center"/>
    </xf>
    <xf numFmtId="0" fontId="9" fillId="3" borderId="13" xfId="0" applyFont="1" applyFill="1" applyBorder="1" applyAlignment="1">
      <alignment horizontal="center" vertical="center" wrapText="1"/>
    </xf>
    <xf numFmtId="189" fontId="9" fillId="3" borderId="13" xfId="0" applyNumberFormat="1" applyFont="1" applyFill="1" applyBorder="1" applyAlignment="1">
      <alignment horizontal="right" vertical="center" wrapText="1"/>
    </xf>
    <xf numFmtId="188" fontId="9" fillId="0" borderId="13" xfId="0" applyNumberFormat="1" applyFont="1" applyBorder="1" applyAlignment="1">
      <alignment horizontal="right" vertical="center" wrapText="1"/>
    </xf>
    <xf numFmtId="188" fontId="9" fillId="0" borderId="13" xfId="0" applyNumberFormat="1" applyFont="1" applyBorder="1" applyAlignment="1">
      <alignment vertical="center"/>
    </xf>
    <xf numFmtId="0" fontId="4" fillId="0" borderId="23" xfId="0" quotePrefix="1" applyFont="1" applyBorder="1" applyAlignment="1">
      <alignment horizontal="left" vertical="center"/>
    </xf>
    <xf numFmtId="0" fontId="1" fillId="8" borderId="18" xfId="0" applyFont="1" applyFill="1" applyBorder="1" applyAlignment="1">
      <alignment vertical="center"/>
    </xf>
    <xf numFmtId="0" fontId="1" fillId="8" borderId="19" xfId="0" applyFont="1" applyFill="1" applyBorder="1" applyAlignment="1">
      <alignment vertical="center"/>
    </xf>
    <xf numFmtId="0" fontId="1" fillId="8" borderId="20" xfId="0" applyFont="1" applyFill="1" applyBorder="1" applyAlignment="1">
      <alignment vertical="center"/>
    </xf>
    <xf numFmtId="0" fontId="1" fillId="8" borderId="13" xfId="0" applyFont="1" applyFill="1" applyBorder="1" applyAlignment="1">
      <alignment horizontal="left" vertical="center"/>
    </xf>
    <xf numFmtId="189" fontId="1" fillId="8" borderId="13" xfId="0" applyNumberFormat="1" applyFont="1" applyFill="1" applyBorder="1" applyAlignment="1">
      <alignment horizontal="left" vertical="center"/>
    </xf>
    <xf numFmtId="188" fontId="1" fillId="8" borderId="13" xfId="0" applyNumberFormat="1" applyFont="1" applyFill="1" applyBorder="1" applyAlignment="1">
      <alignment horizontal="left" vertical="center"/>
    </xf>
    <xf numFmtId="188" fontId="4" fillId="8" borderId="13" xfId="0" applyNumberFormat="1" applyFont="1" applyFill="1" applyBorder="1" applyAlignment="1">
      <alignment vertical="center"/>
    </xf>
    <xf numFmtId="0" fontId="4" fillId="3" borderId="13" xfId="0" applyFont="1" applyFill="1" applyBorder="1" applyAlignment="1">
      <alignment horizontal="center" vertical="center"/>
    </xf>
    <xf numFmtId="0" fontId="4" fillId="3" borderId="46" xfId="0" applyFont="1" applyFill="1" applyBorder="1" applyAlignment="1">
      <alignment vertical="center"/>
    </xf>
    <xf numFmtId="0" fontId="4" fillId="3" borderId="47" xfId="0" applyFont="1" applyFill="1" applyBorder="1" applyAlignment="1">
      <alignment vertical="center"/>
    </xf>
    <xf numFmtId="0" fontId="4" fillId="3" borderId="45" xfId="0" applyFont="1" applyFill="1" applyBorder="1" applyAlignment="1">
      <alignment horizontal="center" vertical="center"/>
    </xf>
    <xf numFmtId="188" fontId="4" fillId="3" borderId="45" xfId="0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188" fontId="4" fillId="0" borderId="0" xfId="0" applyNumberFormat="1" applyFont="1" applyAlignment="1">
      <alignment horizontal="center" vertical="center"/>
    </xf>
    <xf numFmtId="192" fontId="4" fillId="0" borderId="0" xfId="0" applyNumberFormat="1" applyFont="1" applyAlignment="1">
      <alignment horizontal="center" vertical="center"/>
    </xf>
    <xf numFmtId="188" fontId="4" fillId="0" borderId="0" xfId="0" applyNumberFormat="1" applyFont="1" applyAlignment="1">
      <alignment vertical="center"/>
    </xf>
    <xf numFmtId="187" fontId="11" fillId="2" borderId="1" xfId="0" applyNumberFormat="1" applyFont="1" applyFill="1" applyBorder="1" applyAlignment="1">
      <alignment horizontal="center" vertical="center" wrapText="1"/>
    </xf>
    <xf numFmtId="187" fontId="11" fillId="4" borderId="1" xfId="0" applyNumberFormat="1" applyFont="1" applyFill="1" applyBorder="1" applyAlignment="1">
      <alignment horizontal="center" vertical="center" wrapText="1"/>
    </xf>
    <xf numFmtId="189" fontId="4" fillId="3" borderId="26" xfId="0" applyNumberFormat="1" applyFont="1" applyFill="1" applyBorder="1" applyAlignment="1">
      <alignment horizontal="right" vertical="center"/>
    </xf>
    <xf numFmtId="188" fontId="4" fillId="3" borderId="28" xfId="0" applyNumberFormat="1" applyFont="1" applyFill="1" applyBorder="1" applyAlignment="1">
      <alignment horizontal="right" vertical="center" wrapText="1"/>
    </xf>
    <xf numFmtId="188" fontId="4" fillId="3" borderId="28" xfId="0" applyNumberFormat="1" applyFont="1" applyFill="1" applyBorder="1" applyAlignment="1">
      <alignment vertical="center"/>
    </xf>
    <xf numFmtId="188" fontId="4" fillId="19" borderId="13" xfId="0" applyNumberFormat="1" applyFont="1" applyFill="1" applyBorder="1" applyAlignment="1">
      <alignment vertical="center"/>
    </xf>
    <xf numFmtId="189" fontId="4" fillId="3" borderId="19" xfId="0" applyNumberFormat="1" applyFont="1" applyFill="1" applyBorder="1" applyAlignment="1">
      <alignment horizontal="right" vertical="center"/>
    </xf>
    <xf numFmtId="188" fontId="12" fillId="4" borderId="13" xfId="0" applyNumberFormat="1" applyFont="1" applyFill="1" applyBorder="1" applyAlignment="1">
      <alignment vertical="center"/>
    </xf>
    <xf numFmtId="188" fontId="1" fillId="3" borderId="13" xfId="0" applyNumberFormat="1" applyFont="1" applyFill="1" applyBorder="1" applyAlignment="1">
      <alignment horizontal="right" vertical="center" wrapText="1"/>
    </xf>
    <xf numFmtId="0" fontId="4" fillId="16" borderId="13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189" fontId="4" fillId="0" borderId="13" xfId="0" applyNumberFormat="1" applyFont="1" applyBorder="1" applyAlignment="1">
      <alignment horizontal="right" vertical="center"/>
    </xf>
    <xf numFmtId="189" fontId="4" fillId="23" borderId="13" xfId="0" applyNumberFormat="1" applyFont="1" applyFill="1" applyBorder="1" applyAlignment="1">
      <alignment horizontal="right" vertical="center" wrapText="1"/>
    </xf>
    <xf numFmtId="188" fontId="4" fillId="23" borderId="13" xfId="0" applyNumberFormat="1" applyFont="1" applyFill="1" applyBorder="1" applyAlignment="1">
      <alignment horizontal="right" vertical="center"/>
    </xf>
    <xf numFmtId="189" fontId="1" fillId="24" borderId="13" xfId="0" applyNumberFormat="1" applyFont="1" applyFill="1" applyBorder="1" applyAlignment="1">
      <alignment horizontal="right" vertical="center" wrapText="1"/>
    </xf>
    <xf numFmtId="188" fontId="1" fillId="24" borderId="13" xfId="0" applyNumberFormat="1" applyFont="1" applyFill="1" applyBorder="1" applyAlignment="1">
      <alignment horizontal="right" vertical="center" wrapText="1"/>
    </xf>
    <xf numFmtId="188" fontId="4" fillId="0" borderId="13" xfId="0" applyNumberFormat="1" applyFont="1" applyBorder="1" applyAlignment="1">
      <alignment horizontal="right" vertical="center"/>
    </xf>
    <xf numFmtId="0" fontId="4" fillId="0" borderId="28" xfId="0" applyFont="1" applyBorder="1" applyAlignment="1">
      <alignment horizontal="center" vertical="center"/>
    </xf>
    <xf numFmtId="189" fontId="4" fillId="0" borderId="28" xfId="0" applyNumberFormat="1" applyFont="1" applyBorder="1" applyAlignment="1">
      <alignment horizontal="right" vertical="center"/>
    </xf>
    <xf numFmtId="188" fontId="4" fillId="0" borderId="28" xfId="0" applyNumberFormat="1" applyFont="1" applyBorder="1" applyAlignment="1">
      <alignment horizontal="right" vertical="center"/>
    </xf>
    <xf numFmtId="0" fontId="1" fillId="22" borderId="17" xfId="0" applyFont="1" applyFill="1" applyBorder="1" applyAlignment="1">
      <alignment horizontal="center" vertical="center"/>
    </xf>
    <xf numFmtId="189" fontId="1" fillId="22" borderId="17" xfId="0" applyNumberFormat="1" applyFont="1" applyFill="1" applyBorder="1" applyAlignment="1">
      <alignment horizontal="center" vertical="center"/>
    </xf>
    <xf numFmtId="187" fontId="5" fillId="3" borderId="21" xfId="0" applyNumberFormat="1" applyFont="1" applyFill="1" applyBorder="1" applyAlignment="1">
      <alignment vertical="center"/>
    </xf>
    <xf numFmtId="187" fontId="5" fillId="3" borderId="22" xfId="0" applyNumberFormat="1" applyFont="1" applyFill="1" applyBorder="1" applyAlignment="1">
      <alignment vertical="center"/>
    </xf>
    <xf numFmtId="187" fontId="5" fillId="3" borderId="22" xfId="0" applyNumberFormat="1" applyFont="1" applyFill="1" applyBorder="1" applyAlignment="1">
      <alignment horizontal="left" vertical="center"/>
    </xf>
    <xf numFmtId="0" fontId="9" fillId="3" borderId="22" xfId="0" quotePrefix="1" applyFont="1" applyFill="1" applyBorder="1" applyAlignment="1">
      <alignment vertical="center"/>
    </xf>
    <xf numFmtId="0" fontId="9" fillId="3" borderId="22" xfId="0" applyFont="1" applyFill="1" applyBorder="1" applyAlignment="1">
      <alignment vertical="center"/>
    </xf>
    <xf numFmtId="0" fontId="9" fillId="3" borderId="23" xfId="0" applyFont="1" applyFill="1" applyBorder="1" applyAlignment="1">
      <alignment vertical="center"/>
    </xf>
    <xf numFmtId="188" fontId="9" fillId="3" borderId="13" xfId="0" applyNumberFormat="1" applyFont="1" applyFill="1" applyBorder="1" applyAlignment="1">
      <alignment horizontal="right" vertical="center" wrapText="1"/>
    </xf>
    <xf numFmtId="188" fontId="9" fillId="3" borderId="13" xfId="0" applyNumberFormat="1" applyFont="1" applyFill="1" applyBorder="1" applyAlignment="1">
      <alignment vertical="center"/>
    </xf>
    <xf numFmtId="189" fontId="4" fillId="0" borderId="28" xfId="0" applyNumberFormat="1" applyFont="1" applyBorder="1" applyAlignment="1">
      <alignment horizontal="right" vertical="center" wrapText="1"/>
    </xf>
    <xf numFmtId="189" fontId="4" fillId="3" borderId="20" xfId="0" applyNumberFormat="1" applyFont="1" applyFill="1" applyBorder="1" applyAlignment="1">
      <alignment horizontal="right" vertical="center"/>
    </xf>
    <xf numFmtId="0" fontId="4" fillId="3" borderId="22" xfId="0" applyFont="1" applyFill="1" applyBorder="1" applyAlignment="1">
      <alignment horizontal="right" vertical="center"/>
    </xf>
    <xf numFmtId="0" fontId="4" fillId="0" borderId="45" xfId="0" applyFont="1" applyBorder="1" applyAlignment="1">
      <alignment horizontal="center" vertical="center"/>
    </xf>
    <xf numFmtId="189" fontId="4" fillId="0" borderId="45" xfId="0" applyNumberFormat="1" applyFont="1" applyBorder="1" applyAlignment="1">
      <alignment horizontal="right" vertical="center"/>
    </xf>
    <xf numFmtId="188" fontId="4" fillId="0" borderId="45" xfId="0" applyNumberFormat="1" applyFont="1" applyBorder="1" applyAlignment="1">
      <alignment horizontal="right" vertical="center"/>
    </xf>
    <xf numFmtId="0" fontId="1" fillId="22" borderId="51" xfId="0" applyFont="1" applyFill="1" applyBorder="1" applyAlignment="1">
      <alignment vertical="center"/>
    </xf>
    <xf numFmtId="0" fontId="1" fillId="22" borderId="41" xfId="0" applyFont="1" applyFill="1" applyBorder="1" applyAlignment="1">
      <alignment horizontal="center" vertical="center"/>
    </xf>
    <xf numFmtId="189" fontId="1" fillId="22" borderId="41" xfId="0" applyNumberFormat="1" applyFont="1" applyFill="1" applyBorder="1" applyAlignment="1">
      <alignment horizontal="center" vertical="center"/>
    </xf>
    <xf numFmtId="188" fontId="1" fillId="22" borderId="41" xfId="0" applyNumberFormat="1" applyFont="1" applyFill="1" applyBorder="1" applyAlignment="1">
      <alignment horizontal="right" vertical="center" wrapText="1"/>
    </xf>
    <xf numFmtId="188" fontId="1" fillId="22" borderId="41" xfId="0" applyNumberFormat="1" applyFont="1" applyFill="1" applyBorder="1" applyAlignment="1">
      <alignment vertical="center"/>
    </xf>
    <xf numFmtId="188" fontId="13" fillId="0" borderId="13" xfId="0" applyNumberFormat="1" applyFont="1" applyBorder="1" applyAlignment="1">
      <alignment vertical="center"/>
    </xf>
    <xf numFmtId="188" fontId="13" fillId="19" borderId="13" xfId="0" applyNumberFormat="1" applyFont="1" applyFill="1" applyBorder="1" applyAlignment="1">
      <alignment vertical="center"/>
    </xf>
    <xf numFmtId="0" fontId="2" fillId="0" borderId="49" xfId="0" applyFont="1" applyBorder="1"/>
    <xf numFmtId="0" fontId="2" fillId="0" borderId="50" xfId="0" applyFont="1" applyBorder="1"/>
    <xf numFmtId="188" fontId="4" fillId="3" borderId="23" xfId="0" applyNumberFormat="1" applyFont="1" applyFill="1" applyBorder="1" applyAlignment="1">
      <alignment horizontal="right"/>
    </xf>
    <xf numFmtId="188" fontId="4" fillId="0" borderId="23" xfId="0" applyNumberFormat="1" applyFont="1" applyBorder="1" applyAlignment="1">
      <alignment horizontal="right"/>
    </xf>
    <xf numFmtId="188" fontId="4" fillId="19" borderId="23" xfId="0" applyNumberFormat="1" applyFont="1" applyFill="1" applyBorder="1" applyAlignment="1">
      <alignment horizontal="right"/>
    </xf>
    <xf numFmtId="187" fontId="14" fillId="22" borderId="34" xfId="0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/>
    <xf numFmtId="0" fontId="15" fillId="5" borderId="4" xfId="0" applyFont="1" applyFill="1" applyBorder="1" applyAlignment="1">
      <alignment horizontal="center" vertical="center"/>
    </xf>
    <xf numFmtId="0" fontId="16" fillId="0" borderId="5" xfId="0" applyFont="1" applyBorder="1"/>
    <xf numFmtId="0" fontId="16" fillId="0" borderId="6" xfId="0" applyFont="1" applyBorder="1"/>
    <xf numFmtId="0" fontId="14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  <pageSetUpPr fitToPage="1"/>
  </sheetPr>
  <dimension ref="A1:N1036"/>
  <sheetViews>
    <sheetView tabSelected="1" view="pageBreakPreview" zoomScale="60" zoomScaleNormal="100" workbookViewId="0">
      <pane ySplit="5" topLeftCell="A6" activePane="bottomLeft" state="frozen"/>
      <selection pane="bottomLeft" activeCell="L18" sqref="L18"/>
    </sheetView>
  </sheetViews>
  <sheetFormatPr defaultColWidth="12.625" defaultRowHeight="15" customHeight="1" x14ac:dyDescent="0.4"/>
  <cols>
    <col min="1" max="3" width="2.75" style="1" customWidth="1"/>
    <col min="4" max="6" width="4.25" style="1" customWidth="1"/>
    <col min="7" max="7" width="70.875" style="1" customWidth="1"/>
    <col min="8" max="8" width="9.25" style="1" customWidth="1"/>
    <col min="9" max="10" width="13.875" style="1" customWidth="1"/>
    <col min="11" max="11" width="9.5" style="1" customWidth="1"/>
    <col min="12" max="13" width="19.5" style="1" customWidth="1"/>
    <col min="14" max="14" width="8.125" style="1" bestFit="1" customWidth="1"/>
    <col min="15" max="16384" width="12.625" style="1"/>
  </cols>
  <sheetData>
    <row r="1" spans="1:14" ht="18" customHeight="1" x14ac:dyDescent="0.4">
      <c r="A1" s="403" t="s">
        <v>0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</row>
    <row r="2" spans="1:14" ht="18" customHeight="1" x14ac:dyDescent="0.4">
      <c r="A2" s="403" t="s">
        <v>1</v>
      </c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404"/>
    </row>
    <row r="3" spans="1:14" ht="18" customHeight="1" x14ac:dyDescent="0.4">
      <c r="A3" s="403" t="s">
        <v>249</v>
      </c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04"/>
    </row>
    <row r="4" spans="1:14" ht="33.75" customHeight="1" x14ac:dyDescent="0.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21.75" customHeight="1" x14ac:dyDescent="0.55000000000000004">
      <c r="A5" s="405" t="s">
        <v>4</v>
      </c>
      <c r="B5" s="406"/>
      <c r="C5" s="406"/>
      <c r="D5" s="406"/>
      <c r="E5" s="406"/>
      <c r="F5" s="406"/>
      <c r="G5" s="407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ca="1">กำแพงเพชร!L6+เชียงราย!L6+เชียงใหม่!L6+ตาก!L6+นครสวรรค์!L6+น่าน!L6+พะเยา!L6+พิจิตร!L6+พิษณุโลก!L6+เพชรบูรณ์!L6+แพร่!L6+แม่ฮ่องสอน!L6+ลำปาง!L6+ลำพูน!L6+สุโขทัย!L6+อุตรดิตถ์!L6+อุทัยธานี!L6</f>
        <v>36557940</v>
      </c>
      <c r="M6" s="16">
        <f>กำแพงเพชร!M6+เชียงราย!M6+เชียงใหม่!M6+ตาก!M6+นครสวรรค์!M6+น่าน!M6+พะเยา!M6+พิจิตร!M6+พิษณุโลก!M6+เพชรบูรณ์!M6+แพร่!M6+แม่ฮ่องสอน!M6+ลำปาง!M6+ลำพูน!M6+สุโขทัย!M6+อุตรดิตถ์!M6+อุทัยธานี!M6</f>
        <v>45977732.390000008</v>
      </c>
      <c r="N6" s="17">
        <f ca="1">IF(L6&gt;0,M6*100/L6,0)</f>
        <v>125.76674831787571</v>
      </c>
    </row>
    <row r="7" spans="1:14" ht="21.75" customHeight="1" x14ac:dyDescent="0.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ca="1">กำแพงเพชร!I9+เชียงราย!I9+เชียงใหม่!I9+ตาก!I9+นครสวรรค์!I9+น่าน!I9+พะเยา!I9+พิจิตร!I9+พิษณุโลก!I9+เพชรบูรณ์!I9+แพร่!I9+แม่ฮ่องสอน!I9+ลำปาง!I9+ลำพูน!I9+สุโขทัย!I9+อุตรดิตถ์!I9+อุทัยธานี!I9</f>
        <v>13</v>
      </c>
      <c r="J9" s="38">
        <f>กำแพงเพชร!J9+เชียงราย!J9+เชียงใหม่!J9+ตาก!J9+นครสวรรค์!J9+น่าน!J9+พะเยา!J9+พิจิตร!J9+พิษณุโลก!J9+เพชรบูรณ์!J9+แพร่!J9+แม่ฮ่องสอน!J9+ลำปาง!J9+ลำพูน!J9+สุโขทัย!J9+อุตรดิตถ์!J9+อุทัยธานี!J9</f>
        <v>3</v>
      </c>
      <c r="K9" s="39">
        <f ca="1">IF(I9&gt;0,J9*100/I9,0)</f>
        <v>23.076923076923077</v>
      </c>
      <c r="L9" s="38">
        <f ca="1">กำแพงเพชร!L9+เชียงราย!L9+เชียงใหม่!L9+ตาก!L9+นครสวรรค์!L9+น่าน!L9+พะเยา!L9+พิจิตร!L9+พิษณุโลก!L9+เพชรบูรณ์!L9+แพร่!L9+แม่ฮ่องสอน!L9+ลำปาง!L9+ลำพูน!L9+สุโขทัย!L9+อุตรดิตถ์!L9+อุทัยธานี!L9</f>
        <v>7166900</v>
      </c>
      <c r="M9" s="38">
        <f>กำแพงเพชร!M9+เชียงราย!M9+เชียงใหม่!M9+ตาก!M9+นครสวรรค์!M9+น่าน!M9+พะเยา!M9+พิจิตร!M9+พิษณุโลก!M9+เพชรบูรณ์!M9+แพร่!M9+แม่ฮ่องสอน!M9+ลำปาง!M9+ลำพูน!M9+สุโขทัย!M9+อุตรดิตถ์!M9+อุทัยธานี!M9</f>
        <v>43992527.670000002</v>
      </c>
      <c r="N9" s="39">
        <f ca="1">+IF(L9&gt;0,M9*100/L9,0)</f>
        <v>613.82923816433879</v>
      </c>
    </row>
    <row r="10" spans="1:14" ht="21.75" customHeight="1" x14ac:dyDescent="0.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ca="1">กำแพงเพชร!I10+เชียงราย!I10+เชียงใหม่!I10+ตาก!I10+นครสวรรค์!I10+น่าน!I10+พะเยา!I10+พิจิตร!I10+พิษณุโลก!I10+เพชรบูรณ์!I10+แพร่!I10+แม่ฮ่องสอน!I10+ลำปาง!I10+ลำพูน!I10+สุโขทัย!I10+อุตรดิตถ์!I10+อุทัยธานี!I10</f>
        <v>646</v>
      </c>
      <c r="J10" s="38">
        <f>กำแพงเพชร!J10+เชียงราย!J10+เชียงใหม่!J10+ตาก!J10+นครสวรรค์!J10+น่าน!J10+พะเยา!J10+พิจิตร!J10+พิษณุโลก!J10+เพชรบูรณ์!J10+แพร่!J10+แม่ฮ่องสอน!J10+ลำปาง!J10+ลำพูน!J10+สุโขทัย!J10+อุตรดิตถ์!J10+อุทัยธานี!J10</f>
        <v>100</v>
      </c>
      <c r="K10" s="39">
        <f ca="1">IF(I10&gt;0,J10*100/I10,0)</f>
        <v>15.479876160990711</v>
      </c>
      <c r="L10" s="40"/>
      <c r="M10" s="40"/>
      <c r="N10" s="41"/>
    </row>
    <row r="11" spans="1:14" ht="21.75" customHeight="1" x14ac:dyDescent="0.4">
      <c r="A11" s="42"/>
      <c r="B11" s="43"/>
      <c r="C11" s="43" t="s">
        <v>17</v>
      </c>
      <c r="D11" s="44" t="s">
        <v>18</v>
      </c>
      <c r="E11" s="45"/>
      <c r="F11" s="45"/>
      <c r="G11" s="46" t="s">
        <v>19</v>
      </c>
      <c r="H11" s="47" t="s">
        <v>20</v>
      </c>
      <c r="I11" s="48" t="s">
        <v>21</v>
      </c>
      <c r="J11" s="48"/>
      <c r="K11" s="49"/>
      <c r="L11" s="50">
        <f>กำแพงเพชร!L11+เชียงราย!L11+เชียงใหม่!L11+ตาก!L11+นครสวรรค์!L11+น่าน!L11+พะเยา!L11+พิจิตร!L11+พิษณุโลก!L11+เพชรบูรณ์!L11+แพร่!L11+แม่ฮ่องสอน!L11+ลำปาง!L11+ลำพูน!L11+สุโขทัย!L11+อุตรดิตถ์!L11+อุทัยธานี!L11</f>
        <v>0</v>
      </c>
      <c r="M11" s="50">
        <f>กำแพงเพชร!M11+เชียงราย!M11+เชียงใหม่!M11+ตาก!M11+นครสวรรค์!M11+น่าน!M11+พะเยา!M11+พิจิตร!M11+พิษณุโลก!M11+เพชรบูรณ์!M11+แพร่!M11+แม่ฮ่องสอน!M11+ลำปาง!M11+ลำพูน!M11+สุโขทัย!M11+อุตรดิตถ์!M11+อุทัยธานี!M11</f>
        <v>0</v>
      </c>
      <c r="N11" s="50">
        <f t="shared" ref="N11:N14" si="0">+IF(L11&gt;0,M11*100/L11,0)</f>
        <v>0</v>
      </c>
    </row>
    <row r="12" spans="1:14" ht="21.75" customHeight="1" x14ac:dyDescent="0.4">
      <c r="A12" s="42"/>
      <c r="B12" s="43"/>
      <c r="C12" s="43"/>
      <c r="D12" s="51"/>
      <c r="E12" s="45"/>
      <c r="F12" s="45" t="s">
        <v>21</v>
      </c>
      <c r="G12" s="46" t="s">
        <v>22</v>
      </c>
      <c r="H12" s="47" t="s">
        <v>20</v>
      </c>
      <c r="I12" s="48"/>
      <c r="J12" s="48"/>
      <c r="K12" s="49"/>
      <c r="L12" s="50">
        <f ca="1">กำแพงเพชร!L12+เชียงราย!L12+เชียงใหม่!L12+ตาก!L12+นครสวรรค์!L12+น่าน!L12+พะเยา!L12+พิจิตร!L12+พิษณุโลก!L12+เพชรบูรณ์!L12+แพร่!L12+แม่ฮ่องสอน!L12+ลำปาง!L12+ลำพูน!L12+สุโขทัย!L12+อุตรดิตถ์!L12+อุทัยธานี!L12</f>
        <v>7166900</v>
      </c>
      <c r="M12" s="50">
        <f>กำแพงเพชร!M12+เชียงราย!M12+เชียงใหม่!M12+ตาก!M12+นครสวรรค์!M12+น่าน!M12+พะเยา!M12+พิจิตร!M12+พิษณุโลก!M12+เพชรบูรณ์!M12+แพร่!M12+แม่ฮ่องสอน!M12+ลำปาง!M12+ลำพูน!M12+สุโขทัย!M12+อุตรดิตถ์!M12+อุทัยธานี!M12</f>
        <v>43992527.670000002</v>
      </c>
      <c r="N12" s="50">
        <f t="shared" ca="1" si="0"/>
        <v>613.82923816433879</v>
      </c>
    </row>
    <row r="13" spans="1:14" ht="21.75" customHeight="1" x14ac:dyDescent="0.4">
      <c r="A13" s="42"/>
      <c r="B13" s="43"/>
      <c r="C13" s="43"/>
      <c r="D13" s="51"/>
      <c r="E13" s="45"/>
      <c r="F13" s="45"/>
      <c r="G13" s="52" t="s">
        <v>23</v>
      </c>
      <c r="H13" s="47" t="s">
        <v>20</v>
      </c>
      <c r="I13" s="48"/>
      <c r="J13" s="48"/>
      <c r="K13" s="49"/>
      <c r="L13" s="53">
        <f ca="1">กำแพงเพชร!L13+เชียงราย!L13+เชียงใหม่!L13+ตาก!L13+นครสวรรค์!L13+น่าน!L13+พะเยา!L13+พิจิตร!L13+พิษณุโลก!L13+เพชรบูรณ์!L13+แพร่!L13+แม่ฮ่องสอน!L13+ลำปาง!L13+ลำพูน!L13+สุโขทัย!L13+อุตรดิตถ์!L13+อุทัยธานี!L13</f>
        <v>1246700</v>
      </c>
      <c r="M13" s="54">
        <f>กำแพงเพชร!M13+เชียงราย!M13+เชียงใหม่!M13+ตาก!M13+นครสวรรค์!M13+น่าน!M13+พะเยา!M13+พิจิตร!M13+พิษณุโลก!M13+เพชรบูรณ์!M13+แพร่!M13+แม่ฮ่องสอน!M13+ลำปาง!M13+ลำพูน!M13+สุโขทัย!M13+อุตรดิตถ์!M13+อุทัยธานี!M13</f>
        <v>43692813</v>
      </c>
      <c r="N13" s="53">
        <f t="shared" ca="1" si="0"/>
        <v>3504.6773883051255</v>
      </c>
    </row>
    <row r="14" spans="1:14" ht="21.75" customHeight="1" x14ac:dyDescent="0.4">
      <c r="A14" s="42"/>
      <c r="B14" s="43"/>
      <c r="C14" s="43"/>
      <c r="D14" s="51"/>
      <c r="E14" s="45"/>
      <c r="F14" s="45"/>
      <c r="G14" s="52" t="s">
        <v>24</v>
      </c>
      <c r="H14" s="47" t="s">
        <v>20</v>
      </c>
      <c r="I14" s="48"/>
      <c r="J14" s="48"/>
      <c r="K14" s="49"/>
      <c r="L14" s="53">
        <f ca="1">กำแพงเพชร!L14+เชียงราย!L14+เชียงใหม่!L14+ตาก!L14+นครสวรรค์!L14+น่าน!L14+พะเยา!L14+พิจิตร!L14+พิษณุโลก!L14+เพชรบูรณ์!L14+แพร่!L14+แม่ฮ่องสอน!L14+ลำปาง!L14+ลำพูน!L14+สุโขทัย!L14+อุตรดิตถ์!L14+อุทัยธานี!L14</f>
        <v>5920200</v>
      </c>
      <c r="M14" s="54">
        <f>กำแพงเพชร!M14+เชียงราย!M14+เชียงใหม่!M14+ตาก!M14+นครสวรรค์!M14+น่าน!M14+พะเยา!M14+พิจิตร!M14+พิษณุโลก!M14+เพชรบูรณ์!M14+แพร่!M14+แม่ฮ่องสอน!M14+ลำปาง!M14+ลำพูน!M14+สุโขทัย!M14+อุตรดิตถ์!M14+อุทัยธานี!M14</f>
        <v>299714.67</v>
      </c>
      <c r="N14" s="53">
        <f t="shared" ca="1" si="0"/>
        <v>5.0625767710550322</v>
      </c>
    </row>
    <row r="15" spans="1:14" ht="21.75" customHeight="1" x14ac:dyDescent="0.4">
      <c r="A15" s="55"/>
      <c r="B15" s="56"/>
      <c r="C15" s="43" t="s">
        <v>17</v>
      </c>
      <c r="D15" s="57" t="s">
        <v>25</v>
      </c>
      <c r="E15" s="58"/>
      <c r="F15" s="58"/>
      <c r="G15" s="59"/>
      <c r="H15" s="60"/>
      <c r="I15" s="48"/>
      <c r="J15" s="48"/>
      <c r="K15" s="49"/>
      <c r="L15" s="61"/>
      <c r="M15" s="61"/>
      <c r="N15" s="61"/>
    </row>
    <row r="16" spans="1:14" ht="21.75" customHeight="1" x14ac:dyDescent="0.4">
      <c r="A16" s="55"/>
      <c r="B16" s="56"/>
      <c r="C16" s="56"/>
      <c r="D16" s="62">
        <v>1</v>
      </c>
      <c r="E16" s="63" t="s">
        <v>26</v>
      </c>
      <c r="F16" s="64"/>
      <c r="G16" s="65"/>
      <c r="H16" s="66"/>
      <c r="I16" s="67"/>
      <c r="J16" s="68">
        <f>กำแพงเพชร!J16+เชียงราย!J16+เชียงใหม่!J16+ตาก!J16+นครสวรรค์!J16+น่าน!J16+พะเยา!J16+พิจิตร!J16+พิษณุโลก!J16+เพชรบูรณ์!J16+แพร่!J16+แม่ฮ่องสอน!J16+ลำปาง!J16+ลำพูน!J16+สุโขทัย!J16+อุตรดิตถ์!J16+อุทัยธานี!J16</f>
        <v>0</v>
      </c>
      <c r="K16" s="49"/>
      <c r="L16" s="61"/>
      <c r="M16" s="61"/>
      <c r="N16" s="61"/>
    </row>
    <row r="17" spans="1:14" ht="21.75" customHeight="1" x14ac:dyDescent="0.4">
      <c r="A17" s="55"/>
      <c r="B17" s="56"/>
      <c r="C17" s="56"/>
      <c r="D17" s="69">
        <v>2</v>
      </c>
      <c r="E17" s="70" t="s">
        <v>27</v>
      </c>
      <c r="F17" s="71"/>
      <c r="G17" s="72"/>
      <c r="H17" s="66"/>
      <c r="I17" s="67"/>
      <c r="J17" s="68">
        <f>กำแพงเพชร!J17+เชียงราย!J17+เชียงใหม่!J17+ตาก!J17+นครสวรรค์!J17+น่าน!J17+พะเยา!J17+พิจิตร!J17+พิษณุโลก!J17+เพชรบูรณ์!J17+แพร่!J17+แม่ฮ่องสอน!J17+ลำปาง!J17+ลำพูน!J17+สุโขทัย!J17+อุตรดิตถ์!J17+อุทัยธานี!J17</f>
        <v>10</v>
      </c>
      <c r="K17" s="49"/>
      <c r="L17" s="61" t="s">
        <v>21</v>
      </c>
      <c r="M17" s="61" t="s">
        <v>21</v>
      </c>
      <c r="N17" s="61"/>
    </row>
    <row r="18" spans="1:14" ht="21.75" customHeight="1" x14ac:dyDescent="0.4">
      <c r="A18" s="55"/>
      <c r="B18" s="56"/>
      <c r="C18" s="56"/>
      <c r="D18" s="73"/>
      <c r="E18" s="74" t="s">
        <v>28</v>
      </c>
      <c r="F18" s="75"/>
      <c r="G18" s="76"/>
      <c r="H18" s="66"/>
      <c r="I18" s="67"/>
      <c r="J18" s="68">
        <f>กำแพงเพชร!J18+เชียงราย!J18+เชียงใหม่!J18+ตาก!J18+นครสวรรค์!J18+น่าน!J18+พะเยา!J18+พิจิตร!J18+พิษณุโลก!J18+เพชรบูรณ์!J18+แพร่!J18+แม่ฮ่องสอน!J18+ลำปาง!J18+ลำพูน!J18+สุโขทัย!J18+อุตรดิตถ์!J18+อุทัยธานี!J18</f>
        <v>9</v>
      </c>
      <c r="K18" s="49"/>
      <c r="L18" s="61"/>
      <c r="M18" s="61"/>
      <c r="N18" s="61"/>
    </row>
    <row r="19" spans="1:14" ht="21.75" customHeight="1" x14ac:dyDescent="0.4">
      <c r="A19" s="55"/>
      <c r="B19" s="56"/>
      <c r="C19" s="56"/>
      <c r="D19" s="73"/>
      <c r="E19" s="74" t="s">
        <v>29</v>
      </c>
      <c r="F19" s="75"/>
      <c r="G19" s="76"/>
      <c r="H19" s="66"/>
      <c r="I19" s="67"/>
      <c r="J19" s="68">
        <f>กำแพงเพชร!J19+เชียงราย!J19+เชียงใหม่!J19+ตาก!J19+นครสวรรค์!J19+น่าน!J19+พะเยา!J19+พิจิตร!J19+พิษณุโลก!J19+เพชรบูรณ์!J19+แพร่!J19+แม่ฮ่องสอน!J19+ลำปาง!J19+ลำพูน!J19+สุโขทัย!J19+อุตรดิตถ์!J19+อุทัยธานี!J19</f>
        <v>6</v>
      </c>
      <c r="K19" s="49"/>
      <c r="L19" s="61"/>
      <c r="M19" s="61"/>
      <c r="N19" s="61"/>
    </row>
    <row r="20" spans="1:14" ht="21.75" customHeight="1" x14ac:dyDescent="0.4">
      <c r="A20" s="55"/>
      <c r="B20" s="56"/>
      <c r="C20" s="56"/>
      <c r="D20" s="73"/>
      <c r="E20" s="77"/>
      <c r="F20" s="74" t="s">
        <v>30</v>
      </c>
      <c r="G20" s="75"/>
      <c r="H20" s="78" t="s">
        <v>15</v>
      </c>
      <c r="I20" s="79">
        <f ca="1">กำแพงเพชร!I20+เชียงราย!I20+เชียงใหม่!I20+ตาก!I20+นครสวรรค์!I20+น่าน!I20+พะเยา!I20+พิจิตร!I20+พิษณุโลก!I20+เพชรบูรณ์!I20+แพร่!I20+แม่ฮ่องสอน!I20+ลำปาง!I20+ลำพูน!I20+สุโขทัย!I20+อุตรดิตถ์!I20+อุทัยธานี!I20</f>
        <v>13</v>
      </c>
      <c r="J20" s="79">
        <f>กำแพงเพชร!J20+เชียงราย!J20+เชียงใหม่!J20+ตาก!J20+นครสวรรค์!J20+น่าน!J20+พะเยา!J20+พิจิตร!J20+พิษณุโลก!J20+เพชรบูรณ์!J20+แพร่!J20+แม่ฮ่องสอน!J20+ลำปาง!J20+ลำพูน!J20+สุโขทัย!J20+อุตรดิตถ์!J20+อุทัยธานี!J20</f>
        <v>3</v>
      </c>
      <c r="K20" s="80">
        <f t="shared" ref="K20:K28" ca="1" si="1">IF(I20&gt;0,J20*100/I20,0)</f>
        <v>23.076923076923077</v>
      </c>
      <c r="L20" s="61"/>
      <c r="M20" s="61"/>
      <c r="N20" s="61"/>
    </row>
    <row r="21" spans="1:14" ht="21.75" customHeight="1" x14ac:dyDescent="0.4">
      <c r="A21" s="55"/>
      <c r="B21" s="56"/>
      <c r="C21" s="56"/>
      <c r="D21" s="73"/>
      <c r="E21" s="77"/>
      <c r="F21" s="75"/>
      <c r="G21" s="76"/>
      <c r="H21" s="78" t="s">
        <v>16</v>
      </c>
      <c r="I21" s="79">
        <f ca="1">กำแพงเพชร!I21+เชียงราย!I21+เชียงใหม่!I21+ตาก!I21+นครสวรรค์!I21+น่าน!I21+พะเยา!I21+พิจิตร!I21+พิษณุโลก!I21+เพชรบูรณ์!I21+แพร่!I21+แม่ฮ่องสอน!I21+ลำปาง!I21+ลำพูน!I21+สุโขทัย!I21+อุตรดิตถ์!I21+อุทัยธานี!I21</f>
        <v>646</v>
      </c>
      <c r="J21" s="79">
        <f>กำแพงเพชร!J21+เชียงราย!J21+เชียงใหม่!J21+ตาก!J21+นครสวรรค์!J21+น่าน!J21+พะเยา!J21+พิจิตร!J21+พิษณุโลก!J21+เพชรบูรณ์!J21+แพร่!J21+แม่ฮ่องสอน!J21+ลำปาง!J21+ลำพูน!J21+สุโขทัย!J21+อุตรดิตถ์!J21+อุทัยธานี!J21</f>
        <v>100</v>
      </c>
      <c r="K21" s="80">
        <f t="shared" ca="1" si="1"/>
        <v>15.479876160990711</v>
      </c>
      <c r="L21" s="61"/>
      <c r="M21" s="61"/>
      <c r="N21" s="61"/>
    </row>
    <row r="22" spans="1:14" ht="21.75" customHeight="1" x14ac:dyDescent="0.4">
      <c r="A22" s="55"/>
      <c r="B22" s="56"/>
      <c r="C22" s="56"/>
      <c r="D22" s="73"/>
      <c r="E22" s="77"/>
      <c r="F22" s="75"/>
      <c r="G22" s="75" t="s">
        <v>31</v>
      </c>
      <c r="H22" s="60" t="s">
        <v>15</v>
      </c>
      <c r="I22" s="48">
        <f ca="1">กำแพงเพชร!I22+เชียงราย!I22+เชียงใหม่!I22+ตาก!I22+นครสวรรค์!I22+น่าน!I22+พะเยา!I22+พิจิตร!I22+พิษณุโลก!I22+เพชรบูรณ์!I22+แพร่!I22+แม่ฮ่องสอน!I22+ลำปาง!I22+ลำพูน!I22+สุโขทัย!I22+อุตรดิตถ์!I22+อุทัยธานี!I22</f>
        <v>4</v>
      </c>
      <c r="J22" s="68">
        <f>กำแพงเพชร!J22+เชียงราย!J22+เชียงใหม่!J22+ตาก!J22+นครสวรรค์!J22+น่าน!J22+พะเยา!J22+พิจิตร!J22+พิษณุโลก!J22+เพชรบูรณ์!J22+แพร่!J22+แม่ฮ่องสอน!J22+ลำปาง!J22+ลำพูน!J22+สุโขทัย!J22+อุตรดิตถ์!J22+อุทัยธานี!J22</f>
        <v>1</v>
      </c>
      <c r="K22" s="49">
        <f t="shared" ca="1" si="1"/>
        <v>25</v>
      </c>
      <c r="L22" s="61"/>
      <c r="M22" s="61"/>
      <c r="N22" s="61"/>
    </row>
    <row r="23" spans="1:14" ht="21.75" customHeight="1" x14ac:dyDescent="0.4">
      <c r="A23" s="55"/>
      <c r="B23" s="56"/>
      <c r="C23" s="56"/>
      <c r="D23" s="73"/>
      <c r="E23" s="77"/>
      <c r="F23" s="75"/>
      <c r="G23" s="76"/>
      <c r="H23" s="60" t="s">
        <v>16</v>
      </c>
      <c r="I23" s="48">
        <f ca="1">กำแพงเพชร!I23+เชียงราย!I23+เชียงใหม่!I23+ตาก!I23+นครสวรรค์!I23+น่าน!I23+พะเยา!I23+พิจิตร!I23+พิษณุโลก!I23+เพชรบูรณ์!I23+แพร่!I23+แม่ฮ่องสอน!I23+ลำปาง!I23+ลำพูน!I23+สุโขทัย!I23+อุตรดิตถ์!I23+อุทัยธานี!I23</f>
        <v>155</v>
      </c>
      <c r="J23" s="68">
        <f>กำแพงเพชร!J23+เชียงราย!J23+เชียงใหม่!J23+ตาก!J23+นครสวรรค์!J23+น่าน!J23+พะเยา!J23+พิจิตร!J23+พิษณุโลก!J23+เพชรบูรณ์!J23+แพร่!J23+แม่ฮ่องสอน!J23+ลำปาง!J23+ลำพูน!J23+สุโขทัย!J23+อุตรดิตถ์!J23+อุทัยธานี!J23</f>
        <v>30</v>
      </c>
      <c r="K23" s="49">
        <f t="shared" ca="1" si="1"/>
        <v>19.35483870967742</v>
      </c>
      <c r="L23" s="61"/>
      <c r="M23" s="61"/>
      <c r="N23" s="61"/>
    </row>
    <row r="24" spans="1:14" ht="21.75" customHeight="1" x14ac:dyDescent="0.4">
      <c r="A24" s="55"/>
      <c r="B24" s="56"/>
      <c r="C24" s="56"/>
      <c r="D24" s="73"/>
      <c r="E24" s="77"/>
      <c r="F24" s="75"/>
      <c r="G24" s="75" t="s">
        <v>32</v>
      </c>
      <c r="H24" s="60" t="s">
        <v>15</v>
      </c>
      <c r="I24" s="48">
        <f ca="1">กำแพงเพชร!I24+เชียงราย!I24+เชียงใหม่!I24+ตาก!I24+นครสวรรค์!I24+น่าน!I24+พะเยา!I24+พิจิตร!I24+พิษณุโลก!I24+เพชรบูรณ์!I24+แพร่!I24+แม่ฮ่องสอน!I24+ลำปาง!I24+ลำพูน!I24+สุโขทัย!I24+อุตรดิตถ์!I24+อุทัยธานี!I24</f>
        <v>3</v>
      </c>
      <c r="J24" s="68">
        <f>กำแพงเพชร!J24+เชียงราย!J24+เชียงใหม่!J24+ตาก!J24+นครสวรรค์!J24+น่าน!J24+พะเยา!J24+พิจิตร!J24+พิษณุโลก!J24+เพชรบูรณ์!J24+แพร่!J24+แม่ฮ่องสอน!J24+ลำปาง!J24+ลำพูน!J24+สุโขทัย!J24+อุตรดิตถ์!J24+อุทัยธานี!J24</f>
        <v>0</v>
      </c>
      <c r="K24" s="49">
        <f t="shared" ca="1" si="1"/>
        <v>0</v>
      </c>
      <c r="L24" s="61"/>
      <c r="M24" s="61"/>
      <c r="N24" s="61"/>
    </row>
    <row r="25" spans="1:14" ht="21.75" customHeight="1" x14ac:dyDescent="0.4">
      <c r="A25" s="55"/>
      <c r="B25" s="56"/>
      <c r="C25" s="56"/>
      <c r="D25" s="73"/>
      <c r="E25" s="77"/>
      <c r="F25" s="75"/>
      <c r="G25" s="76"/>
      <c r="H25" s="60" t="s">
        <v>16</v>
      </c>
      <c r="I25" s="48">
        <f ca="1">กำแพงเพชร!I25+เชียงราย!I25+เชียงใหม่!I25+ตาก!I25+นครสวรรค์!I25+น่าน!I25+พะเยา!I25+พิจิตร!I25+พิษณุโลก!I25+เพชรบูรณ์!I25+แพร่!I25+แม่ฮ่องสอน!I25+ลำปาง!I25+ลำพูน!I25+สุโขทัย!I25+อุตรดิตถ์!I25+อุทัยธานี!I25</f>
        <v>150</v>
      </c>
      <c r="J25" s="68">
        <f>กำแพงเพชร!J25+เชียงราย!J25+เชียงใหม่!J25+ตาก!J25+นครสวรรค์!J25+น่าน!J25+พะเยา!J25+พิจิตร!J25+พิษณุโลก!J25+เพชรบูรณ์!J25+แพร่!J25+แม่ฮ่องสอน!J25+ลำปาง!J25+ลำพูน!J25+สุโขทัย!J25+อุตรดิตถ์!J25+อุทัยธานี!J25</f>
        <v>0</v>
      </c>
      <c r="K25" s="49">
        <f t="shared" ca="1" si="1"/>
        <v>0</v>
      </c>
      <c r="L25" s="61"/>
      <c r="M25" s="61"/>
      <c r="N25" s="61"/>
    </row>
    <row r="26" spans="1:14" ht="21.75" customHeight="1" x14ac:dyDescent="0.4">
      <c r="A26" s="55"/>
      <c r="B26" s="56"/>
      <c r="C26" s="56"/>
      <c r="D26" s="73"/>
      <c r="E26" s="77"/>
      <c r="F26" s="75"/>
      <c r="G26" s="75" t="s">
        <v>33</v>
      </c>
      <c r="H26" s="60" t="s">
        <v>15</v>
      </c>
      <c r="I26" s="48">
        <f ca="1">กำแพงเพชร!I26+เชียงราย!I26+เชียงใหม่!I26+ตาก!I26+นครสวรรค์!I26+น่าน!I26+พะเยา!I26+พิจิตร!I26+พิษณุโลก!I26+เพชรบูรณ์!I26+แพร่!I26+แม่ฮ่องสอน!I26+ลำปาง!I26+ลำพูน!I26+สุโขทัย!I26+อุตรดิตถ์!I26+อุทัยธานี!I26</f>
        <v>6</v>
      </c>
      <c r="J26" s="68">
        <f>กำแพงเพชร!J26+เชียงราย!J26+เชียงใหม่!J26+ตาก!J26+นครสวรรค์!J26+น่าน!J26+พะเยา!J26+พิจิตร!J26+พิษณุโลก!J26+เพชรบูรณ์!J26+แพร่!J26+แม่ฮ่องสอน!J26+ลำปาง!J26+ลำพูน!J26+สุโขทัย!J26+อุตรดิตถ์!J26+อุทัยธานี!J26</f>
        <v>2</v>
      </c>
      <c r="K26" s="49">
        <f t="shared" ca="1" si="1"/>
        <v>33.333333333333336</v>
      </c>
      <c r="L26" s="61"/>
      <c r="M26" s="61"/>
      <c r="N26" s="61"/>
    </row>
    <row r="27" spans="1:14" ht="21.75" customHeight="1" x14ac:dyDescent="0.4">
      <c r="A27" s="55"/>
      <c r="B27" s="56"/>
      <c r="C27" s="56"/>
      <c r="D27" s="73"/>
      <c r="E27" s="77"/>
      <c r="F27" s="75"/>
      <c r="G27" s="76"/>
      <c r="H27" s="60" t="s">
        <v>16</v>
      </c>
      <c r="I27" s="48">
        <f ca="1">กำแพงเพชร!I27+เชียงราย!I27+เชียงใหม่!I27+ตาก!I27+นครสวรรค์!I27+น่าน!I27+พะเยา!I27+พิจิตร!I27+พิษณุโลก!I27+เพชรบูรณ์!I27+แพร่!I27+แม่ฮ่องสอน!I27+ลำปาง!I27+ลำพูน!I27+สุโขทัย!I27+อุตรดิตถ์!I27+อุทัยธานี!I27</f>
        <v>341</v>
      </c>
      <c r="J27" s="68">
        <f>กำแพงเพชร!J27+เชียงราย!J27+เชียงใหม่!J27+ตาก!J27+นครสวรรค์!J27+น่าน!J27+พะเยา!J27+พิจิตร!J27+พิษณุโลก!J27+เพชรบูรณ์!J27+แพร่!J27+แม่ฮ่องสอน!J27+ลำปาง!J27+ลำพูน!J27+สุโขทัย!J27+อุตรดิตถ์!J27+อุทัยธานี!J27</f>
        <v>70</v>
      </c>
      <c r="K27" s="49">
        <f t="shared" ca="1" si="1"/>
        <v>20.527859237536656</v>
      </c>
      <c r="L27" s="61"/>
      <c r="M27" s="61"/>
      <c r="N27" s="61"/>
    </row>
    <row r="28" spans="1:14" ht="21.75" customHeight="1" x14ac:dyDescent="0.4">
      <c r="A28" s="55"/>
      <c r="B28" s="56"/>
      <c r="C28" s="56"/>
      <c r="D28" s="73"/>
      <c r="E28" s="77"/>
      <c r="F28" s="74" t="s">
        <v>34</v>
      </c>
      <c r="G28" s="75"/>
      <c r="H28" s="60" t="s">
        <v>16</v>
      </c>
      <c r="I28" s="48">
        <f ca="1">กำแพงเพชร!I28+เชียงราย!I28+เชียงใหม่!I28+ตาก!I28+นครสวรรค์!I28+น่าน!I28+พะเยา!I28+พิจิตร!I28+พิษณุโลก!I28+เพชรบูรณ์!I28+แพร่!I28+แม่ฮ่องสอน!I28+ลำปาง!I28+ลำพูน!I28+สุโขทัย!I28+อุตรดิตถ์!I28+อุทัยธานี!I28</f>
        <v>60</v>
      </c>
      <c r="J28" s="68">
        <f>กำแพงเพชร!J28+เชียงราย!J28+เชียงใหม่!J28+ตาก!J28+นครสวรรค์!J28+น่าน!J28+พะเยา!J28+พิจิตร!J28+พิษณุโลก!J28+เพชรบูรณ์!J28+แพร่!J28+แม่ฮ่องสอน!J28+ลำปาง!J28+ลำพูน!J28+สุโขทัย!J28+อุตรดิตถ์!J28+อุทัยธานี!J28</f>
        <v>0</v>
      </c>
      <c r="K28" s="49">
        <f t="shared" ca="1" si="1"/>
        <v>0</v>
      </c>
      <c r="L28" s="61"/>
      <c r="M28" s="61"/>
      <c r="N28" s="61"/>
    </row>
    <row r="29" spans="1:14" ht="21.75" customHeight="1" x14ac:dyDescent="0.4">
      <c r="A29" s="55"/>
      <c r="B29" s="56"/>
      <c r="C29" s="56"/>
      <c r="D29" s="73"/>
      <c r="E29" s="74" t="s">
        <v>35</v>
      </c>
      <c r="F29" s="75"/>
      <c r="G29" s="76"/>
      <c r="H29" s="66"/>
      <c r="I29" s="67"/>
      <c r="J29" s="68">
        <f>กำแพงเพชร!J29+เชียงราย!J29+เชียงใหม่!J29+ตาก!J29+นครสวรรค์!J29+น่าน!J29+พะเยา!J29+พิจิตร!J29+พิษณุโลก!J29+เพชรบูรณ์!J29+แพร่!J29+แม่ฮ่องสอน!J29+ลำปาง!J29+ลำพูน!J29+สุโขทัย!J29+อุตรดิตถ์!J29+อุทัยธานี!J29</f>
        <v>0</v>
      </c>
      <c r="K29" s="49"/>
      <c r="L29" s="61"/>
      <c r="M29" s="61"/>
      <c r="N29" s="61"/>
    </row>
    <row r="30" spans="1:14" ht="21.75" customHeight="1" x14ac:dyDescent="0.4">
      <c r="A30" s="55"/>
      <c r="B30" s="56"/>
      <c r="C30" s="56"/>
      <c r="D30" s="81">
        <v>3</v>
      </c>
      <c r="E30" s="82" t="s">
        <v>36</v>
      </c>
      <c r="F30" s="83"/>
      <c r="G30" s="84"/>
      <c r="H30" s="66"/>
      <c r="I30" s="67"/>
      <c r="J30" s="85">
        <f>กำแพงเพชร!J30+เชียงราย!J30+เชียงใหม่!J30+ตาก!J30+นครสวรรค์!J30+น่าน!J30+พะเยา!J30+พิจิตร!J30+พิษณุโลก!J30+เพชรบูรณ์!J30+แพร่!J30+แม่ฮ่องสอน!J30+ลำปาง!J30+ลำพูน!J30+สุโขทัย!J30+อุตรดิตถ์!J30+อุทัยธานี!J30</f>
        <v>0</v>
      </c>
      <c r="K30" s="49"/>
      <c r="L30" s="61"/>
      <c r="M30" s="61"/>
      <c r="N30" s="61"/>
    </row>
    <row r="31" spans="1:14" ht="21.75" customHeight="1" x14ac:dyDescent="0.4">
      <c r="A31" s="86" t="s">
        <v>37</v>
      </c>
      <c r="B31" s="87"/>
      <c r="C31" s="88"/>
      <c r="D31" s="87"/>
      <c r="E31" s="89"/>
      <c r="F31" s="89"/>
      <c r="G31" s="90"/>
      <c r="H31" s="91"/>
      <c r="I31" s="92"/>
      <c r="J31" s="92"/>
      <c r="K31" s="93"/>
      <c r="L31" s="94"/>
      <c r="M31" s="94"/>
      <c r="N31" s="95"/>
    </row>
    <row r="32" spans="1:14" ht="21.75" customHeight="1" x14ac:dyDescent="0.4">
      <c r="A32" s="34"/>
      <c r="B32" s="35" t="s">
        <v>38</v>
      </c>
      <c r="C32" s="35"/>
      <c r="D32" s="36"/>
      <c r="E32" s="35"/>
      <c r="F32" s="35"/>
      <c r="G32" s="96"/>
      <c r="H32" s="37" t="s">
        <v>16</v>
      </c>
      <c r="I32" s="38">
        <f ca="1">กำแพงเพชร!I32+เชียงราย!I32+เชียงใหม่!I32+ตาก!I32+นครสวรรค์!I32+น่าน!I32+พะเยา!I32+พิจิตร!I32+พิษณุโลก!I32+เพชรบูรณ์!I32+แพร่!I32+แม่ฮ่องสอน!I32+ลำปาง!I32+ลำพูน!I32+สุโขทัย!I32+อุตรดิตถ์!I32+อุทัยธานี!I32</f>
        <v>49</v>
      </c>
      <c r="J32" s="38">
        <f>กำแพงเพชร!J32+เชียงราย!J32+เชียงใหม่!J32+ตาก!J32+นครสวรรค์!J32+น่าน!J32+พะเยา!J32+พิจิตร!J32+พิษณุโลก!J32+เพชรบูรณ์!J32+แพร่!J32+แม่ฮ่องสอน!J32+ลำปาง!J32+ลำพูน!J32+สุโขทัย!J32+อุตรดิตถ์!J32+อุทัยธานี!J32</f>
        <v>0</v>
      </c>
      <c r="K32" s="41">
        <f t="shared" ref="K32:K33" ca="1" si="2">IF(I32&gt;0,J32*100/I32,0)</f>
        <v>0</v>
      </c>
      <c r="L32" s="97">
        <f ca="1">กำแพงเพชร!L32+เชียงราย!L32+เชียงใหม่!L32+ตาก!L32+นครสวรรค์!L32+น่าน!L32+พะเยา!L32+พิจิตร!L32+พิษณุโลก!L32+เพชรบูรณ์!L32+แพร่!L32+แม่ฮ่องสอน!L32+ลำปาง!L32+ลำพูน!L32+สุโขทัย!L32+อุตรดิตถ์!L32+อุทัยธานี!L32</f>
        <v>1257180</v>
      </c>
      <c r="M32" s="97">
        <f>กำแพงเพชร!M32+เชียงราย!M32+เชียงใหม่!M32+ตาก!M32+นครสวรรค์!M32+น่าน!M32+พะเยา!M32+พิจิตร!M32+พิษณุโลก!M32+เพชรบูรณ์!M32+แพร่!M32+แม่ฮ่องสอน!M32+ลำปาง!M32+ลำพูน!M32+สุโขทัย!M32+อุตรดิตถ์!M32+อุทัยธานี!M32</f>
        <v>41570</v>
      </c>
      <c r="N32" s="41">
        <f ca="1">IF(L32&gt;0,M32*100/L32,0)</f>
        <v>3.3066068502521517</v>
      </c>
    </row>
    <row r="33" spans="1:14" ht="21.75" customHeight="1" x14ac:dyDescent="0.4">
      <c r="A33" s="34"/>
      <c r="B33" s="35"/>
      <c r="C33" s="35"/>
      <c r="D33" s="36" t="s">
        <v>39</v>
      </c>
      <c r="E33" s="35"/>
      <c r="F33" s="35"/>
      <c r="G33" s="96"/>
      <c r="H33" s="37" t="s">
        <v>40</v>
      </c>
      <c r="I33" s="38">
        <f ca="1">กำแพงเพชร!I33+เชียงราย!I33+เชียงใหม่!I33+ตาก!I33+นครสวรรค์!I33+น่าน!I33+พะเยา!I33+พิจิตร!I33+พิษณุโลก!I33+เพชรบูรณ์!I33+แพร่!I33+แม่ฮ่องสอน!I33+ลำปาง!I33+ลำพูน!I33+สุโขทัย!I33+อุตรดิตถ์!I33+อุทัยธานี!I33</f>
        <v>13</v>
      </c>
      <c r="J33" s="38">
        <f>กำแพงเพชร!J33+เชียงราย!J33+เชียงใหม่!J33+ตาก!J33+นครสวรรค์!J33+น่าน!J33+พะเยา!J33+พิจิตร!J33+พิษณุโลก!J33+เพชรบูรณ์!J33+แพร่!J33+แม่ฮ่องสอน!J33+ลำปาง!J33+ลำพูน!J33+สุโขทัย!J33+อุตรดิตถ์!J33+อุทัยธานี!J33</f>
        <v>0</v>
      </c>
      <c r="K33" s="41">
        <f t="shared" ca="1" si="2"/>
        <v>0</v>
      </c>
      <c r="L33" s="97"/>
      <c r="M33" s="97"/>
      <c r="N33" s="41"/>
    </row>
    <row r="34" spans="1:14" ht="21.75" customHeight="1" x14ac:dyDescent="0.4">
      <c r="A34" s="42"/>
      <c r="B34" s="43"/>
      <c r="C34" s="43" t="s">
        <v>17</v>
      </c>
      <c r="D34" s="44" t="s">
        <v>18</v>
      </c>
      <c r="E34" s="45"/>
      <c r="F34" s="45"/>
      <c r="G34" s="46" t="s">
        <v>19</v>
      </c>
      <c r="H34" s="47" t="s">
        <v>20</v>
      </c>
      <c r="I34" s="48" t="s">
        <v>21</v>
      </c>
      <c r="J34" s="48"/>
      <c r="K34" s="49"/>
      <c r="L34" s="50">
        <f>กำแพงเพชร!L34+เชียงราย!L34+เชียงใหม่!L34+ตาก!L34+นครสวรรค์!L34+น่าน!L34+พะเยา!L34+พิจิตร!L34+พิษณุโลก!L34+เพชรบูรณ์!L34+แพร่!L34+แม่ฮ่องสอน!L34+ลำปาง!L34+ลำพูน!L34+สุโขทัย!L34+อุตรดิตถ์!L34+อุทัยธานี!L34</f>
        <v>0</v>
      </c>
      <c r="M34" s="50">
        <f>กำแพงเพชร!M34+เชียงราย!M34+เชียงใหม่!M34+ตาก!M34+นครสวรรค์!M34+น่าน!M34+พะเยา!M34+พิจิตร!M34+พิษณุโลก!M34+เพชรบูรณ์!M34+แพร่!M34+แม่ฮ่องสอน!M34+ลำปาง!M34+ลำพูน!M34+สุโขทัย!M34+อุตรดิตถ์!M34+อุทัยธานี!M34</f>
        <v>0</v>
      </c>
      <c r="N34" s="50">
        <f t="shared" ref="N34:N37" si="3">+IF(L34&gt;0,M34*100/L34,0)</f>
        <v>0</v>
      </c>
    </row>
    <row r="35" spans="1:14" ht="21.75" customHeight="1" x14ac:dyDescent="0.4">
      <c r="A35" s="42"/>
      <c r="B35" s="43"/>
      <c r="C35" s="43"/>
      <c r="D35" s="51"/>
      <c r="E35" s="45"/>
      <c r="F35" s="45" t="s">
        <v>21</v>
      </c>
      <c r="G35" s="46" t="s">
        <v>22</v>
      </c>
      <c r="H35" s="47" t="s">
        <v>20</v>
      </c>
      <c r="I35" s="48"/>
      <c r="J35" s="48"/>
      <c r="K35" s="49"/>
      <c r="L35" s="50">
        <f ca="1">กำแพงเพชร!L35+เชียงราย!L35+เชียงใหม่!L35+ตาก!L35+นครสวรรค์!L35+น่าน!L35+พะเยา!L35+พิจิตร!L35+พิษณุโลก!L35+เพชรบูรณ์!L35+แพร่!L35+แม่ฮ่องสอน!L35+ลำปาง!L35+ลำพูน!L35+สุโขทัย!L35+อุตรดิตถ์!L35+อุทัยธานี!L35</f>
        <v>1257180</v>
      </c>
      <c r="M35" s="50">
        <f>กำแพงเพชร!M35+เชียงราย!M35+เชียงใหม่!M35+ตาก!M35+นครสวรรค์!M35+น่าน!M35+พะเยา!M35+พิจิตร!M35+พิษณุโลก!M35+เพชรบูรณ์!M35+แพร่!M35+แม่ฮ่องสอน!M35+ลำปาง!M35+ลำพูน!M35+สุโขทัย!M35+อุตรดิตถ์!M35+อุทัยธานี!M35</f>
        <v>41570</v>
      </c>
      <c r="N35" s="50">
        <f t="shared" ca="1" si="3"/>
        <v>3.3066068502521517</v>
      </c>
    </row>
    <row r="36" spans="1:14" ht="21.75" customHeight="1" x14ac:dyDescent="0.4">
      <c r="A36" s="42"/>
      <c r="B36" s="43"/>
      <c r="C36" s="43"/>
      <c r="D36" s="51"/>
      <c r="E36" s="45"/>
      <c r="F36" s="45"/>
      <c r="G36" s="52" t="s">
        <v>23</v>
      </c>
      <c r="H36" s="47" t="s">
        <v>20</v>
      </c>
      <c r="I36" s="48"/>
      <c r="J36" s="48"/>
      <c r="K36" s="49"/>
      <c r="L36" s="53">
        <f ca="1">กำแพงเพชร!L36+เชียงราย!L36+เชียงใหม่!L36+ตาก!L36+นครสวรรค์!L36+น่าน!L36+พะเยา!L36+พิจิตร!L36+พิษณุโลก!L36+เพชรบูรณ์!L36+แพร่!L36+แม่ฮ่องสอน!L36+ลำปาง!L36+ลำพูน!L36+สุโขทัย!L36+อุตรดิตถ์!L36+อุทัยธานี!L36</f>
        <v>0</v>
      </c>
      <c r="M36" s="53">
        <f>กำแพงเพชร!M36+เชียงราย!M36+เชียงใหม่!M36+ตาก!M36+นครสวรรค์!M36+น่าน!M36+พะเยา!M36+พิจิตร!M36+พิษณุโลก!M36+เพชรบูรณ์!M36+แพร่!M36+แม่ฮ่องสอน!M36+ลำปาง!M36+ลำพูน!M36+สุโขทัย!M36+อุตรดิตถ์!M36+อุทัยธานี!M36</f>
        <v>0</v>
      </c>
      <c r="N36" s="53">
        <f t="shared" ca="1" si="3"/>
        <v>0</v>
      </c>
    </row>
    <row r="37" spans="1:14" ht="21.75" customHeight="1" x14ac:dyDescent="0.4">
      <c r="A37" s="42"/>
      <c r="B37" s="43"/>
      <c r="C37" s="43"/>
      <c r="D37" s="51"/>
      <c r="E37" s="45"/>
      <c r="F37" s="45"/>
      <c r="G37" s="52" t="s">
        <v>24</v>
      </c>
      <c r="H37" s="47" t="s">
        <v>20</v>
      </c>
      <c r="I37" s="48"/>
      <c r="J37" s="48"/>
      <c r="K37" s="49"/>
      <c r="L37" s="53">
        <f ca="1">กำแพงเพชร!L37+เชียงราย!L37+เชียงใหม่!L37+ตาก!L37+นครสวรรค์!L37+น่าน!L37+พะเยา!L37+พิจิตร!L37+พิษณุโลก!L37+เพชรบูรณ์!L37+แพร่!L37+แม่ฮ่องสอน!L37+ลำปาง!L37+ลำพูน!L37+สุโขทัย!L37+อุตรดิตถ์!L37+อุทัยธานี!L37</f>
        <v>1257180</v>
      </c>
      <c r="M37" s="54">
        <f>กำแพงเพชร!M37+เชียงราย!M37+เชียงใหม่!M37+ตาก!M37+นครสวรรค์!M37+น่าน!M37+พะเยา!M37+พิจิตร!M37+พิษณุโลก!M37+เพชรบูรณ์!M37+แพร่!M37+แม่ฮ่องสอน!M37+ลำปาง!M37+ลำพูน!M37+สุโขทัย!M37+อุตรดิตถ์!M37+อุทัยธานี!M37</f>
        <v>41570</v>
      </c>
      <c r="N37" s="53">
        <f t="shared" ca="1" si="3"/>
        <v>3.3066068502521517</v>
      </c>
    </row>
    <row r="38" spans="1:14" ht="21.75" customHeight="1" x14ac:dyDescent="0.4">
      <c r="A38" s="55"/>
      <c r="B38" s="56"/>
      <c r="C38" s="43" t="s">
        <v>17</v>
      </c>
      <c r="D38" s="57" t="s">
        <v>25</v>
      </c>
      <c r="E38" s="58"/>
      <c r="F38" s="58"/>
      <c r="G38" s="59"/>
      <c r="H38" s="60"/>
      <c r="I38" s="48"/>
      <c r="J38" s="48"/>
      <c r="K38" s="49"/>
      <c r="L38" s="61"/>
      <c r="M38" s="61"/>
      <c r="N38" s="61"/>
    </row>
    <row r="39" spans="1:14" ht="21.75" customHeight="1" x14ac:dyDescent="0.4">
      <c r="A39" s="55"/>
      <c r="B39" s="56"/>
      <c r="C39" s="56"/>
      <c r="D39" s="62">
        <v>1</v>
      </c>
      <c r="E39" s="63" t="s">
        <v>26</v>
      </c>
      <c r="F39" s="64"/>
      <c r="G39" s="65"/>
      <c r="H39" s="66"/>
      <c r="I39" s="67"/>
      <c r="J39" s="68">
        <f>กำแพงเพชร!J39+เชียงราย!J39+เชียงใหม่!J39+ตาก!J39+นครสวรรค์!J39+น่าน!J39+พะเยา!J39+พิจิตร!J39+พิษณุโลก!J39+เพชรบูรณ์!J39+แพร่!J39+แม่ฮ่องสอน!J39+ลำปาง!J39+ลำพูน!J39+สุโขทัย!J39+อุตรดิตถ์!J39+อุทัยธานี!J39</f>
        <v>0</v>
      </c>
      <c r="K39" s="49"/>
      <c r="L39" s="61"/>
      <c r="M39" s="61"/>
      <c r="N39" s="61"/>
    </row>
    <row r="40" spans="1:14" ht="21.75" customHeight="1" x14ac:dyDescent="0.4">
      <c r="A40" s="55"/>
      <c r="B40" s="56"/>
      <c r="C40" s="56"/>
      <c r="D40" s="69">
        <v>2</v>
      </c>
      <c r="E40" s="70" t="s">
        <v>27</v>
      </c>
      <c r="F40" s="71"/>
      <c r="G40" s="72"/>
      <c r="H40" s="66"/>
      <c r="I40" s="67"/>
      <c r="J40" s="68">
        <f>กำแพงเพชร!J40+เชียงราย!J40+เชียงใหม่!J40+ตาก!J40+นครสวรรค์!J40+น่าน!J40+พะเยา!J40+พิจิตร!J40+พิษณุโลก!J40+เพชรบูรณ์!J40+แพร่!J40+แม่ฮ่องสอน!J40+ลำปาง!J40+ลำพูน!J40+สุโขทัย!J40+อุตรดิตถ์!J40+อุทัยธานี!J40</f>
        <v>10</v>
      </c>
      <c r="K40" s="49"/>
      <c r="L40" s="61" t="s">
        <v>21</v>
      </c>
      <c r="M40" s="61" t="s">
        <v>21</v>
      </c>
      <c r="N40" s="61"/>
    </row>
    <row r="41" spans="1:14" ht="21.75" customHeight="1" x14ac:dyDescent="0.4">
      <c r="A41" s="55"/>
      <c r="B41" s="56"/>
      <c r="C41" s="56"/>
      <c r="D41" s="73"/>
      <c r="E41" s="74" t="s">
        <v>28</v>
      </c>
      <c r="F41" s="75"/>
      <c r="G41" s="76"/>
      <c r="H41" s="66"/>
      <c r="I41" s="67"/>
      <c r="J41" s="68">
        <f>กำแพงเพชร!J41+เชียงราย!J41+เชียงใหม่!J41+ตาก!J41+นครสวรรค์!J41+น่าน!J41+พะเยา!J41+พิจิตร!J41+พิษณุโลก!J41+เพชรบูรณ์!J41+แพร่!J41+แม่ฮ่องสอน!J41+ลำปาง!J41+ลำพูน!J41+สุโขทัย!J41+อุตรดิตถ์!J41+อุทัยธานี!J41</f>
        <v>10</v>
      </c>
      <c r="K41" s="49"/>
      <c r="L41" s="61"/>
      <c r="M41" s="61"/>
      <c r="N41" s="61"/>
    </row>
    <row r="42" spans="1:14" ht="21.75" customHeight="1" x14ac:dyDescent="0.4">
      <c r="A42" s="55"/>
      <c r="B42" s="56"/>
      <c r="C42" s="56"/>
      <c r="D42" s="73"/>
      <c r="E42" s="74" t="s">
        <v>29</v>
      </c>
      <c r="F42" s="75"/>
      <c r="G42" s="76"/>
      <c r="H42" s="66"/>
      <c r="I42" s="67"/>
      <c r="J42" s="68">
        <f>กำแพงเพชร!J42+เชียงราย!J42+เชียงใหม่!J43+ตาก!J42+นครสวรรค์!J42+น่าน!J42+พะเยา!J42+พิจิตร!J42+พิษณุโลก!J42+เพชรบูรณ์!J42+แพร่!J42+แม่ฮ่องสอน!J42+ลำปาง!J42+ลำพูน!J42+สุโขทัย!J42+อุตรดิตถ์!J42+อุทัยธานี!J42</f>
        <v>4</v>
      </c>
      <c r="K42" s="49"/>
      <c r="L42" s="61"/>
      <c r="M42" s="61"/>
      <c r="N42" s="61"/>
    </row>
    <row r="43" spans="1:14" ht="21.75" customHeight="1" x14ac:dyDescent="0.4">
      <c r="A43" s="55"/>
      <c r="B43" s="56"/>
      <c r="C43" s="56"/>
      <c r="D43" s="73"/>
      <c r="E43" s="75"/>
      <c r="F43" s="75" t="s">
        <v>41</v>
      </c>
      <c r="G43" s="75"/>
      <c r="H43" s="60" t="s">
        <v>42</v>
      </c>
      <c r="I43" s="67">
        <f ca="1">กำแพงเพชร!I43+เชียงราย!I43+เชียงใหม่!I43+ตาก!I43+นครสวรรค์!I43+น่าน!I43+พะเยา!I43+พิจิตร!I43+พิษณุโลก!I43+เพชรบูรณ์!I43+แพร่!I43+แม่ฮ่องสอน!I43+ลำปาง!I43+ลำพูน!I43+สุโขทัย!I43+อุตรดิตถ์!I43+อุทัยธานี!I43</f>
        <v>10</v>
      </c>
      <c r="J43" s="68">
        <f>กำแพงเพชร!J43+เชียงราย!J43+เชียงใหม่!J43+ตาก!J43+นครสวรรค์!J43+น่าน!J43+พะเยา!J43+พิจิตร!J43+พิษณุโลก!J43+เพชรบูรณ์!J43+แพร่!J43+แม่ฮ่องสอน!J43+ลำปาง!J43+ลำพูน!J43+สุโขทัย!J43+อุตรดิตถ์!J43+อุทัยธานี!J43</f>
        <v>2</v>
      </c>
      <c r="K43" s="49">
        <f t="shared" ref="K43:K48" ca="1" si="4">IF(I43&gt;0,J43*100/I43,0)</f>
        <v>20</v>
      </c>
      <c r="L43" s="61"/>
      <c r="M43" s="61"/>
      <c r="N43" s="61"/>
    </row>
    <row r="44" spans="1:14" ht="21.75" customHeight="1" x14ac:dyDescent="0.4">
      <c r="A44" s="55"/>
      <c r="B44" s="56"/>
      <c r="C44" s="56"/>
      <c r="D44" s="73"/>
      <c r="E44" s="77"/>
      <c r="F44" s="74" t="s">
        <v>43</v>
      </c>
      <c r="G44" s="75"/>
      <c r="H44" s="60" t="s">
        <v>16</v>
      </c>
      <c r="I44" s="67">
        <f ca="1">กำแพงเพชร!I44+เชียงราย!I44+เชียงใหม่!I44+ตาก!I44+นครสวรรค์!I44+น่าน!I44+พะเยา!I44+พิจิตร!I44+พิษณุโลก!I44+เพชรบูรณ์!I44+แพร่!I44+แม่ฮ่องสอน!I44+ลำปาง!I44+ลำพูน!I44+สุโขทัย!I44+อุตรดิตถ์!I44+อุทัยธานี!I44</f>
        <v>49</v>
      </c>
      <c r="J44" s="68">
        <f>กำแพงเพชร!J44+เชียงราย!J44+เชียงใหม่!J44+ตาก!J44+นครสวรรค์!J44+น่าน!J44+พะเยา!J44+พิจิตร!J44+พิษณุโลก!J44+เพชรบูรณ์!J44+แพร่!J44+แม่ฮ่องสอน!J44+ลำปาง!J44+ลำพูน!J44+สุโขทัย!J44+อุตรดิตถ์!J44+อุทัยธานี!J44</f>
        <v>0</v>
      </c>
      <c r="K44" s="49">
        <f t="shared" ca="1" si="4"/>
        <v>0</v>
      </c>
      <c r="L44" s="61"/>
      <c r="M44" s="61"/>
      <c r="N44" s="61"/>
    </row>
    <row r="45" spans="1:14" ht="21.75" customHeight="1" x14ac:dyDescent="0.4">
      <c r="A45" s="55"/>
      <c r="B45" s="56"/>
      <c r="C45" s="56"/>
      <c r="D45" s="73"/>
      <c r="E45" s="77"/>
      <c r="F45" s="75"/>
      <c r="G45" s="98" t="s">
        <v>44</v>
      </c>
      <c r="H45" s="60" t="s">
        <v>16</v>
      </c>
      <c r="I45" s="67">
        <f ca="1">กำแพงเพชร!I45+เชียงราย!I45+เชียงใหม่!I45+ตาก!I45+นครสวรรค์!I45+น่าน!I45+พะเยา!I45+พิจิตร!I45+พิษณุโลก!I45+เพชรบูรณ์!I45+แพร่!I45+แม่ฮ่องสอน!I45+ลำปาง!I45+ลำพูน!I45+สุโขทัย!I45+อุตรดิตถ์!I45+อุทัยธานี!I45</f>
        <v>49</v>
      </c>
      <c r="J45" s="68">
        <f>กำแพงเพชร!J45+เชียงราย!J45+เชียงใหม่!J45+ตาก!J45+นครสวรรค์!J45+น่าน!J45+พะเยา!J45+พิจิตร!J45+พิษณุโลก!J45+เพชรบูรณ์!J45+แพร่!J45+แม่ฮ่องสอน!J45+ลำปาง!J45+ลำพูน!J45+สุโขทัย!J45+อุตรดิตถ์!J45+อุทัยธานี!J45</f>
        <v>0</v>
      </c>
      <c r="K45" s="49">
        <f t="shared" ca="1" si="4"/>
        <v>0</v>
      </c>
      <c r="L45" s="61"/>
      <c r="M45" s="61"/>
      <c r="N45" s="61"/>
    </row>
    <row r="46" spans="1:14" ht="21.75" customHeight="1" x14ac:dyDescent="0.4">
      <c r="A46" s="55"/>
      <c r="B46" s="56"/>
      <c r="C46" s="56"/>
      <c r="D46" s="73"/>
      <c r="E46" s="77"/>
      <c r="F46" s="75"/>
      <c r="G46" s="98" t="s">
        <v>45</v>
      </c>
      <c r="H46" s="60" t="s">
        <v>16</v>
      </c>
      <c r="I46" s="48">
        <f ca="1">กำแพงเพชร!I46+เชียงราย!I46+เชียงใหม่!I46+ตาก!I46+นครสวรรค์!I46+น่าน!I46+พะเยา!I46+พิจิตร!I46+พิษณุโลก!I46+เพชรบูรณ์!I46+แพร่!I46+แม่ฮ่องสอน!I46+ลำปาง!I46+ลำพูน!I46+สุโขทัย!I46+อุตรดิตถ์!I46+อุทัยธานี!I46</f>
        <v>49</v>
      </c>
      <c r="J46" s="68">
        <f>กำแพงเพชร!J46+เชียงราย!J46+เชียงใหม่!J46+ตาก!J46+นครสวรรค์!J46+น่าน!J46+พะเยา!J46+พิจิตร!J46+พิษณุโลก!J46+เพชรบูรณ์!J46+แพร่!J46+แม่ฮ่องสอน!J46+ลำปาง!J46+ลำพูน!J46+สุโขทัย!J46+อุตรดิตถ์!J46+อุทัยธานี!J46</f>
        <v>0</v>
      </c>
      <c r="K46" s="49">
        <f t="shared" ca="1" si="4"/>
        <v>0</v>
      </c>
      <c r="L46" s="61"/>
      <c r="M46" s="61"/>
      <c r="N46" s="61"/>
    </row>
    <row r="47" spans="1:14" ht="21.75" customHeight="1" x14ac:dyDescent="0.4">
      <c r="A47" s="55"/>
      <c r="B47" s="56"/>
      <c r="C47" s="56"/>
      <c r="D47" s="73"/>
      <c r="E47" s="77"/>
      <c r="F47" s="75"/>
      <c r="G47" s="99" t="s">
        <v>46</v>
      </c>
      <c r="H47" s="60" t="s">
        <v>16</v>
      </c>
      <c r="I47" s="48">
        <f ca="1">กำแพงเพชร!I47+เชียงราย!I47+เชียงใหม่!I47+ตาก!I47+นครสวรรค์!I47+น่าน!I47+พะเยา!I47+พิจิตร!I47+พิษณุโลก!I47+เพชรบูรณ์!I47+แพร่!I47+แม่ฮ่องสอน!I47+ลำปาง!I47+ลำพูน!I47+สุโขทัย!I47+อุตรดิตถ์!I47+อุทัยธานี!I47</f>
        <v>49</v>
      </c>
      <c r="J47" s="68">
        <f>กำแพงเพชร!J47+เชียงราย!J47+เชียงใหม่!J47+ตาก!J47+นครสวรรค์!J47+น่าน!J47+พะเยา!J47+พิจิตร!J47+พิษณุโลก!J47+เพชรบูรณ์!J47+แพร่!J47+แม่ฮ่องสอน!J47+ลำปาง!J47+ลำพูน!J47+สุโขทัย!J47+อุตรดิตถ์!J47+อุทัยธานี!J47</f>
        <v>0</v>
      </c>
      <c r="K47" s="49">
        <f t="shared" ca="1" si="4"/>
        <v>0</v>
      </c>
      <c r="L47" s="61"/>
      <c r="M47" s="61"/>
      <c r="N47" s="61"/>
    </row>
    <row r="48" spans="1:14" ht="21.75" customHeight="1" x14ac:dyDescent="0.4">
      <c r="A48" s="55"/>
      <c r="B48" s="56"/>
      <c r="C48" s="56"/>
      <c r="D48" s="73"/>
      <c r="E48" s="77"/>
      <c r="F48" s="75" t="s">
        <v>47</v>
      </c>
      <c r="G48" s="75"/>
      <c r="H48" s="60" t="s">
        <v>40</v>
      </c>
      <c r="I48" s="48">
        <f ca="1">กำแพงเพชร!I48+เชียงราย!I48+เชียงใหม่!I48+ตาก!I48+นครสวรรค์!I48+น่าน!I48+พะเยา!I48+พิจิตร!I48+พิษณุโลก!I48+เพชรบูรณ์!I48+แพร่!I48+แม่ฮ่องสอน!I48+ลำปาง!I48+ลำพูน!I48+สุโขทัย!I48+อุตรดิตถ์!I48+อุทัยธานี!I48</f>
        <v>13</v>
      </c>
      <c r="J48" s="68">
        <f>กำแพงเพชร!J48+เชียงราย!J48+เชียงใหม่!J48+ตาก!J48+นครสวรรค์!J48+น่าน!J48+พะเยา!J48+พิจิตร!J48+พิษณุโลก!J48+เพชรบูรณ์!J48+แพร่!J48+แม่ฮ่องสอน!J48+ลำปาง!J48+ลำพูน!J48+สุโขทัย!J48+อุตรดิตถ์!J48+อุทัยธานี!J48</f>
        <v>0</v>
      </c>
      <c r="K48" s="49">
        <f t="shared" ca="1" si="4"/>
        <v>0</v>
      </c>
      <c r="L48" s="61"/>
      <c r="M48" s="61"/>
      <c r="N48" s="61"/>
    </row>
    <row r="49" spans="1:14" ht="21.75" customHeight="1" x14ac:dyDescent="0.4">
      <c r="A49" s="55"/>
      <c r="B49" s="56"/>
      <c r="C49" s="56"/>
      <c r="D49" s="73"/>
      <c r="E49" s="74" t="s">
        <v>35</v>
      </c>
      <c r="F49" s="75"/>
      <c r="G49" s="76"/>
      <c r="H49" s="66"/>
      <c r="I49" s="67"/>
      <c r="J49" s="68">
        <f>กำแพงเพชร!J49+เชียงราย!J49+เชียงใหม่!J49+ตาก!J49+นครสวรรค์!J49+น่าน!J49+พะเยา!J49+พิจิตร!J49+พิษณุโลก!J49+เพชรบูรณ์!J49+แพร่!J49+แม่ฮ่องสอน!J49+ลำปาง!J49+ลำพูน!J49+สุโขทัย!J49+อุตรดิตถ์!J49+อุทัยธานี!J49</f>
        <v>0</v>
      </c>
      <c r="K49" s="49"/>
      <c r="L49" s="61"/>
      <c r="M49" s="61"/>
      <c r="N49" s="61"/>
    </row>
    <row r="50" spans="1:14" ht="21.75" customHeight="1" x14ac:dyDescent="0.4">
      <c r="A50" s="55"/>
      <c r="B50" s="56"/>
      <c r="C50" s="56"/>
      <c r="D50" s="81">
        <v>3</v>
      </c>
      <c r="E50" s="82" t="s">
        <v>36</v>
      </c>
      <c r="F50" s="83"/>
      <c r="G50" s="84"/>
      <c r="H50" s="66"/>
      <c r="I50" s="67"/>
      <c r="J50" s="85">
        <f>กำแพงเพชร!J50+เชียงราย!J50+เชียงใหม่!J50+ตาก!J50+นครสวรรค์!J50+น่าน!J50+พะเยา!J50+พิจิตร!J50+พิษณุโลก!J50+เพชรบูรณ์!J50+แพร่!J50+แม่ฮ่องสอน!J50+ลำปาง!J50+ลำพูน!J50+สุโขทัย!J50+อุตรดิตถ์!J50+อุทัยธานี!J50</f>
        <v>0</v>
      </c>
      <c r="K50" s="49"/>
      <c r="L50" s="61"/>
      <c r="M50" s="61"/>
      <c r="N50" s="61"/>
    </row>
    <row r="51" spans="1:14" ht="21.75" customHeight="1" x14ac:dyDescent="0.4">
      <c r="A51" s="86" t="s">
        <v>48</v>
      </c>
      <c r="B51" s="100"/>
      <c r="C51" s="101"/>
      <c r="D51" s="100"/>
      <c r="E51" s="102"/>
      <c r="F51" s="102"/>
      <c r="G51" s="103"/>
      <c r="H51" s="91"/>
      <c r="I51" s="92"/>
      <c r="J51" s="92"/>
      <c r="K51" s="93"/>
      <c r="L51" s="94"/>
      <c r="M51" s="94"/>
      <c r="N51" s="95"/>
    </row>
    <row r="52" spans="1:14" ht="21.75" customHeight="1" x14ac:dyDescent="0.4">
      <c r="A52" s="34"/>
      <c r="B52" s="35" t="s">
        <v>49</v>
      </c>
      <c r="C52" s="104"/>
      <c r="D52" s="36"/>
      <c r="E52" s="35"/>
      <c r="F52" s="35"/>
      <c r="G52" s="96"/>
      <c r="H52" s="37" t="s">
        <v>16</v>
      </c>
      <c r="I52" s="38">
        <f ca="1">กำแพงเพชร!I52+เชียงราย!I52+เชียงใหม่!I52+ตาก!I52+นครสวรรค์!I52+น่าน!I52+พะเยา!I52+พิจิตร!I52+พิษณุโลก!I52+เพชรบูรณ์!I52+แพร่!I52+แม่ฮ่องสอน!I52+ลำปาง!I52+ลำพูน!I52+สุโขทัย!I52+อุตรดิตถ์!I52+อุทัยธานี!I52</f>
        <v>200</v>
      </c>
      <c r="J52" s="38">
        <f>กำแพงเพชร!J52+เชียงราย!J52+เชียงใหม่!J52+ตาก!J52+นครสวรรค์!J52+น่าน!J52+พะเยา!J52+พิจิตร!J52+พิษณุโลก!J52+เพชรบูรณ์!J52+แพร่!J52+แม่ฮ่องสอน!J52+ลำปาง!J52+ลำพูน!J52+สุโขทัย!J52+อุตรดิตถ์!J52+อุทัยธานี!J52</f>
        <v>20</v>
      </c>
      <c r="K52" s="41">
        <f ca="1">IF(I52&gt;0,J52*100/I52,0)</f>
        <v>10</v>
      </c>
      <c r="L52" s="40">
        <f ca="1">กำแพงเพชร!L52+เชียงราย!L52+เชียงใหม่!L52+ตาก!L52+นครสวรรค์!L52+น่าน!L52+พะเยา!L52+พิจิตร!L52+พิษณุโลก!L52+เพชรบูรณ์!L52+แพร่!L52+แม่ฮ่องสอน!L52+ลำปาง!L52+ลำพูน!L52+สุโขทัย!L52+อุตรดิตถ์!L52+อุทัยธานี!L52</f>
        <v>824400</v>
      </c>
      <c r="M52" s="40">
        <f>กำแพงเพชร!M52+เชียงราย!M52+เชียงใหม่!M52+ตาก!M52+นครสวรรค์!M52+น่าน!M52+พะเยา!M52+พิจิตร!M52+พิษณุโลก!M52+เพชรบูรณ์!M52+แพร่!M52+แม่ฮ่องสอน!M52+ลำปาง!M52+ลำพูน!M52+สุโขทัย!M52+อุตรดิตถ์!M52+อุทัยธานี!M52</f>
        <v>48110</v>
      </c>
      <c r="N52" s="41">
        <f ca="1">IF(L52&gt;0,M52*100/L52,0)</f>
        <v>5.8357593401261525</v>
      </c>
    </row>
    <row r="53" spans="1:14" ht="21.75" customHeight="1" x14ac:dyDescent="0.4">
      <c r="A53" s="42"/>
      <c r="B53" s="43"/>
      <c r="C53" s="43" t="s">
        <v>17</v>
      </c>
      <c r="D53" s="44" t="s">
        <v>18</v>
      </c>
      <c r="E53" s="45"/>
      <c r="F53" s="45"/>
      <c r="G53" s="46" t="s">
        <v>19</v>
      </c>
      <c r="H53" s="47" t="s">
        <v>20</v>
      </c>
      <c r="I53" s="48" t="s">
        <v>21</v>
      </c>
      <c r="J53" s="48"/>
      <c r="K53" s="49"/>
      <c r="L53" s="50">
        <f>กำแพงเพชร!L53+เชียงราย!L53+เชียงใหม่!L53+ตาก!L53+นครสวรรค์!L53+น่าน!L53+พะเยา!L53+พิจิตร!L53+พิษณุโลก!L53+เพชรบูรณ์!L53+แพร่!L53+แม่ฮ่องสอน!L53+ลำปาง!L53+ลำพูน!L53+สุโขทัย!L53+อุตรดิตถ์!L53+อุทัยธานี!L53</f>
        <v>0</v>
      </c>
      <c r="M53" s="50">
        <f>กำแพงเพชร!M53+เชียงราย!M53+เชียงใหม่!M53+ตาก!M53+นครสวรรค์!M53+น่าน!M53+พะเยา!M53+พิจิตร!M53+พิษณุโลก!M53+เพชรบูรณ์!M53+แพร่!M53+แม่ฮ่องสอน!M53+ลำปาง!M53+ลำพูน!M53+สุโขทัย!M53+อุตรดิตถ์!M53+อุทัยธานี!M53</f>
        <v>0</v>
      </c>
      <c r="N53" s="50">
        <f t="shared" ref="N53:N56" si="5">+IF(L53&gt;0,M53*100/L53,0)</f>
        <v>0</v>
      </c>
    </row>
    <row r="54" spans="1:14" ht="21.75" customHeight="1" x14ac:dyDescent="0.4">
      <c r="A54" s="42"/>
      <c r="B54" s="43"/>
      <c r="C54" s="43"/>
      <c r="D54" s="51"/>
      <c r="E54" s="45"/>
      <c r="F54" s="45" t="s">
        <v>21</v>
      </c>
      <c r="G54" s="46" t="s">
        <v>22</v>
      </c>
      <c r="H54" s="47" t="s">
        <v>20</v>
      </c>
      <c r="I54" s="48"/>
      <c r="J54" s="48"/>
      <c r="K54" s="49"/>
      <c r="L54" s="50">
        <f ca="1">กำแพงเพชร!L54+เชียงราย!L54+เชียงใหม่!L54+ตาก!L54+นครสวรรค์!L54+น่าน!L54+พะเยา!L54+พิจิตร!L54+พิษณุโลก!L54+เพชรบูรณ์!L54+แพร่!L54+แม่ฮ่องสอน!L54+ลำปาง!L54+ลำพูน!L54+สุโขทัย!L54+อุตรดิตถ์!L54+อุทัยธานี!L54</f>
        <v>824400</v>
      </c>
      <c r="M54" s="50">
        <f>กำแพงเพชร!M54+เชียงราย!M54+เชียงใหม่!M54+ตาก!M54+นครสวรรค์!M54+น่าน!M54+พะเยา!M54+พิจิตร!M54+พิษณุโลก!M54+เพชรบูรณ์!M54+แพร่!M54+แม่ฮ่องสอน!M54+ลำปาง!M54+ลำพูน!M54+สุโขทัย!M54+อุตรดิตถ์!M54+อุทัยธานี!M54</f>
        <v>48110</v>
      </c>
      <c r="N54" s="50">
        <f t="shared" ca="1" si="5"/>
        <v>5.8357593401261525</v>
      </c>
    </row>
    <row r="55" spans="1:14" ht="21.75" customHeight="1" x14ac:dyDescent="0.4">
      <c r="A55" s="42"/>
      <c r="B55" s="43"/>
      <c r="C55" s="43"/>
      <c r="D55" s="51"/>
      <c r="E55" s="45"/>
      <c r="F55" s="45"/>
      <c r="G55" s="52" t="s">
        <v>23</v>
      </c>
      <c r="H55" s="47" t="s">
        <v>20</v>
      </c>
      <c r="I55" s="48"/>
      <c r="J55" s="48"/>
      <c r="K55" s="49"/>
      <c r="L55" s="53">
        <f ca="1">กำแพงเพชร!L55+เชียงราย!L55+เชียงใหม่!L55+ตาก!L55+นครสวรรค์!L55+น่าน!L55+พะเยา!L55+พิจิตร!L55+พิษณุโลก!L55+เพชรบูรณ์!L55+แพร่!L55+แม่ฮ่องสอน!L55+ลำปาง!L55+ลำพูน!L55+สุโขทัย!L55+อุตรดิตถ์!L55+อุทัยธานี!L55</f>
        <v>0</v>
      </c>
      <c r="M55" s="53">
        <f>กำแพงเพชร!M55+เชียงราย!M55+เชียงใหม่!M55+ตาก!M55+นครสวรรค์!M55+น่าน!M55+พะเยา!M55+พิจิตร!M55+พิษณุโลก!M55+เพชรบูรณ์!M55+แพร่!M55+แม่ฮ่องสอน!M55+ลำปาง!M55+ลำพูน!M55+สุโขทัย!M55+อุตรดิตถ์!M55+อุทัยธานี!M55</f>
        <v>0</v>
      </c>
      <c r="N55" s="53">
        <f t="shared" ca="1" si="5"/>
        <v>0</v>
      </c>
    </row>
    <row r="56" spans="1:14" ht="21.75" customHeight="1" x14ac:dyDescent="0.4">
      <c r="A56" s="42"/>
      <c r="B56" s="43"/>
      <c r="C56" s="43"/>
      <c r="D56" s="51"/>
      <c r="E56" s="45"/>
      <c r="F56" s="45"/>
      <c r="G56" s="52" t="s">
        <v>24</v>
      </c>
      <c r="H56" s="47" t="s">
        <v>20</v>
      </c>
      <c r="I56" s="48"/>
      <c r="J56" s="48"/>
      <c r="K56" s="49"/>
      <c r="L56" s="53">
        <f ca="1">กำแพงเพชร!L56+เชียงราย!L56+เชียงใหม่!L56+ตาก!L56+นครสวรรค์!L56+น่าน!L56+พะเยา!L56+พิจิตร!L56+พิษณุโลก!L56+เพชรบูรณ์!L56+แพร่!L56+แม่ฮ่องสอน!L56+ลำปาง!L56+ลำพูน!L56+สุโขทัย!L56+อุตรดิตถ์!L56+อุทัยธานี!L56</f>
        <v>824400</v>
      </c>
      <c r="M56" s="54">
        <f>กำแพงเพชร!M56+เชียงราย!M56+เชียงใหม่!M56+ตาก!M56+นครสวรรค์!M56+น่าน!M56+พะเยา!M56+พิจิตร!M56+พิษณุโลก!M56+เพชรบูรณ์!M56+แพร่!M56+แม่ฮ่องสอน!M56+ลำปาง!M56+ลำพูน!M56+สุโขทัย!M56+อุตรดิตถ์!M56+อุทัยธานี!M56</f>
        <v>48110</v>
      </c>
      <c r="N56" s="53">
        <f t="shared" ca="1" si="5"/>
        <v>5.8357593401261525</v>
      </c>
    </row>
    <row r="57" spans="1:14" ht="21.75" customHeight="1" x14ac:dyDescent="0.4">
      <c r="A57" s="55"/>
      <c r="B57" s="56"/>
      <c r="C57" s="43" t="s">
        <v>17</v>
      </c>
      <c r="D57" s="57" t="s">
        <v>250</v>
      </c>
      <c r="E57" s="58"/>
      <c r="F57" s="58"/>
      <c r="G57" s="59"/>
      <c r="H57" s="60"/>
      <c r="I57" s="48"/>
      <c r="J57" s="48"/>
      <c r="K57" s="49"/>
      <c r="L57" s="61"/>
      <c r="M57" s="61"/>
      <c r="N57" s="61"/>
    </row>
    <row r="58" spans="1:14" ht="21.75" customHeight="1" x14ac:dyDescent="0.4">
      <c r="A58" s="55"/>
      <c r="B58" s="56"/>
      <c r="C58" s="56"/>
      <c r="D58" s="62">
        <v>1</v>
      </c>
      <c r="E58" s="63" t="s">
        <v>26</v>
      </c>
      <c r="F58" s="64"/>
      <c r="G58" s="65"/>
      <c r="H58" s="66"/>
      <c r="I58" s="67"/>
      <c r="J58" s="68">
        <f>กำแพงเพชร!J58+เชียงราย!J58+เชียงใหม่!J58+ตาก!J58+นครสวรรค์!J58+น่าน!J58+พะเยา!J58+พิจิตร!J58+พิษณุโลก!J58+เพชรบูรณ์!J58+แพร่!J58+แม่ฮ่องสอน!J58+ลำปาง!J58+ลำพูน!J58+สุโขทัย!J58+อุตรดิตถ์!J58+อุทัยธานี!J58</f>
        <v>0</v>
      </c>
      <c r="K58" s="49"/>
      <c r="L58" s="61"/>
      <c r="M58" s="61"/>
      <c r="N58" s="61"/>
    </row>
    <row r="59" spans="1:14" ht="21.75" customHeight="1" x14ac:dyDescent="0.4">
      <c r="A59" s="55"/>
      <c r="B59" s="56"/>
      <c r="C59" s="56"/>
      <c r="D59" s="69">
        <v>2</v>
      </c>
      <c r="E59" s="70" t="s">
        <v>27</v>
      </c>
      <c r="F59" s="71"/>
      <c r="G59" s="72"/>
      <c r="H59" s="66"/>
      <c r="I59" s="67"/>
      <c r="J59" s="68">
        <f>กำแพงเพชร!J59+เชียงราย!J59+เชียงใหม่!J59+ตาก!J59+นครสวรรค์!J59+น่าน!J59+พะเยา!J59+พิจิตร!J59+พิษณุโลก!J59+เพชรบูรณ์!J59+แพร่!J59+แม่ฮ่องสอน!J59+ลำปาง!J59+ลำพูน!J59+สุโขทัย!J59+อุตรดิตถ์!J59+อุทัยธานี!J59</f>
        <v>10</v>
      </c>
      <c r="K59" s="49"/>
      <c r="L59" s="61" t="s">
        <v>21</v>
      </c>
      <c r="M59" s="61" t="s">
        <v>21</v>
      </c>
      <c r="N59" s="61"/>
    </row>
    <row r="60" spans="1:14" ht="21.75" customHeight="1" x14ac:dyDescent="0.4">
      <c r="A60" s="55"/>
      <c r="B60" s="56"/>
      <c r="C60" s="56"/>
      <c r="D60" s="73"/>
      <c r="E60" s="74" t="s">
        <v>28</v>
      </c>
      <c r="F60" s="75"/>
      <c r="G60" s="76"/>
      <c r="H60" s="66"/>
      <c r="I60" s="67"/>
      <c r="J60" s="68">
        <f>กำแพงเพชร!J60+เชียงราย!J60+เชียงใหม่!J60+ตาก!J60+นครสวรรค์!J60+น่าน!J60+พะเยา!J60+พิจิตร!J60+พิษณุโลก!J60+เพชรบูรณ์!J60+แพร่!J60+แม่ฮ่องสอน!J60+ลำปาง!J60+ลำพูน!J60+สุโขทัย!J60+อุตรดิตถ์!J60+อุทัยธานี!J60</f>
        <v>8</v>
      </c>
      <c r="K60" s="49"/>
      <c r="L60" s="61"/>
      <c r="M60" s="61"/>
      <c r="N60" s="61"/>
    </row>
    <row r="61" spans="1:14" ht="21.75" customHeight="1" x14ac:dyDescent="0.4">
      <c r="A61" s="55"/>
      <c r="B61" s="56"/>
      <c r="C61" s="56"/>
      <c r="D61" s="73"/>
      <c r="E61" s="74" t="s">
        <v>29</v>
      </c>
      <c r="F61" s="75"/>
      <c r="G61" s="76"/>
      <c r="H61" s="66"/>
      <c r="I61" s="67"/>
      <c r="J61" s="68">
        <f>กำแพงเพชร!J61+เชียงราย!J61+เชียงใหม่!J61+ตาก!J61+นครสวรรค์!J61+น่าน!J61+พะเยา!J61+พิจิตร!J61+พิษณุโลก!J61+เพชรบูรณ์!J61+แพร่!J61+แม่ฮ่องสอน!J61+ลำปาง!J61+ลำพูน!J61+สุโขทัย!J61+อุตรดิตถ์!J61+อุทัยธานี!J61</f>
        <v>3</v>
      </c>
      <c r="K61" s="49"/>
      <c r="L61" s="61"/>
      <c r="M61" s="61"/>
      <c r="N61" s="61"/>
    </row>
    <row r="62" spans="1:14" ht="21.75" customHeight="1" x14ac:dyDescent="0.4">
      <c r="A62" s="55"/>
      <c r="B62" s="56"/>
      <c r="C62" s="56"/>
      <c r="D62" s="73"/>
      <c r="E62" s="77"/>
      <c r="F62" s="74" t="s">
        <v>50</v>
      </c>
      <c r="G62" s="76"/>
      <c r="H62" s="60" t="s">
        <v>16</v>
      </c>
      <c r="I62" s="67">
        <f ca="1">กำแพงเพชร!I62+เชียงราย!I62+เชียงใหม่!I62+ตาก!I62+นครสวรรค์!I62+น่าน!I62+พะเยา!I62+พิจิตร!I62+พิษณุโลก!I62+เพชรบูรณ์!I62+แพร่!I62+แม่ฮ่องสอน!I62+ลำปาง!I62+ลำพูน!I62+สุโขทัย!I62+อุตรดิตถ์!I62+อุทัยธานี!I62</f>
        <v>200</v>
      </c>
      <c r="J62" s="68">
        <f>กำแพงเพชร!J62+เชียงราย!J62+เชียงใหม่!J62+ตาก!J62+นครสวรรค์!J62+น่าน!J62+พะเยา!J62+พิจิตร!J62+พิษณุโลก!J62+เพชรบูรณ์!J62+แพร่!J62+แม่ฮ่องสอน!J62+ลำปาง!J62+ลำพูน!J62+สุโขทัย!J62+อุตรดิตถ์!J62+อุทัยธานี!J62</f>
        <v>20</v>
      </c>
      <c r="K62" s="49">
        <f t="shared" ref="K62:K63" ca="1" si="6">IF(I62&gt;0,J62*100/I62,0)</f>
        <v>10</v>
      </c>
      <c r="L62" s="61"/>
      <c r="M62" s="61"/>
      <c r="N62" s="61"/>
    </row>
    <row r="63" spans="1:14" ht="21.75" customHeight="1" x14ac:dyDescent="0.4">
      <c r="A63" s="55"/>
      <c r="B63" s="56"/>
      <c r="C63" s="56"/>
      <c r="D63" s="73"/>
      <c r="E63" s="77"/>
      <c r="F63" s="74" t="s">
        <v>51</v>
      </c>
      <c r="G63" s="76"/>
      <c r="H63" s="60" t="s">
        <v>16</v>
      </c>
      <c r="I63" s="67">
        <f ca="1">กำแพงเพชร!I63+เชียงราย!I63+เชียงใหม่!I63+ตาก!I63+นครสวรรค์!I63+น่าน!I63+พะเยา!I63+พิจิตร!I63+พิษณุโลก!I63+เพชรบูรณ์!I63+แพร่!I63+แม่ฮ่องสอน!I63+ลำปาง!I63+ลำพูน!I63+สุโขทัย!I63+อุตรดิตถ์!I63+อุทัยธานี!I63</f>
        <v>200</v>
      </c>
      <c r="J63" s="68">
        <f>กำแพงเพชร!J63+เชียงราย!J63+เชียงใหม่!J63+ตาก!J63+นครสวรรค์!J63+น่าน!J63+พะเยา!J63+พิจิตร!J63+พิษณุโลก!J63+เพชรบูรณ์!J63+แพร่!J63+แม่ฮ่องสอน!J63+ลำปาง!J63+ลำพูน!J63+สุโขทัย!J63+อุตรดิตถ์!J63+อุทัยธานี!J63</f>
        <v>0</v>
      </c>
      <c r="K63" s="49">
        <f t="shared" ca="1" si="6"/>
        <v>0</v>
      </c>
      <c r="L63" s="61"/>
      <c r="M63" s="61"/>
      <c r="N63" s="61"/>
    </row>
    <row r="64" spans="1:14" ht="21.75" customHeight="1" x14ac:dyDescent="0.4">
      <c r="A64" s="55"/>
      <c r="B64" s="56"/>
      <c r="C64" s="56"/>
      <c r="D64" s="73"/>
      <c r="E64" s="74" t="s">
        <v>35</v>
      </c>
      <c r="F64" s="75"/>
      <c r="G64" s="76"/>
      <c r="H64" s="66"/>
      <c r="I64" s="67"/>
      <c r="J64" s="68">
        <f>กำแพงเพชร!J64+เชียงราย!J64+เชียงใหม่!J64+ตาก!J64+นครสวรรค์!J64+น่าน!J64+พะเยา!J64+พิจิตร!J64+พิษณุโลก!J64+เพชรบูรณ์!J64+แพร่!J64+แม่ฮ่องสอน!J64+ลำปาง!J64+ลำพูน!J64+สุโขทัย!J64+อุตรดิตถ์!J64+อุทัยธานี!J64</f>
        <v>0</v>
      </c>
      <c r="K64" s="49"/>
      <c r="L64" s="61"/>
      <c r="M64" s="61"/>
      <c r="N64" s="61"/>
    </row>
    <row r="65" spans="1:14" ht="21.75" customHeight="1" x14ac:dyDescent="0.4">
      <c r="A65" s="105"/>
      <c r="B65" s="106"/>
      <c r="C65" s="106"/>
      <c r="D65" s="107">
        <v>3</v>
      </c>
      <c r="E65" s="108" t="s">
        <v>36</v>
      </c>
      <c r="F65" s="109"/>
      <c r="G65" s="110"/>
      <c r="H65" s="111"/>
      <c r="I65" s="112"/>
      <c r="J65" s="113">
        <f>กำแพงเพชร!J65+เชียงราย!J65+เชียงใหม่!J65+ตาก!J65+นครสวรรค์!J65+น่าน!J65+พะเยา!J65+พิจิตร!J65+พิษณุโลก!J65+เพชรบูรณ์!J65+แพร่!J65+แม่ฮ่องสอน!J65+ลำปาง!J65+ลำพูน!J65+สุโขทัย!J65+อุตรดิตถ์!J65+อุทัยธานี!J65</f>
        <v>0</v>
      </c>
      <c r="K65" s="114"/>
      <c r="L65" s="115"/>
      <c r="M65" s="115"/>
      <c r="N65" s="115"/>
    </row>
    <row r="66" spans="1:14" ht="21.75" customHeight="1" x14ac:dyDescent="0.4">
      <c r="A66" s="116" t="s">
        <v>52</v>
      </c>
      <c r="B66" s="117"/>
      <c r="C66" s="117"/>
      <c r="D66" s="117"/>
      <c r="E66" s="118"/>
      <c r="F66" s="118"/>
      <c r="G66" s="119"/>
      <c r="H66" s="120"/>
      <c r="I66" s="121"/>
      <c r="J66" s="121"/>
      <c r="K66" s="122"/>
      <c r="L66" s="123"/>
      <c r="M66" s="123"/>
      <c r="N66" s="123"/>
    </row>
    <row r="67" spans="1:14" ht="21.75" customHeight="1" x14ac:dyDescent="0.4">
      <c r="A67" s="124" t="s">
        <v>53</v>
      </c>
      <c r="B67" s="125"/>
      <c r="C67" s="125"/>
      <c r="D67" s="126"/>
      <c r="E67" s="126"/>
      <c r="F67" s="126"/>
      <c r="G67" s="127"/>
      <c r="H67" s="128"/>
      <c r="I67" s="129"/>
      <c r="J67" s="129"/>
      <c r="K67" s="130"/>
      <c r="L67" s="130"/>
      <c r="M67" s="130"/>
      <c r="N67" s="131"/>
    </row>
    <row r="68" spans="1:14" ht="21.75" customHeight="1" x14ac:dyDescent="0.4">
      <c r="A68" s="132"/>
      <c r="B68" s="133" t="s">
        <v>54</v>
      </c>
      <c r="C68" s="134"/>
      <c r="D68" s="133"/>
      <c r="E68" s="133"/>
      <c r="F68" s="133"/>
      <c r="G68" s="135"/>
      <c r="H68" s="136" t="s">
        <v>16</v>
      </c>
      <c r="I68" s="137">
        <f ca="1">กำแพงเพชร!I68+เชียงราย!I68+เชียงใหม่!I68+ตาก!I68+นครสวรรค์!I68+น่าน!I68+พะเยา!I68+พิจิตร!I68+พิษณุโลก!I68+เพชรบูรณ์!I68+แพร่!I68+แม่ฮ่องสอน!I68+ลำปาง!I68+ลำพูน!I68+สุโขทัย!I68+อุตรดิตถ์!I68+อุทัยธานี!I68</f>
        <v>440</v>
      </c>
      <c r="J68" s="137">
        <f>กำแพงเพชร!J68+เชียงราย!J68+เชียงใหม่!J68+ตาก!J68+นครสวรรค์!J68+น่าน!J68+พะเยา!J68+พิจิตร!J68+พิษณุโลก!J68+เพชรบูรณ์!J68+แพร่!J68+แม่ฮ่องสอน!J68+ลำปาง!J68+ลำพูน!J68+สุโขทัย!J68+อุตรดิตถ์!J68+อุทัยธานี!J68</f>
        <v>30</v>
      </c>
      <c r="K68" s="138">
        <f ca="1">IF(I68&gt;0,J68*100/I68,0)</f>
        <v>6.8181818181818183</v>
      </c>
      <c r="L68" s="139">
        <f ca="1">กำแพงเพชร!L68+เชียงราย!L68+เชียงใหม่!L68+ตาก!L68+นครสวรรค์!L68+น่าน!L68+พะเยา!L68+พิจิตร!L68+พิษณุโลก!L68+เพชรบูรณ์!L68+แพร่!L68+แม่ฮ่องสอน!L68+ลำปาง!L68+ลำพูน!L68+สุโขทัย!L68+อุตรดิตถ์!L68+อุทัยธานี!L68</f>
        <v>5646000</v>
      </c>
      <c r="M68" s="139">
        <f>กำแพงเพชร!M68+เชียงราย!M68+เชียงใหม่!M68+ตาก!M68+นครสวรรค์!M68+น่าน!M68+พะเยา!M68+พิจิตร!M68+พิษณุโลก!M68+เพชรบูรณ์!M68+แพร่!M68+แม่ฮ่องสอน!M68+ลำปาง!M68+ลำพูน!M68+สุโขทัย!M68+อุตรดิตถ์!M68+อุทัยธานี!M68</f>
        <v>308905.99</v>
      </c>
      <c r="N68" s="138">
        <f ca="1">IF(L68&gt;0,M68*100/L68,0)</f>
        <v>5.4712360963513991</v>
      </c>
    </row>
    <row r="69" spans="1:14" ht="21.75" customHeight="1" x14ac:dyDescent="0.4">
      <c r="A69" s="132"/>
      <c r="B69" s="133" t="s">
        <v>55</v>
      </c>
      <c r="C69" s="134"/>
      <c r="D69" s="133"/>
      <c r="E69" s="133"/>
      <c r="F69" s="133"/>
      <c r="G69" s="135"/>
      <c r="H69" s="136"/>
      <c r="I69" s="137"/>
      <c r="J69" s="137"/>
      <c r="K69" s="138"/>
      <c r="L69" s="139"/>
      <c r="M69" s="139"/>
      <c r="N69" s="138"/>
    </row>
    <row r="70" spans="1:14" ht="21.75" customHeight="1" x14ac:dyDescent="0.4">
      <c r="A70" s="42"/>
      <c r="B70" s="43"/>
      <c r="C70" s="43" t="s">
        <v>17</v>
      </c>
      <c r="D70" s="44" t="s">
        <v>18</v>
      </c>
      <c r="E70" s="45"/>
      <c r="F70" s="45"/>
      <c r="G70" s="46" t="s">
        <v>19</v>
      </c>
      <c r="H70" s="47" t="s">
        <v>20</v>
      </c>
      <c r="I70" s="48" t="s">
        <v>21</v>
      </c>
      <c r="J70" s="48"/>
      <c r="K70" s="49"/>
      <c r="L70" s="50">
        <f>กำแพงเพชร!L70+เชียงราย!L70+เชียงใหม่!L70+ตาก!L70+นครสวรรค์!L70+น่าน!L70+พะเยา!L70+พิจิตร!L70+พิษณุโลก!L70+เพชรบูรณ์!L70+แพร่!L70+แม่ฮ่องสอน!L70+ลำปาง!L70+ลำพูน!L70+สุโขทัย!L70+อุตรดิตถ์!L70+อุทัยธานี!L70</f>
        <v>0</v>
      </c>
      <c r="M70" s="50">
        <f>กำแพงเพชร!M70+เชียงราย!M70+เชียงใหม่!M70+ตาก!M70+นครสวรรค์!M70+น่าน!M70+พะเยา!M70+พิจิตร!M70+พิษณุโลก!M70+เพชรบูรณ์!M70+แพร่!M70+แม่ฮ่องสอน!M70+ลำปาง!M70+ลำพูน!M70+สุโขทัย!M70+อุตรดิตถ์!M70+อุทัยธานี!M70</f>
        <v>0</v>
      </c>
      <c r="N70" s="50">
        <f t="shared" ref="N70:N77" si="7">+IF(L70&gt;0,M70*100/L70,0)</f>
        <v>0</v>
      </c>
    </row>
    <row r="71" spans="1:14" ht="21.75" customHeight="1" x14ac:dyDescent="0.4">
      <c r="A71" s="42"/>
      <c r="B71" s="43"/>
      <c r="C71" s="43"/>
      <c r="D71" s="51"/>
      <c r="E71" s="45"/>
      <c r="F71" s="45" t="s">
        <v>21</v>
      </c>
      <c r="G71" s="46" t="s">
        <v>22</v>
      </c>
      <c r="H71" s="47" t="s">
        <v>20</v>
      </c>
      <c r="I71" s="48"/>
      <c r="J71" s="48"/>
      <c r="K71" s="49"/>
      <c r="L71" s="50">
        <f ca="1">กำแพงเพชร!L71+เชียงราย!L71+เชียงใหม่!L71+ตาก!L71+นครสวรรค์!L71+น่าน!L71+พะเยา!L71+พิจิตร!L71+พิษณุโลก!L71+เพชรบูรณ์!L71+แพร่!L71+แม่ฮ่องสอน!L71+ลำปาง!L71+ลำพูน!L71+สุโขทัย!L71+อุตรดิตถ์!L71+อุทัยธานี!L71</f>
        <v>5646000</v>
      </c>
      <c r="M71" s="140">
        <f>กำแพงเพชร!M71+เชียงราย!M71+เชียงใหม่!M71+ตาก!M71+นครสวรรค์!M71+น่าน!M71+พะเยา!M71+พิจิตร!M71+พิษณุโลก!M71+เพชรบูรณ์!M71+แพร่!M71+แม่ฮ่องสอน!M71+ลำปาง!M71+ลำพูน!M71+สุโขทัย!M71+อุตรดิตถ์!M71+อุทัยธานี!M71</f>
        <v>308905.99</v>
      </c>
      <c r="N71" s="50">
        <f t="shared" ca="1" si="7"/>
        <v>5.4712360963513991</v>
      </c>
    </row>
    <row r="72" spans="1:14" ht="21.75" customHeight="1" x14ac:dyDescent="0.4">
      <c r="A72" s="42"/>
      <c r="B72" s="43"/>
      <c r="C72" s="43"/>
      <c r="D72" s="51"/>
      <c r="E72" s="45"/>
      <c r="F72" s="45"/>
      <c r="G72" s="52" t="s">
        <v>23</v>
      </c>
      <c r="H72" s="47" t="s">
        <v>20</v>
      </c>
      <c r="I72" s="48"/>
      <c r="J72" s="48"/>
      <c r="K72" s="49"/>
      <c r="L72" s="53">
        <f ca="1">กำแพงเพชร!L72+เชียงราย!L72+เชียงใหม่!L72+ตาก!L72+นครสวรรค์!L72+น่าน!L72+พะเยา!L72+พิจิตร!L72+พิษณุโลก!L72+เพชรบูรณ์!L72+แพร่!L72+แม่ฮ่องสอน!L72+ลำปาง!L72+ลำพูน!L72+สุโขทัย!L72+อุตรดิตถ์!L72+อุทัยธานี!L72</f>
        <v>2232800</v>
      </c>
      <c r="M72" s="54">
        <f>กำแพงเพชร!M72+เชียงราย!M72+เชียงใหม่!M72+ตาก!M72+นครสวรรค์!M72+น่าน!M72+พะเยา!M72+พิจิตร!M72+พิษณุโลก!M72+เพชรบูรณ์!M72+แพร่!M72+แม่ฮ่องสอน!M72+ลำปาง!M72+ลำพูน!M72+สุโขทัย!M72+อุตรดิตถ์!M72+อุทัยธานี!M72</f>
        <v>159032.63</v>
      </c>
      <c r="N72" s="53">
        <f t="shared" ca="1" si="7"/>
        <v>7.1225649408814045</v>
      </c>
    </row>
    <row r="73" spans="1:14" ht="21.75" customHeight="1" x14ac:dyDescent="0.4">
      <c r="A73" s="42"/>
      <c r="B73" s="43"/>
      <c r="C73" s="43"/>
      <c r="D73" s="51"/>
      <c r="E73" s="45"/>
      <c r="F73" s="45"/>
      <c r="G73" s="52" t="s">
        <v>24</v>
      </c>
      <c r="H73" s="47" t="s">
        <v>20</v>
      </c>
      <c r="I73" s="48"/>
      <c r="J73" s="48"/>
      <c r="K73" s="49"/>
      <c r="L73" s="53">
        <f ca="1">กำแพงเพชร!L73+เชียงราย!L73+เชียงใหม่!L73+ตาก!L73+นครสวรรค์!L73+น่าน!L73+พะเยา!L73+พิจิตร!L73+พิษณุโลก!L73+เพชรบูรณ์!L73+แพร่!L73+แม่ฮ่องสอน!L73+ลำปาง!L73+ลำพูน!L73+สุโขทัย!L73+อุตรดิตถ์!L73+อุทัยธานี!L73</f>
        <v>3413200</v>
      </c>
      <c r="M73" s="54">
        <f>กำแพงเพชร!M73+เชียงราย!M73+เชียงใหม่!M73+ตาก!M73+นครสวรรค์!M73+น่าน!M73+พะเยา!M73+พิจิตร!M73+พิษณุโลก!M73+เพชรบูรณ์!M73+แพร่!M73+แม่ฮ่องสอน!M73+ลำปาง!M73+ลำพูน!M73+สุโขทัย!M73+อุตรดิตถ์!M73+อุทัยธานี!M73</f>
        <v>149873.35999999999</v>
      </c>
      <c r="N73" s="53">
        <f t="shared" ca="1" si="7"/>
        <v>4.3909926168990969</v>
      </c>
    </row>
    <row r="74" spans="1:14" ht="21.75" customHeight="1" x14ac:dyDescent="0.4">
      <c r="A74" s="141"/>
      <c r="B74" s="142"/>
      <c r="C74" s="143" t="s">
        <v>56</v>
      </c>
      <c r="D74" s="143"/>
      <c r="E74" s="143"/>
      <c r="F74" s="143"/>
      <c r="G74" s="144"/>
      <c r="H74" s="145" t="s">
        <v>57</v>
      </c>
      <c r="I74" s="146">
        <f ca="1">กำแพงเพชร!I74+เชียงราย!I74+เชียงใหม่!I74+ตาก!I74+นครสวรรค์!I74+น่าน!I74+พะเยา!I74+พิจิตร!I74+พิษณุโลก!I74+เพชรบูรณ์!I74+แพร่!I74+แม่ฮ่องสอน!I74+ลำปาง!I74+ลำพูน!I74+สุโขทัย!I74+อุตรดิตถ์!I74+อุทัยธานี!I74</f>
        <v>68</v>
      </c>
      <c r="J74" s="146">
        <f>กำแพงเพชร!J74+เชียงราย!J74+เชียงใหม่!J74+ตาก!J74+นครสวรรค์!J74+น่าน!J74+พะเยา!J74+พิจิตร!J74+พิษณุโลก!J74+เพชรบูรณ์!J74+แพร่!J74+แม่ฮ่องสอน!J74+ลำปาง!J74+ลำพูน!J74+สุโขทัย!J74+อุตรดิตถ์!J74+อุทัยธานี!J74</f>
        <v>1</v>
      </c>
      <c r="K74" s="147">
        <f ca="1">IF(I74&gt;0,J74*100/I74,0)</f>
        <v>1.4705882352941178</v>
      </c>
      <c r="L74" s="148">
        <f ca="1">กำแพงเพชร!L74+เชียงราย!L74+เชียงใหม่!L74+ตาก!L74+นครสวรรค์!L74+น่าน!L74+พะเยา!L74+พิจิตร!L74+พิษณุโลก!L74+เพชรบูรณ์!L74+แพร่!L74+แม่ฮ่องสอน!L74+ลำปาง!L74+ลำพูน!L74+สุโขทัย!L74+อุตรดิตถ์!L74+อุทัยธานี!L74</f>
        <v>127500</v>
      </c>
      <c r="M74" s="148">
        <f>กำแพงเพชร!M74+เชียงราย!M74+เชียงใหม่!M74+ตาก!M74+นครสวรรค์!M74+น่าน!M74+พะเยา!M74+พิจิตร!M74+พิษณุโลก!M74+เพชรบูรณ์!M74+แพร่!M74+แม่ฮ่องสอน!M74+ลำปาง!M74+ลำพูน!M74+สุโขทัย!M74+อุตรดิตถ์!M74+อุทัยธานี!M74</f>
        <v>850</v>
      </c>
      <c r="N74" s="148">
        <f t="shared" ca="1" si="7"/>
        <v>0.66666666666666663</v>
      </c>
    </row>
    <row r="75" spans="1:14" ht="21.75" customHeight="1" x14ac:dyDescent="0.4">
      <c r="A75" s="42"/>
      <c r="B75" s="43"/>
      <c r="C75" s="43" t="s">
        <v>17</v>
      </c>
      <c r="D75" s="44" t="s">
        <v>18</v>
      </c>
      <c r="E75" s="45"/>
      <c r="F75" s="45"/>
      <c r="G75" s="46" t="s">
        <v>19</v>
      </c>
      <c r="H75" s="47" t="s">
        <v>20</v>
      </c>
      <c r="I75" s="48" t="s">
        <v>21</v>
      </c>
      <c r="J75" s="48"/>
      <c r="K75" s="49"/>
      <c r="L75" s="50">
        <f>กำแพงเพชร!L75+เชียงราย!L75+เชียงใหม่!L75+ตาก!L75+นครสวรรค์!L75+น่าน!L75+พะเยา!L75+พิจิตร!L75+พิษณุโลก!L75+เพชรบูรณ์!L75+แพร่!L75+แม่ฮ่องสอน!L75+ลำปาง!L75+ลำพูน!L75+สุโขทัย!L75+อุตรดิตถ์!L75+อุทัยธานี!L75</f>
        <v>0</v>
      </c>
      <c r="M75" s="50">
        <f>กำแพงเพชร!M75+เชียงราย!M75+เชียงใหม่!M75+ตาก!M75+นครสวรรค์!M75+น่าน!M75+พะเยา!M75+พิจิตร!M75+พิษณุโลก!M75+เพชรบูรณ์!M75+แพร่!M75+แม่ฮ่องสอน!M75+ลำปาง!M75+ลำพูน!M75+สุโขทัย!M75+อุตรดิตถ์!M75+อุทัยธานี!M75</f>
        <v>0</v>
      </c>
      <c r="N75" s="50">
        <f t="shared" si="7"/>
        <v>0</v>
      </c>
    </row>
    <row r="76" spans="1:14" ht="21.75" customHeight="1" x14ac:dyDescent="0.4">
      <c r="A76" s="42"/>
      <c r="B76" s="43"/>
      <c r="C76" s="43"/>
      <c r="D76" s="51"/>
      <c r="E76" s="45"/>
      <c r="F76" s="45" t="s">
        <v>21</v>
      </c>
      <c r="G76" s="46" t="s">
        <v>22</v>
      </c>
      <c r="H76" s="47" t="s">
        <v>20</v>
      </c>
      <c r="I76" s="48"/>
      <c r="J76" s="48"/>
      <c r="K76" s="49"/>
      <c r="L76" s="50">
        <f ca="1">กำแพงเพชร!L76+เชียงราย!L76+เชียงใหม่!L76+ตาก!L76+นครสวรรค์!L76+น่าน!L76+พะเยา!L76+พิจิตร!L76+พิษณุโลก!L76+เพชรบูรณ์!L76+แพร่!L76+แม่ฮ่องสอน!L76+ลำปาง!L76+ลำพูน!L76+สุโขทัย!L76+อุตรดิตถ์!L76+อุทัยธานี!L76</f>
        <v>127500</v>
      </c>
      <c r="M76" s="50">
        <f>กำแพงเพชร!M76+เชียงราย!M76+เชียงใหม่!M76+ตาก!M76+นครสวรรค์!M76+น่าน!M76+พะเยา!M76+พิจิตร!M76+พิษณุโลก!M76+เพชรบูรณ์!M76+แพร่!M76+แม่ฮ่องสอน!M76+ลำปาง!M76+ลำพูน!M76+สุโขทัย!M76+อุตรดิตถ์!M76+อุทัยธานี!M76</f>
        <v>850</v>
      </c>
      <c r="N76" s="50">
        <f t="shared" ca="1" si="7"/>
        <v>0.66666666666666663</v>
      </c>
    </row>
    <row r="77" spans="1:14" ht="21.75" customHeight="1" x14ac:dyDescent="0.4">
      <c r="A77" s="42"/>
      <c r="B77" s="43"/>
      <c r="C77" s="43"/>
      <c r="D77" s="51"/>
      <c r="E77" s="45"/>
      <c r="F77" s="45"/>
      <c r="G77" s="52" t="s">
        <v>24</v>
      </c>
      <c r="H77" s="47" t="s">
        <v>20</v>
      </c>
      <c r="I77" s="48"/>
      <c r="J77" s="48"/>
      <c r="K77" s="49"/>
      <c r="L77" s="53">
        <f ca="1">กำแพงเพชร!L77+เชียงราย!L77+เชียงใหม่!L77+ตาก!L77+นครสวรรค์!L77+น่าน!L77+พะเยา!L77+พิจิตร!L77+พิษณุโลก!L77+เพชรบูรณ์!L77+แพร่!L77+แม่ฮ่องสอน!L77+ลำปาง!L77+ลำพูน!L77+สุโขทัย!L77+อุตรดิตถ์!L77+อุทัยธานี!L77</f>
        <v>127500</v>
      </c>
      <c r="M77" s="54">
        <f>กำแพงเพชร!M77+เชียงราย!M77+เชียงใหม่!M77+ตาก!M77+นครสวรรค์!M77+น่าน!M77+พะเยา!M77+พิจิตร!M77+พิษณุโลก!M77+เพชรบูรณ์!M77+แพร่!M77+แม่ฮ่องสอน!M77+ลำปาง!M77+ลำพูน!M77+สุโขทัย!M77+อุตรดิตถ์!M77+อุทัยธานี!M77</f>
        <v>850</v>
      </c>
      <c r="N77" s="53">
        <f t="shared" ca="1" si="7"/>
        <v>0.66666666666666663</v>
      </c>
    </row>
    <row r="78" spans="1:14" ht="21.75" customHeight="1" x14ac:dyDescent="0.4">
      <c r="A78" s="55"/>
      <c r="B78" s="56"/>
      <c r="C78" s="43" t="s">
        <v>17</v>
      </c>
      <c r="D78" s="57" t="s">
        <v>25</v>
      </c>
      <c r="E78" s="58"/>
      <c r="F78" s="58"/>
      <c r="G78" s="59"/>
      <c r="H78" s="60"/>
      <c r="I78" s="48"/>
      <c r="J78" s="48"/>
      <c r="K78" s="49"/>
      <c r="L78" s="61"/>
      <c r="M78" s="61"/>
      <c r="N78" s="61"/>
    </row>
    <row r="79" spans="1:14" ht="21.75" customHeight="1" x14ac:dyDescent="0.4">
      <c r="A79" s="55"/>
      <c r="B79" s="56"/>
      <c r="C79" s="56"/>
      <c r="D79" s="62">
        <v>1</v>
      </c>
      <c r="E79" s="63" t="s">
        <v>26</v>
      </c>
      <c r="F79" s="64"/>
      <c r="G79" s="65"/>
      <c r="H79" s="66"/>
      <c r="I79" s="67"/>
      <c r="J79" s="68">
        <f>กำแพงเพชร!J79+เชียงราย!J79+เชียงใหม่!J79+ตาก!J79+นครสวรรค์!J79+น่าน!J79+พะเยา!J79+พิจิตร!J79+พิษณุโลก!J79+เพชรบูรณ์!J79+แพร่!J79+แม่ฮ่องสอน!J79+ลำปาง!J79+ลำพูน!J79+สุโขทัย!J79+อุตรดิตถ์!J79+อุทัยธานี!J79</f>
        <v>2</v>
      </c>
      <c r="K79" s="49"/>
      <c r="L79" s="61"/>
      <c r="M79" s="61"/>
      <c r="N79" s="61"/>
    </row>
    <row r="80" spans="1:14" ht="21.75" customHeight="1" x14ac:dyDescent="0.4">
      <c r="A80" s="55"/>
      <c r="B80" s="56"/>
      <c r="C80" s="56"/>
      <c r="D80" s="69">
        <v>2</v>
      </c>
      <c r="E80" s="70" t="s">
        <v>27</v>
      </c>
      <c r="F80" s="71"/>
      <c r="G80" s="72"/>
      <c r="H80" s="66"/>
      <c r="I80" s="67"/>
      <c r="J80" s="68">
        <f>กำแพงเพชร!J80+เชียงราย!J80+เชียงใหม่!J80+ตาก!J80+นครสวรรค์!J80+น่าน!J80+พะเยา!J80+พิจิตร!J80+พิษณุโลก!J80+เพชรบูรณ์!J80+แพร่!J80+แม่ฮ่องสอน!J80+ลำปาง!J80+ลำพูน!J80+สุโขทัย!J80+อุตรดิตถ์!J80+อุทัยธานี!J80</f>
        <v>11</v>
      </c>
      <c r="K80" s="49"/>
      <c r="L80" s="61" t="s">
        <v>21</v>
      </c>
      <c r="M80" s="61" t="s">
        <v>21</v>
      </c>
      <c r="N80" s="61"/>
    </row>
    <row r="81" spans="1:14" ht="21.75" customHeight="1" x14ac:dyDescent="0.4">
      <c r="A81" s="55"/>
      <c r="B81" s="56"/>
      <c r="C81" s="56"/>
      <c r="D81" s="73"/>
      <c r="E81" s="74" t="s">
        <v>28</v>
      </c>
      <c r="F81" s="75"/>
      <c r="G81" s="76"/>
      <c r="H81" s="66"/>
      <c r="I81" s="67"/>
      <c r="J81" s="68">
        <f>กำแพงเพชร!J81+เชียงราย!J81+เชียงใหม่!J81+ตาก!J81+นครสวรรค์!J81+น่าน!J81+พะเยา!J81+พิจิตร!J81+พิษณุโลก!J81+เพชรบูรณ์!J81+แพร่!J81+แม่ฮ่องสอน!J81+ลำปาง!J81+ลำพูน!J81+สุโขทัย!J81+อุตรดิตถ์!J81+อุทัยธานี!J81</f>
        <v>9</v>
      </c>
      <c r="K81" s="49"/>
      <c r="L81" s="61"/>
      <c r="M81" s="61"/>
      <c r="N81" s="61"/>
    </row>
    <row r="82" spans="1:14" ht="21.75" customHeight="1" x14ac:dyDescent="0.4">
      <c r="A82" s="55"/>
      <c r="B82" s="56"/>
      <c r="C82" s="56"/>
      <c r="D82" s="73"/>
      <c r="E82" s="74" t="s">
        <v>29</v>
      </c>
      <c r="F82" s="75"/>
      <c r="G82" s="76"/>
      <c r="H82" s="66"/>
      <c r="I82" s="67"/>
      <c r="J82" s="68">
        <f>กำแพงเพชร!J82+เชียงราย!J82+เชียงใหม่!J82+ตาก!J82+นครสวรรค์!J82+น่าน!J82+พะเยา!J82+พิจิตร!J82+พิษณุโลก!J82+เพชรบูรณ์!J82+แพร่!J82+แม่ฮ่องสอน!J82+ลำปาง!J82+ลำพูน!J82+สุโขทัย!J82+อุตรดิตถ์!J82+อุทัยธานี!J82</f>
        <v>5</v>
      </c>
      <c r="K82" s="49"/>
      <c r="L82" s="61"/>
      <c r="M82" s="61"/>
      <c r="N82" s="61"/>
    </row>
    <row r="83" spans="1:14" ht="21.75" customHeight="1" x14ac:dyDescent="0.4">
      <c r="A83" s="55"/>
      <c r="B83" s="56"/>
      <c r="C83" s="56"/>
      <c r="D83" s="73"/>
      <c r="E83" s="77"/>
      <c r="F83" s="74" t="s">
        <v>58</v>
      </c>
      <c r="G83" s="76"/>
      <c r="H83" s="60" t="s">
        <v>57</v>
      </c>
      <c r="I83" s="67">
        <f ca="1">กำแพงเพชร!I83+เชียงราย!I83+เชียงใหม่!I83+ตาก!I83+นครสวรรค์!I83+น่าน!I83+พะเยา!I83+พิจิตร!I83+พิษณุโลก!I83+เพชรบูรณ์!I83+แพร่!I83+แม่ฮ่องสอน!I83+ลำปาง!I83+ลำพูน!I83+สุโขทัย!I83+อุตรดิตถ์!I83+อุทัยธานี!I83</f>
        <v>68</v>
      </c>
      <c r="J83" s="68">
        <f>กำแพงเพชร!J83+เชียงราย!J83+เชียงใหม่!J83+ตาก!J83+นครสวรรค์!J83+น่าน!J83+พะเยา!J83+พิจิตร!J83+พิษณุโลก!J83+เพชรบูรณ์!J83+แพร่!J83+แม่ฮ่องสอน!J83+ลำปาง!J83+ลำพูน!J83+สุโขทัย!J83+อุตรดิตถ์!J83+อุทัยธานี!J83</f>
        <v>1</v>
      </c>
      <c r="K83" s="49">
        <f ca="1">IF(I83&gt;0,J83*100/I83,0)</f>
        <v>1.4705882352941178</v>
      </c>
      <c r="L83" s="61"/>
      <c r="M83" s="61"/>
      <c r="N83" s="61"/>
    </row>
    <row r="84" spans="1:14" ht="21.75" customHeight="1" x14ac:dyDescent="0.4">
      <c r="A84" s="55"/>
      <c r="B84" s="56"/>
      <c r="C84" s="56"/>
      <c r="D84" s="73"/>
      <c r="E84" s="75"/>
      <c r="F84" s="75" t="s">
        <v>59</v>
      </c>
      <c r="G84" s="76"/>
      <c r="H84" s="66" t="s">
        <v>16</v>
      </c>
      <c r="I84" s="67"/>
      <c r="J84" s="67">
        <f>J85+J86</f>
        <v>100</v>
      </c>
      <c r="K84" s="49"/>
      <c r="L84" s="61"/>
      <c r="M84" s="61"/>
      <c r="N84" s="61"/>
    </row>
    <row r="85" spans="1:14" ht="21.75" customHeight="1" x14ac:dyDescent="0.4">
      <c r="A85" s="55"/>
      <c r="B85" s="56"/>
      <c r="C85" s="56"/>
      <c r="D85" s="73"/>
      <c r="E85" s="75"/>
      <c r="F85" s="75"/>
      <c r="G85" s="76" t="s">
        <v>60</v>
      </c>
      <c r="H85" s="66" t="s">
        <v>16</v>
      </c>
      <c r="I85" s="67"/>
      <c r="J85" s="68">
        <f>กำแพงเพชร!J85+เชียงราย!J85+เชียงใหม่!J85+ตาก!J85+นครสวรรค์!J85+น่าน!J85+พะเยา!J85+พิจิตร!J85+พิษณุโลก!J85+เพชรบูรณ์!J85+แพร่!J85+แม่ฮ่องสอน!J85+ลำปาง!J85+ลำพูน!J85+สุโขทัย!J85+อุตรดิตถ์!J85+อุทัยธานี!J85</f>
        <v>100</v>
      </c>
      <c r="K85" s="49"/>
      <c r="L85" s="61"/>
      <c r="M85" s="61"/>
      <c r="N85" s="61"/>
    </row>
    <row r="86" spans="1:14" ht="21.75" customHeight="1" x14ac:dyDescent="0.4">
      <c r="A86" s="55"/>
      <c r="B86" s="56"/>
      <c r="C86" s="56"/>
      <c r="D86" s="73"/>
      <c r="E86" s="75"/>
      <c r="F86" s="75"/>
      <c r="G86" s="76" t="s">
        <v>61</v>
      </c>
      <c r="H86" s="66" t="s">
        <v>16</v>
      </c>
      <c r="I86" s="67"/>
      <c r="J86" s="68">
        <f>กำแพงเพชร!J86+เชียงราย!J86+เชียงใหม่!J86+ตาก!J86+นครสวรรค์!J86+น่าน!J86+พะเยา!J86+พิจิตร!J86+พิษณุโลก!J86+เพชรบูรณ์!J86+แพร่!J86+แม่ฮ่องสอน!J86+ลำปาง!J86+ลำพูน!J86+สุโขทัย!J86+อุตรดิตถ์!J86+อุทัยธานี!J86</f>
        <v>0</v>
      </c>
      <c r="K86" s="49"/>
      <c r="L86" s="61"/>
      <c r="M86" s="61"/>
      <c r="N86" s="61"/>
    </row>
    <row r="87" spans="1:14" ht="21.75" customHeight="1" x14ac:dyDescent="0.4">
      <c r="A87" s="55"/>
      <c r="B87" s="56"/>
      <c r="C87" s="56"/>
      <c r="D87" s="73"/>
      <c r="E87" s="74" t="s">
        <v>35</v>
      </c>
      <c r="F87" s="75"/>
      <c r="G87" s="76"/>
      <c r="H87" s="66"/>
      <c r="I87" s="67"/>
      <c r="J87" s="68">
        <f>กำแพงเพชร!J87+เชียงราย!J87+เชียงใหม่!J87+ตาก!J87+นครสวรรค์!J87+น่าน!J87+พะเยา!J87+พิจิตร!J87+พิษณุโลก!J87+เพชรบูรณ์!J87+แพร่!J87+แม่ฮ่องสอน!J87+ลำปาง!J87+ลำพูน!J87+สุโขทัย!J87+อุตรดิตถ์!J87+อุทัยธานี!J87</f>
        <v>0</v>
      </c>
      <c r="K87" s="49"/>
      <c r="L87" s="61"/>
      <c r="M87" s="61"/>
      <c r="N87" s="61"/>
    </row>
    <row r="88" spans="1:14" ht="21.75" customHeight="1" x14ac:dyDescent="0.4">
      <c r="A88" s="55"/>
      <c r="B88" s="56"/>
      <c r="C88" s="56"/>
      <c r="D88" s="81">
        <v>3</v>
      </c>
      <c r="E88" s="82" t="s">
        <v>36</v>
      </c>
      <c r="F88" s="83"/>
      <c r="G88" s="84"/>
      <c r="H88" s="66"/>
      <c r="I88" s="67"/>
      <c r="J88" s="85">
        <f>กำแพงเพชร!J88+เชียงราย!J88+เชียงใหม่!J88+ตาก!J88+นครสวรรค์!J88+น่าน!J88+พะเยา!J88+พิจิตร!J88+พิษณุโลก!J88+เพชรบูรณ์!J88+แพร่!J88+แม่ฮ่องสอน!J88+ลำปาง!J88+ลำพูน!J88+สุโขทัย!J88+อุตรดิตถ์!J88+อุทัยธานี!J88</f>
        <v>0</v>
      </c>
      <c r="K88" s="49"/>
      <c r="L88" s="61"/>
      <c r="M88" s="61"/>
      <c r="N88" s="61"/>
    </row>
    <row r="89" spans="1:14" ht="21.75" customHeight="1" x14ac:dyDescent="0.4">
      <c r="A89" s="141"/>
      <c r="B89" s="142"/>
      <c r="C89" s="143" t="s">
        <v>62</v>
      </c>
      <c r="D89" s="143"/>
      <c r="E89" s="143"/>
      <c r="F89" s="143"/>
      <c r="G89" s="144"/>
      <c r="H89" s="149" t="s">
        <v>63</v>
      </c>
      <c r="I89" s="150">
        <f ca="1">กำแพงเพชร!I89+เชียงราย!I89+เชียงใหม่!I89+ตาก!I89+นครสวรรค์!I89+น่าน!I89+พะเยา!I89+พิจิตร!I89+พิษณุโลก!I89+เพชรบูรณ์!I89+แพร่!I89+แม่ฮ่องสอน!I89+ลำปาง!I89+ลำพูน!I89+สุโขทัย!I89+อุตรดิตถ์!I89+อุทัยธานี!I89</f>
        <v>52</v>
      </c>
      <c r="J89" s="150">
        <f>กำแพงเพชร!J89+เชียงราย!J89+เชียงใหม่!J89+ตาก!J89+นครสวรรค์!J89+น่าน!J89+พะเยา!J89+พิจิตร!J89+พิษณุโลก!J89+เพชรบูรณ์!J89+แพร่!J89+แม่ฮ่องสอน!J89+ลำปาง!J89+ลำพูน!J89+สุโขทัย!J89+อุตรดิตถ์!J89+อุทัยธานี!J89</f>
        <v>0</v>
      </c>
      <c r="K89" s="151">
        <f ca="1">IF(I89&gt;0,J89*100/I89,0)</f>
        <v>0</v>
      </c>
      <c r="L89" s="148">
        <f ca="1">กำแพงเพชร!L89+เชียงราย!L89+เชียงใหม่!L89+ตาก!L89+นครสวรรค์!L89+น่าน!L89+พะเยา!L89+พิจิตร!L89+พิษณุโลก!L89+เพชรบูรณ์!L89+แพร่!L89+แม่ฮ่องสอน!L89+ลำปาง!L89+ลำพูน!L89+สุโขทัย!L89+อุตรดิตถ์!L89+อุทัยธานี!L89</f>
        <v>728000</v>
      </c>
      <c r="M89" s="148">
        <f>กำแพงเพชร!M89+เชียงราย!M89+เชียงใหม่!M89+ตาก!M89+นครสวรรค์!M89+น่าน!M89+พะเยา!M89+พิจิตร!M89+พิษณุโลก!M89+เพชรบูรณ์!M89+แพร่!M89+แม่ฮ่องสอน!M89+ลำปาง!M89+ลำพูน!M89+สุโขทัย!M89+อุตรดิตถ์!M89+อุทัยธานี!M89</f>
        <v>0</v>
      </c>
      <c r="N89" s="148">
        <f t="shared" ref="N89:N92" ca="1" si="8">+IF(L89&gt;0,M89*100/L89,0)</f>
        <v>0</v>
      </c>
    </row>
    <row r="90" spans="1:14" ht="21.75" customHeight="1" x14ac:dyDescent="0.4">
      <c r="A90" s="42"/>
      <c r="B90" s="43"/>
      <c r="C90" s="43" t="s">
        <v>17</v>
      </c>
      <c r="D90" s="44" t="s">
        <v>18</v>
      </c>
      <c r="E90" s="45"/>
      <c r="F90" s="45"/>
      <c r="G90" s="46" t="s">
        <v>19</v>
      </c>
      <c r="H90" s="47" t="s">
        <v>20</v>
      </c>
      <c r="I90" s="48" t="s">
        <v>21</v>
      </c>
      <c r="J90" s="48"/>
      <c r="K90" s="49"/>
      <c r="L90" s="50">
        <f>กำแพงเพชร!L90+เชียงราย!L90+เชียงใหม่!L90+ตาก!L90+นครสวรรค์!L90+น่าน!L90+พะเยา!L90+พิจิตร!L90+พิษณุโลก!L90+เพชรบูรณ์!L90+แพร่!L90+แม่ฮ่องสอน!L90+ลำปาง!L90+ลำพูน!L90+สุโขทัย!L90+อุตรดิตถ์!L90+อุทัยธานี!L90</f>
        <v>0</v>
      </c>
      <c r="M90" s="50">
        <f>กำแพงเพชร!M90+เชียงราย!M90+เชียงใหม่!M90+ตาก!M90+นครสวรรค์!M90+น่าน!M90+พะเยา!M90+พิจิตร!M90+พิษณุโลก!M90+เพชรบูรณ์!M90+แพร่!M90+แม่ฮ่องสอน!M90+ลำปาง!M90+ลำพูน!M90+สุโขทัย!M90+อุตรดิตถ์!M90+อุทัยธานี!M90</f>
        <v>0</v>
      </c>
      <c r="N90" s="50">
        <f t="shared" si="8"/>
        <v>0</v>
      </c>
    </row>
    <row r="91" spans="1:14" ht="21.75" customHeight="1" x14ac:dyDescent="0.4">
      <c r="A91" s="42"/>
      <c r="B91" s="43"/>
      <c r="C91" s="43"/>
      <c r="D91" s="51"/>
      <c r="E91" s="45"/>
      <c r="F91" s="45" t="s">
        <v>21</v>
      </c>
      <c r="G91" s="46" t="s">
        <v>22</v>
      </c>
      <c r="H91" s="47" t="s">
        <v>20</v>
      </c>
      <c r="I91" s="48"/>
      <c r="J91" s="48"/>
      <c r="K91" s="49"/>
      <c r="L91" s="50">
        <f ca="1">กำแพงเพชร!L91+เชียงราย!L91+เชียงใหม่!L91+ตาก!L91+นครสวรรค์!L91+น่าน!L91+พะเยา!L91+พิจิตร!L91+พิษณุโลก!L91+เพชรบูรณ์!L91+แพร่!L91+แม่ฮ่องสอน!L91+ลำปาง!L91+ลำพูน!L91+สุโขทัย!L91+อุตรดิตถ์!L91+อุทัยธานี!L91</f>
        <v>728000</v>
      </c>
      <c r="M91" s="50">
        <f>กำแพงเพชร!M91+เชียงราย!M91+เชียงใหม่!M91+ตาก!M91+นครสวรรค์!M91+น่าน!M91+พะเยา!M91+พิจิตร!M91+พิษณุโลก!M91+เพชรบูรณ์!M91+แพร่!M91+แม่ฮ่องสอน!M91+ลำปาง!M91+ลำพูน!M91+สุโขทัย!M91+อุตรดิตถ์!M91+อุทัยธานี!M91</f>
        <v>0</v>
      </c>
      <c r="N91" s="50">
        <f t="shared" ca="1" si="8"/>
        <v>0</v>
      </c>
    </row>
    <row r="92" spans="1:14" ht="21.75" customHeight="1" x14ac:dyDescent="0.4">
      <c r="A92" s="42"/>
      <c r="B92" s="43"/>
      <c r="C92" s="43"/>
      <c r="D92" s="51"/>
      <c r="E92" s="45"/>
      <c r="F92" s="45"/>
      <c r="G92" s="52" t="s">
        <v>24</v>
      </c>
      <c r="H92" s="47" t="s">
        <v>20</v>
      </c>
      <c r="I92" s="48"/>
      <c r="J92" s="48"/>
      <c r="K92" s="49"/>
      <c r="L92" s="53">
        <f ca="1">กำแพงเพชร!L92+เชียงราย!L92+เชียงใหม่!L92+ตาก!L92+นครสวรรค์!L92+น่าน!L92+พะเยา!L92+พิจิตร!L92+พิษณุโลก!L92+เพชรบูรณ์!L92+แพร่!L92+แม่ฮ่องสอน!L92+ลำปาง!L92+ลำพูน!L92+สุโขทัย!L92+อุตรดิตถ์!L92+อุทัยธานี!L92</f>
        <v>728000</v>
      </c>
      <c r="M92" s="54">
        <f>กำแพงเพชร!M92+เชียงราย!M92+เชียงใหม่!M92+ตาก!M92+นครสวรรค์!M92+น่าน!M92+พะเยา!M92+พิจิตร!M92+พิษณุโลก!M92+เพชรบูรณ์!M92+แพร่!M92+แม่ฮ่องสอน!M92+ลำปาง!M92+ลำพูน!M92+สุโขทัย!M92+อุตรดิตถ์!M92+อุทัยธานี!M92</f>
        <v>0</v>
      </c>
      <c r="N92" s="53">
        <f t="shared" ca="1" si="8"/>
        <v>0</v>
      </c>
    </row>
    <row r="93" spans="1:14" ht="21.75" customHeight="1" x14ac:dyDescent="0.4">
      <c r="A93" s="55"/>
      <c r="B93" s="56"/>
      <c r="C93" s="43" t="s">
        <v>17</v>
      </c>
      <c r="D93" s="57" t="s">
        <v>25</v>
      </c>
      <c r="E93" s="58"/>
      <c r="F93" s="58"/>
      <c r="G93" s="59"/>
      <c r="H93" s="60"/>
      <c r="I93" s="48"/>
      <c r="J93" s="48"/>
      <c r="K93" s="49"/>
      <c r="L93" s="61"/>
      <c r="M93" s="61"/>
      <c r="N93" s="61"/>
    </row>
    <row r="94" spans="1:14" ht="21.75" customHeight="1" x14ac:dyDescent="0.4">
      <c r="A94" s="55"/>
      <c r="B94" s="56"/>
      <c r="C94" s="56"/>
      <c r="D94" s="62">
        <v>1</v>
      </c>
      <c r="E94" s="63" t="s">
        <v>26</v>
      </c>
      <c r="F94" s="64"/>
      <c r="G94" s="65"/>
      <c r="H94" s="66"/>
      <c r="I94" s="67"/>
      <c r="J94" s="68">
        <f>กำแพงเพชร!J94+เชียงราย!J94+เชียงใหม่!J94+ตาก!J94+นครสวรรค์!J94+น่าน!J94+พะเยา!J94+พิจิตร!J94+พิษณุโลก!J94+เพชรบูรณ์!J94+แพร่!J94+แม่ฮ่องสอน!J94+ลำปาง!J94+ลำพูน!J94+สุโขทัย!J94+อุตรดิตถ์!J94+อุทัยธานี!J94</f>
        <v>3</v>
      </c>
      <c r="K94" s="49"/>
      <c r="L94" s="61"/>
      <c r="M94" s="61"/>
      <c r="N94" s="61"/>
    </row>
    <row r="95" spans="1:14" ht="21.75" customHeight="1" x14ac:dyDescent="0.4">
      <c r="A95" s="55"/>
      <c r="B95" s="56"/>
      <c r="C95" s="56"/>
      <c r="D95" s="69">
        <v>2</v>
      </c>
      <c r="E95" s="70" t="s">
        <v>27</v>
      </c>
      <c r="F95" s="71"/>
      <c r="G95" s="72"/>
      <c r="H95" s="66"/>
      <c r="I95" s="67"/>
      <c r="J95" s="68">
        <f>กำแพงเพชร!J95+เชียงราย!J95+เชียงใหม่!J95+ตาก!J95+นครสวรรค์!J95+น่าน!J95+พะเยา!J95+พิจิตร!J95+พิษณุโลก!J95+เพชรบูรณ์!J95+แพร่!J95+แม่ฮ่องสอน!J95+ลำปาง!J95+ลำพูน!J95+สุโขทัย!J95+อุตรดิตถ์!J95+อุทัยธานี!J95</f>
        <v>15</v>
      </c>
      <c r="K95" s="49"/>
      <c r="L95" s="61" t="s">
        <v>21</v>
      </c>
      <c r="M95" s="61" t="s">
        <v>21</v>
      </c>
      <c r="N95" s="61"/>
    </row>
    <row r="96" spans="1:14" ht="21.75" customHeight="1" x14ac:dyDescent="0.4">
      <c r="A96" s="55"/>
      <c r="B96" s="56"/>
      <c r="C96" s="56"/>
      <c r="D96" s="73"/>
      <c r="E96" s="74" t="s">
        <v>28</v>
      </c>
      <c r="F96" s="75"/>
      <c r="G96" s="76"/>
      <c r="H96" s="66"/>
      <c r="I96" s="67"/>
      <c r="J96" s="68">
        <f>กำแพงเพชร!J96+เชียงราย!J96+เชียงใหม่!J96+ตาก!J96+นครสวรรค์!J96+น่าน!J96+พะเยา!J96+พิจิตร!J96+พิษณุโลก!J96+เพชรบูรณ์!J96+แพร่!J96+แม่ฮ่องสอน!J96+ลำปาง!J96+ลำพูน!J96+สุโขทัย!J96+อุตรดิตถ์!J96+อุทัยธานี!J96</f>
        <v>8</v>
      </c>
      <c r="K96" s="49"/>
      <c r="L96" s="61"/>
      <c r="M96" s="61"/>
      <c r="N96" s="61"/>
    </row>
    <row r="97" spans="1:14" ht="21.75" customHeight="1" x14ac:dyDescent="0.4">
      <c r="A97" s="55"/>
      <c r="B97" s="56"/>
      <c r="C97" s="56"/>
      <c r="D97" s="73"/>
      <c r="E97" s="74" t="s">
        <v>29</v>
      </c>
      <c r="F97" s="75"/>
      <c r="G97" s="76"/>
      <c r="H97" s="66"/>
      <c r="I97" s="67"/>
      <c r="J97" s="68">
        <f>กำแพงเพชร!J97+เชียงราย!J97+เชียงใหม่!J97+ตาก!J97+นครสวรรค์!J97+น่าน!J97+พะเยา!J97+พิจิตร!J97+พิษณุโลก!J97+เพชรบูรณ์!J97+แพร่!J97+แม่ฮ่องสอน!J97+ลำปาง!J97+ลำพูน!J97+สุโขทัย!J97+อุตรดิตถ์!J97+อุทัยธานี!J97</f>
        <v>4</v>
      </c>
      <c r="K97" s="49"/>
      <c r="L97" s="61"/>
      <c r="M97" s="61"/>
      <c r="N97" s="61"/>
    </row>
    <row r="98" spans="1:14" ht="21.75" customHeight="1" x14ac:dyDescent="0.4">
      <c r="A98" s="55"/>
      <c r="B98" s="56"/>
      <c r="C98" s="56"/>
      <c r="D98" s="73"/>
      <c r="E98" s="77"/>
      <c r="F98" s="74" t="s">
        <v>64</v>
      </c>
      <c r="G98" s="76"/>
      <c r="H98" s="60" t="s">
        <v>63</v>
      </c>
      <c r="I98" s="67">
        <f ca="1">กำแพงเพชร!I98+เชียงราย!I98+เชียงใหม่!I98+ตาก!I98+นครสวรรค์!I98+น่าน!I98+พะเยา!I98+พิจิตร!I98+พิษณุโลก!I98+เพชรบูรณ์!I98+แพร่!I98+แม่ฮ่องสอน!I98+ลำปาง!I98+ลำพูน!I98+สุโขทัย!I98+อุตรดิตถ์!I98+อุทัยธานี!I98</f>
        <v>52</v>
      </c>
      <c r="J98" s="68">
        <f>กำแพงเพชร!J98+เชียงราย!J98+เชียงใหม่!J98+ตาก!J98+นครสวรรค์!J98+น่าน!J98+พะเยา!J98+พิจิตร!J98+พิษณุโลก!J98+เพชรบูรณ์!J98+แพร่!J98+แม่ฮ่องสอน!J98+ลำปาง!J98+ลำพูน!J98+สุโขทัย!J98+อุตรดิตถ์!J98+อุทัยธานี!J98</f>
        <v>0</v>
      </c>
      <c r="K98" s="49">
        <f ca="1">IF(I98&gt;0,J98*100/I98,0)</f>
        <v>0</v>
      </c>
      <c r="L98" s="61"/>
      <c r="M98" s="61"/>
      <c r="N98" s="61"/>
    </row>
    <row r="99" spans="1:14" ht="21.75" customHeight="1" x14ac:dyDescent="0.4">
      <c r="A99" s="55"/>
      <c r="B99" s="56"/>
      <c r="C99" s="56"/>
      <c r="D99" s="73"/>
      <c r="E99" s="74" t="s">
        <v>35</v>
      </c>
      <c r="F99" s="75"/>
      <c r="G99" s="76"/>
      <c r="H99" s="66"/>
      <c r="I99" s="67"/>
      <c r="J99" s="68">
        <f>กำแพงเพชร!J99+เชียงราย!J99+เชียงใหม่!J99+ตาก!J99+นครสวรรค์!J99+น่าน!J99+พะเยา!J99+พิจิตร!J99+พิษณุโลก!J99+เพชรบูรณ์!J99+แพร่!J99+แม่ฮ่องสอน!J99+ลำปาง!J99+ลำพูน!J99+สุโขทัย!J99+อุตรดิตถ์!J99+อุทัยธานี!J99</f>
        <v>0</v>
      </c>
      <c r="K99" s="49"/>
      <c r="L99" s="61"/>
      <c r="M99" s="61"/>
      <c r="N99" s="61"/>
    </row>
    <row r="100" spans="1:14" ht="21.75" customHeight="1" x14ac:dyDescent="0.4">
      <c r="A100" s="55"/>
      <c r="B100" s="56"/>
      <c r="C100" s="56"/>
      <c r="D100" s="81">
        <v>3</v>
      </c>
      <c r="E100" s="82" t="s">
        <v>36</v>
      </c>
      <c r="F100" s="83"/>
      <c r="G100" s="84"/>
      <c r="H100" s="66"/>
      <c r="I100" s="67"/>
      <c r="J100" s="85">
        <f>กำแพงเพชร!J100+เชียงราย!J100+เชียงใหม่!J100+ตาก!J100+นครสวรรค์!J100+น่าน!J100+พะเยา!J100+พิจิตร!J100+พิษณุโลก!J100+เพชรบูรณ์!J100+แพร่!J100+แม่ฮ่องสอน!J100+ลำปาง!J100+ลำพูน!J100+สุโขทัย!J100+อุตรดิตถ์!J100+อุทัยธานี!J100</f>
        <v>0</v>
      </c>
      <c r="K100" s="49"/>
      <c r="L100" s="61"/>
      <c r="M100" s="61"/>
      <c r="N100" s="61"/>
    </row>
    <row r="101" spans="1:14" ht="21.75" customHeight="1" x14ac:dyDescent="0.4">
      <c r="A101" s="141"/>
      <c r="B101" s="142"/>
      <c r="C101" s="143" t="s">
        <v>65</v>
      </c>
      <c r="D101" s="143"/>
      <c r="E101" s="143"/>
      <c r="F101" s="143"/>
      <c r="G101" s="144"/>
      <c r="H101" s="149" t="s">
        <v>63</v>
      </c>
      <c r="I101" s="150">
        <f ca="1">กำแพงเพชร!I101+เชียงราย!I101+เชียงใหม่!I101+ตาก!I101+นครสวรรค์!I101+น่าน!I101+พะเยา!I101+พิจิตร!I101+พิษณุโลก!I101+เพชรบูรณ์!I101+แพร่!I101+แม่ฮ่องสอน!I101+ลำปาง!I101+ลำพูน!I101+สุโขทัย!I101+อุตรดิตถ์!I101+อุทัยธานี!I101</f>
        <v>4</v>
      </c>
      <c r="J101" s="150">
        <f>กำแพงเพชร!J101+เชียงราย!J101+เชียงใหม่!J101+ตาก!J101+นครสวรรค์!J101+น่าน!J101+พะเยา!J101+พิจิตร!J101+พิษณุโลก!J101+เพชรบูรณ์!J101+แพร่!J101+แม่ฮ่องสอน!J101+ลำปาง!J101+ลำพูน!J101+สุโขทัย!J101+อุตรดิตถ์!J101+อุทัยธานี!J101</f>
        <v>0</v>
      </c>
      <c r="K101" s="151">
        <f ca="1">IF(I101&gt;0,J101*100/I101,0)</f>
        <v>0</v>
      </c>
      <c r="L101" s="148">
        <f ca="1">กำแพงเพชร!L101+เชียงราย!L101+เชียงใหม่!L101+ตาก!L101+นครสวรรค์!L101+น่าน!L101+พะเยา!L101+พิจิตร!L101+พิษณุโลก!L101+เพชรบูรณ์!L101+แพร่!L101+แม่ฮ่องสอน!L101+ลำปาง!L101+ลำพูน!L101+สุโขทัย!L101+อุตรดิตถ์!L101+อุทัยธานี!L101</f>
        <v>60000</v>
      </c>
      <c r="M101" s="148">
        <f>กำแพงเพชร!M101+เชียงราย!M101+เชียงใหม่!M101+ตาก!M101+นครสวรรค์!M101+น่าน!M101+พะเยา!M101+พิจิตร!M101+พิษณุโลก!M101+เพชรบูรณ์!M101+แพร่!M101+แม่ฮ่องสอน!M101+ลำปาง!M101+ลำพูน!M101+สุโขทัย!M101+อุตรดิตถ์!M101+อุทัยธานี!M101</f>
        <v>0</v>
      </c>
      <c r="N101" s="148">
        <f t="shared" ref="N101:N104" ca="1" si="9">+IF(L101&gt;0,M101*100/L101,0)</f>
        <v>0</v>
      </c>
    </row>
    <row r="102" spans="1:14" ht="21.75" customHeight="1" x14ac:dyDescent="0.4">
      <c r="A102" s="42"/>
      <c r="B102" s="43"/>
      <c r="C102" s="43" t="s">
        <v>17</v>
      </c>
      <c r="D102" s="44" t="s">
        <v>18</v>
      </c>
      <c r="E102" s="45"/>
      <c r="F102" s="45"/>
      <c r="G102" s="46" t="s">
        <v>19</v>
      </c>
      <c r="H102" s="47" t="s">
        <v>20</v>
      </c>
      <c r="I102" s="48" t="s">
        <v>21</v>
      </c>
      <c r="J102" s="48"/>
      <c r="K102" s="49"/>
      <c r="L102" s="50">
        <f>กำแพงเพชร!L102+เชียงราย!L102+เชียงใหม่!L102+ตาก!L102+นครสวรรค์!L102+น่าน!L102+พะเยา!L102+พิจิตร!L102+พิษณุโลก!L102+เพชรบูรณ์!L102+แพร่!L102+แม่ฮ่องสอน!L102+ลำปาง!L102+ลำพูน!L102+สุโขทัย!L102+อุตรดิตถ์!L102+อุทัยธานี!L102</f>
        <v>0</v>
      </c>
      <c r="M102" s="50">
        <f>กำแพงเพชร!M102+เชียงราย!M102+เชียงใหม่!M102+ตาก!M102+นครสวรรค์!M102+น่าน!M102+พะเยา!M102+พิจิตร!M102+พิษณุโลก!M102+เพชรบูรณ์!M102+แพร่!M102+แม่ฮ่องสอน!M102+ลำปาง!M102+ลำพูน!M102+สุโขทัย!M102+อุตรดิตถ์!M102+อุทัยธานี!M102</f>
        <v>0</v>
      </c>
      <c r="N102" s="50">
        <f t="shared" si="9"/>
        <v>0</v>
      </c>
    </row>
    <row r="103" spans="1:14" ht="21.75" customHeight="1" x14ac:dyDescent="0.4">
      <c r="A103" s="42"/>
      <c r="B103" s="43"/>
      <c r="C103" s="43"/>
      <c r="D103" s="51"/>
      <c r="E103" s="45"/>
      <c r="F103" s="45" t="s">
        <v>21</v>
      </c>
      <c r="G103" s="46" t="s">
        <v>22</v>
      </c>
      <c r="H103" s="47" t="s">
        <v>20</v>
      </c>
      <c r="I103" s="48"/>
      <c r="J103" s="48"/>
      <c r="K103" s="49"/>
      <c r="L103" s="50">
        <f ca="1">กำแพงเพชร!L103+เชียงราย!L103+เชียงใหม่!L103+ตาก!L103+นครสวรรค์!L103+น่าน!L103+พะเยา!L103+พิจิตร!L103+พิษณุโลก!L103+เพชรบูรณ์!L103+แพร่!L103+แม่ฮ่องสอน!L103+ลำปาง!L103+ลำพูน!L103+สุโขทัย!L103+อุตรดิตถ์!L103+อุทัยธานี!L103</f>
        <v>60000</v>
      </c>
      <c r="M103" s="50">
        <f>กำแพงเพชร!M103+เชียงราย!M103+เชียงใหม่!M103+ตาก!M103+นครสวรรค์!M103+น่าน!M103+พะเยา!M103+พิจิตร!M103+พิษณุโลก!M103+เพชรบูรณ์!M103+แพร่!M103+แม่ฮ่องสอน!M103+ลำปาง!M103+ลำพูน!M103+สุโขทัย!M103+อุตรดิตถ์!M103+อุทัยธานี!M103</f>
        <v>0</v>
      </c>
      <c r="N103" s="50">
        <f t="shared" ca="1" si="9"/>
        <v>0</v>
      </c>
    </row>
    <row r="104" spans="1:14" ht="21.75" customHeight="1" x14ac:dyDescent="0.4">
      <c r="A104" s="42"/>
      <c r="B104" s="43"/>
      <c r="C104" s="43"/>
      <c r="D104" s="51"/>
      <c r="E104" s="45"/>
      <c r="F104" s="45"/>
      <c r="G104" s="52" t="s">
        <v>24</v>
      </c>
      <c r="H104" s="47" t="s">
        <v>20</v>
      </c>
      <c r="I104" s="48"/>
      <c r="J104" s="48"/>
      <c r="K104" s="49"/>
      <c r="L104" s="53">
        <f ca="1">กำแพงเพชร!L104+เชียงราย!L104+เชียงใหม่!L104+ตาก!L104+นครสวรรค์!L104+น่าน!L104+พะเยา!L104+พิจิตร!L104+พิษณุโลก!L104+เพชรบูรณ์!L104+แพร่!L104+แม่ฮ่องสอน!L104+ลำปาง!L104+ลำพูน!L104+สุโขทัย!L104+อุตรดิตถ์!L104+อุทัยธานี!L104</f>
        <v>60000</v>
      </c>
      <c r="M104" s="54">
        <f>กำแพงเพชร!M104+เชียงราย!M104+เชียงใหม่!M104+ตาก!M104+นครสวรรค์!M104+น่าน!M104+พะเยา!M104+พิจิตร!M104+พิษณุโลก!M104+เพชรบูรณ์!M104+แพร่!M104+แม่ฮ่องสอน!M104+ลำปาง!M104+ลำพูน!M104+สุโขทัย!M104+อุตรดิตถ์!M104+อุทัยธานี!M104</f>
        <v>0</v>
      </c>
      <c r="N104" s="53">
        <f t="shared" ca="1" si="9"/>
        <v>0</v>
      </c>
    </row>
    <row r="105" spans="1:14" ht="21.75" customHeight="1" x14ac:dyDescent="0.4">
      <c r="A105" s="55"/>
      <c r="B105" s="56"/>
      <c r="C105" s="43" t="s">
        <v>17</v>
      </c>
      <c r="D105" s="57" t="s">
        <v>25</v>
      </c>
      <c r="E105" s="58"/>
      <c r="F105" s="58"/>
      <c r="G105" s="59"/>
      <c r="H105" s="60"/>
      <c r="I105" s="48"/>
      <c r="J105" s="48"/>
      <c r="K105" s="49"/>
      <c r="L105" s="61"/>
      <c r="M105" s="61"/>
      <c r="N105" s="61"/>
    </row>
    <row r="106" spans="1:14" ht="21.75" customHeight="1" x14ac:dyDescent="0.4">
      <c r="A106" s="55"/>
      <c r="B106" s="56"/>
      <c r="C106" s="56"/>
      <c r="D106" s="62">
        <v>1</v>
      </c>
      <c r="E106" s="63" t="s">
        <v>26</v>
      </c>
      <c r="F106" s="64"/>
      <c r="G106" s="65"/>
      <c r="H106" s="66"/>
      <c r="I106" s="67"/>
      <c r="J106" s="68">
        <f>กำแพงเพชร!J106+เชียงราย!J106+เชียงใหม่!J106+ตาก!J106+นครสวรรค์!J106+น่าน!J106+พะเยา!J106+พิจิตร!J106+พิษณุโลก!J106+เพชรบูรณ์!J106+แพร่!J106+แม่ฮ่องสอน!J106+ลำปาง!J106+ลำพูน!J106+สุโขทัย!J106+อุตรดิตถ์!J106+อุทัยธานี!J106</f>
        <v>0</v>
      </c>
      <c r="K106" s="49"/>
      <c r="L106" s="61"/>
      <c r="M106" s="61"/>
      <c r="N106" s="61"/>
    </row>
    <row r="107" spans="1:14" ht="21.75" customHeight="1" x14ac:dyDescent="0.4">
      <c r="A107" s="55"/>
      <c r="B107" s="56"/>
      <c r="C107" s="56"/>
      <c r="D107" s="69">
        <v>2</v>
      </c>
      <c r="E107" s="70" t="s">
        <v>27</v>
      </c>
      <c r="F107" s="71"/>
      <c r="G107" s="72"/>
      <c r="H107" s="66"/>
      <c r="I107" s="67"/>
      <c r="J107" s="68">
        <f>กำแพงเพชร!J107+เชียงราย!J107+เชียงใหม่!J107+ตาก!J107+นครสวรรค์!J107+น่าน!J107+พะเยา!J107+พิจิตร!J107+พิษณุโลก!J107+เพชรบูรณ์!J107+แพร่!J107+แม่ฮ่องสอน!J107+ลำปาง!J107+ลำพูน!J107+สุโขทัย!J107+อุตรดิตถ์!J107+อุทัยธานี!J107</f>
        <v>3</v>
      </c>
      <c r="K107" s="49"/>
      <c r="L107" s="61" t="s">
        <v>21</v>
      </c>
      <c r="M107" s="61" t="s">
        <v>21</v>
      </c>
      <c r="N107" s="61"/>
    </row>
    <row r="108" spans="1:14" ht="21.75" customHeight="1" x14ac:dyDescent="0.4">
      <c r="A108" s="55"/>
      <c r="B108" s="56"/>
      <c r="C108" s="56"/>
      <c r="D108" s="73"/>
      <c r="E108" s="74" t="s">
        <v>28</v>
      </c>
      <c r="F108" s="75"/>
      <c r="G108" s="76"/>
      <c r="H108" s="66"/>
      <c r="I108" s="67"/>
      <c r="J108" s="68">
        <f>กำแพงเพชร!J108+เชียงราย!J108+เชียงใหม่!J108+ตาก!J108+นครสวรรค์!J108+น่าน!J108+พะเยา!J108+พิจิตร!J108+พิษณุโลก!J108+เพชรบูรณ์!J108+แพร่!J108+แม่ฮ่องสอน!J108+ลำปาง!J108+ลำพูน!J108+สุโขทัย!J108+อุตรดิตถ์!J108+อุทัยธานี!J108</f>
        <v>1</v>
      </c>
      <c r="K108" s="49"/>
      <c r="L108" s="61"/>
      <c r="M108" s="61"/>
      <c r="N108" s="61"/>
    </row>
    <row r="109" spans="1:14" ht="21.75" customHeight="1" x14ac:dyDescent="0.4">
      <c r="A109" s="55"/>
      <c r="B109" s="56"/>
      <c r="C109" s="56"/>
      <c r="D109" s="73"/>
      <c r="E109" s="74" t="s">
        <v>29</v>
      </c>
      <c r="F109" s="75"/>
      <c r="G109" s="76"/>
      <c r="H109" s="66"/>
      <c r="I109" s="67"/>
      <c r="J109" s="68">
        <f>กำแพงเพชร!J109+เชียงราย!J109+เชียงใหม่!J109+ตาก!J109+นครสวรรค์!J109+น่าน!J109+พะเยา!J109+พิจิตร!J109+พิษณุโลก!J109+เพชรบูรณ์!J109+แพร่!J109+แม่ฮ่องสอน!J109+ลำปาง!J109+ลำพูน!J109+สุโขทัย!J109+อุตรดิตถ์!J109+อุทัยธานี!J109</f>
        <v>1</v>
      </c>
      <c r="K109" s="49"/>
      <c r="L109" s="61"/>
      <c r="M109" s="61"/>
      <c r="N109" s="61"/>
    </row>
    <row r="110" spans="1:14" ht="21.75" customHeight="1" x14ac:dyDescent="0.4">
      <c r="A110" s="55"/>
      <c r="B110" s="56"/>
      <c r="C110" s="56"/>
      <c r="D110" s="73"/>
      <c r="E110" s="77"/>
      <c r="F110" s="74" t="s">
        <v>66</v>
      </c>
      <c r="G110" s="76"/>
      <c r="H110" s="60" t="s">
        <v>63</v>
      </c>
      <c r="I110" s="67">
        <f ca="1">กำแพงเพชร!I110+เชียงราย!I110+เชียงใหม่!I110+ตาก!I110+นครสวรรค์!I110+น่าน!I110+พะเยา!I110+พิจิตร!I110+พิษณุโลก!I110+เพชรบูรณ์!I110+แพร่!I110+แม่ฮ่องสอน!I110+ลำปาง!I110+ลำพูน!I110+สุโขทัย!I110+อุตรดิตถ์!I110+อุทัยธานี!I110</f>
        <v>4</v>
      </c>
      <c r="J110" s="68">
        <f>กำแพงเพชร!J110+เชียงราย!J110+เชียงใหม่!J110+ตาก!J110+นครสวรรค์!J110+น่าน!J110+พะเยา!J110+พิจิตร!J110+พิษณุโลก!J110+เพชรบูรณ์!J110+แพร่!J110+แม่ฮ่องสอน!J110+ลำปาง!J110+ลำพูน!J110+สุโขทัย!J110+อุตรดิตถ์!J110+อุทัยธานี!J110</f>
        <v>0</v>
      </c>
      <c r="K110" s="49">
        <f t="shared" ref="K110:K111" ca="1" si="10">IF(I110&gt;0,J110*100/I110,0)</f>
        <v>0</v>
      </c>
      <c r="L110" s="61"/>
      <c r="M110" s="61"/>
      <c r="N110" s="61"/>
    </row>
    <row r="111" spans="1:14" ht="21.75" customHeight="1" x14ac:dyDescent="0.4">
      <c r="A111" s="55"/>
      <c r="B111" s="56"/>
      <c r="C111" s="56"/>
      <c r="D111" s="73"/>
      <c r="E111" s="77"/>
      <c r="F111" s="74" t="s">
        <v>67</v>
      </c>
      <c r="G111" s="76"/>
      <c r="H111" s="60" t="s">
        <v>63</v>
      </c>
      <c r="I111" s="67">
        <f ca="1">กำแพงเพชร!I111+เชียงราย!I111+เชียงใหม่!I111+ตาก!I111+นครสวรรค์!I111+น่าน!I111+พะเยา!I111+พิจิตร!I111+พิษณุโลก!I111+เพชรบูรณ์!I111+แพร่!I111+แม่ฮ่องสอน!I111+ลำปาง!I111+ลำพูน!I111+สุโขทัย!I111+อุตรดิตถ์!I111+อุทัยธานี!I111</f>
        <v>4</v>
      </c>
      <c r="J111" s="68">
        <f>กำแพงเพชร!J111+เชียงราย!J111+เชียงใหม่!J111+ตาก!J111+นครสวรรค์!J111+น่าน!J111+พะเยา!J111+พิจิตร!J111+พิษณุโลก!J111+เพชรบูรณ์!J111+แพร่!J111+แม่ฮ่องสอน!J111+ลำปาง!J111+ลำพูน!J111+สุโขทัย!J111+อุตรดิตถ์!J111+อุทัยธานี!J111</f>
        <v>0</v>
      </c>
      <c r="K111" s="49">
        <f t="shared" ca="1" si="10"/>
        <v>0</v>
      </c>
      <c r="L111" s="61"/>
      <c r="M111" s="61"/>
      <c r="N111" s="61"/>
    </row>
    <row r="112" spans="1:14" ht="21.75" customHeight="1" x14ac:dyDescent="0.4">
      <c r="A112" s="55"/>
      <c r="B112" s="56"/>
      <c r="C112" s="56"/>
      <c r="D112" s="73"/>
      <c r="E112" s="74" t="s">
        <v>35</v>
      </c>
      <c r="F112" s="75"/>
      <c r="G112" s="76"/>
      <c r="H112" s="66"/>
      <c r="I112" s="67"/>
      <c r="J112" s="68">
        <f>กำแพงเพชร!J112+เชียงราย!J112+เชียงใหม่!J112+ตาก!J112+นครสวรรค์!J112+น่าน!J112+พะเยา!J112+พิจิตร!J112+พิษณุโลก!J112+เพชรบูรณ์!J112+แพร่!J112+แม่ฮ่องสอน!J112+ลำปาง!J112+ลำพูน!J112+สุโขทัย!J112+อุตรดิตถ์!J112+อุทัยธานี!J112</f>
        <v>0</v>
      </c>
      <c r="K112" s="49"/>
      <c r="L112" s="61"/>
      <c r="M112" s="61"/>
      <c r="N112" s="61"/>
    </row>
    <row r="113" spans="1:14" ht="21.75" customHeight="1" x14ac:dyDescent="0.4">
      <c r="A113" s="55"/>
      <c r="B113" s="56"/>
      <c r="C113" s="56"/>
      <c r="D113" s="81">
        <v>3</v>
      </c>
      <c r="E113" s="82" t="s">
        <v>36</v>
      </c>
      <c r="F113" s="83"/>
      <c r="G113" s="84"/>
      <c r="H113" s="66"/>
      <c r="I113" s="67"/>
      <c r="J113" s="85">
        <f>กำแพงเพชร!J113+เชียงราย!J113+เชียงใหม่!J113+ตาก!J113+นครสวรรค์!J113+น่าน!J113+พะเยา!J113+พิจิตร!J113+พิษณุโลก!J113+เพชรบูรณ์!J113+แพร่!J113+แม่ฮ่องสอน!J113+ลำปาง!J113+ลำพูน!J113+สุโขทัย!J113+อุตรดิตถ์!J113+อุทัยธานี!J113</f>
        <v>0</v>
      </c>
      <c r="K113" s="49"/>
      <c r="L113" s="61"/>
      <c r="M113" s="61"/>
      <c r="N113" s="61"/>
    </row>
    <row r="114" spans="1:14" ht="21.75" customHeight="1" x14ac:dyDescent="0.4">
      <c r="A114" s="141"/>
      <c r="B114" s="142"/>
      <c r="C114" s="143" t="s">
        <v>68</v>
      </c>
      <c r="D114" s="143"/>
      <c r="E114" s="143"/>
      <c r="F114" s="143"/>
      <c r="G114" s="144"/>
      <c r="H114" s="152" t="s">
        <v>69</v>
      </c>
      <c r="I114" s="150">
        <f ca="1">กำแพงเพชร!I114+เชียงราย!I114+เชียงใหม่!I114+ตาก!I114+นครสวรรค์!I114+น่าน!I114+พะเยา!I114+พิจิตร!I114+พิษณุโลก!I114+เพชรบูรณ์!I114+แพร่!I114+แม่ฮ่องสอน!I114+ลำปาง!I114+ลำพูน!I114+สุโขทัย!I114+อุตรดิตถ์!I114+อุทัยธานี!I114</f>
        <v>1224000</v>
      </c>
      <c r="J114" s="150">
        <f>กำแพงเพชร!J114+เชียงราย!J114+เชียงใหม่!J114+ตาก!J114+นครสวรรค์!J114+น่าน!J114+พะเยา!J114+พิจิตร!J114+พิษณุโลก!J114+เพชรบูรณ์!J114+แพร่!J114+แม่ฮ่องสอน!J114+ลำปาง!J114+ลำพูน!J114+สุโขทัย!J114+อุตรดิตถ์!J114+อุทัยธานี!J114</f>
        <v>0</v>
      </c>
      <c r="K114" s="151">
        <f ca="1">IF(I114&gt;0,J114*100/I114,0)</f>
        <v>0</v>
      </c>
      <c r="L114" s="148">
        <f ca="1">กำแพงเพชร!L114+เชียงราย!L114+เชียงใหม่!L114+ตาก!L114+นครสวรรค์!L114+น่าน!L114+พะเยา!L114+พิจิตร!L114+พิษณุโลก!L114+เพชรบูรณ์!L114+แพร่!L114+แม่ฮ่องสอน!L114+ลำปาง!L114+ลำพูน!L114+สุโขทัย!L114+อุตรดิตถ์!L114+อุทัยธานี!L114</f>
        <v>491600</v>
      </c>
      <c r="M114" s="148">
        <f>กำแพงเพชร!M114+เชียงราย!M114+เชียงใหม่!M114+ตาก!M114+นครสวรรค์!M114+น่าน!M114+พะเยา!M114+พิจิตร!M114+พิษณุโลก!M114+เพชรบูรณ์!M114+แพร่!M114+แม่ฮ่องสอน!M114+ลำปาง!M114+ลำพูน!M114+สุโขทัย!M114+อุตรดิตถ์!M114+อุทัยธานี!M114</f>
        <v>23760</v>
      </c>
      <c r="N114" s="148">
        <f t="shared" ref="N114:N117" ca="1" si="11">+IF(L114&gt;0,M114*100/L114,0)</f>
        <v>4.8331977217249795</v>
      </c>
    </row>
    <row r="115" spans="1:14" ht="21.75" customHeight="1" x14ac:dyDescent="0.4">
      <c r="A115" s="42"/>
      <c r="B115" s="43"/>
      <c r="C115" s="43" t="s">
        <v>17</v>
      </c>
      <c r="D115" s="44" t="s">
        <v>18</v>
      </c>
      <c r="E115" s="45"/>
      <c r="F115" s="45"/>
      <c r="G115" s="46" t="s">
        <v>19</v>
      </c>
      <c r="H115" s="47" t="s">
        <v>20</v>
      </c>
      <c r="I115" s="48" t="s">
        <v>21</v>
      </c>
      <c r="J115" s="48"/>
      <c r="K115" s="49"/>
      <c r="L115" s="50">
        <f>กำแพงเพชร!L115+เชียงราย!L115+เชียงใหม่!L115+ตาก!L115+นครสวรรค์!L115+น่าน!L115+พะเยา!L115+พิจิตร!L115+พิษณุโลก!L115+เพชรบูรณ์!L115+แพร่!L115+แม่ฮ่องสอน!L115+ลำปาง!L115+ลำพูน!L115+สุโขทัย!L115+อุตรดิตถ์!L115+อุทัยธานี!L115</f>
        <v>0</v>
      </c>
      <c r="M115" s="50">
        <f>กำแพงเพชร!M115+เชียงราย!M115+เชียงใหม่!M115+ตาก!M115+นครสวรรค์!M115+น่าน!M115+พะเยา!M115+พิจิตร!M115+พิษณุโลก!M115+เพชรบูรณ์!M115+แพร่!M115+แม่ฮ่องสอน!M115+ลำปาง!M115+ลำพูน!M115+สุโขทัย!M115+อุตรดิตถ์!M115+อุทัยธานี!M115</f>
        <v>0</v>
      </c>
      <c r="N115" s="50">
        <f t="shared" si="11"/>
        <v>0</v>
      </c>
    </row>
    <row r="116" spans="1:14" ht="21.75" customHeight="1" x14ac:dyDescent="0.4">
      <c r="A116" s="42"/>
      <c r="B116" s="43"/>
      <c r="C116" s="43"/>
      <c r="D116" s="51"/>
      <c r="E116" s="45"/>
      <c r="F116" s="45" t="s">
        <v>21</v>
      </c>
      <c r="G116" s="46" t="s">
        <v>22</v>
      </c>
      <c r="H116" s="47" t="s">
        <v>20</v>
      </c>
      <c r="I116" s="48"/>
      <c r="J116" s="48"/>
      <c r="K116" s="49"/>
      <c r="L116" s="50">
        <f ca="1">กำแพงเพชร!L116+เชียงราย!L116+เชียงใหม่!L116+ตาก!L116+นครสวรรค์!L116+น่าน!L116+พะเยา!L116+พิจิตร!L116+พิษณุโลก!L116+เพชรบูรณ์!L116+แพร่!L116+แม่ฮ่องสอน!L116+ลำปาง!L116+ลำพูน!L116+สุโขทัย!L116+อุตรดิตถ์!L116+อุทัยธานี!L116</f>
        <v>491600</v>
      </c>
      <c r="M116" s="50">
        <f>กำแพงเพชร!M116+เชียงราย!M116+เชียงใหม่!M116+ตาก!M116+นครสวรรค์!M116+น่าน!M116+พะเยา!M116+พิจิตร!M116+พิษณุโลก!M116+เพชรบูรณ์!M116+แพร่!M116+แม่ฮ่องสอน!M116+ลำปาง!M116+ลำพูน!M116+สุโขทัย!M116+อุตรดิตถ์!M116+อุทัยธานี!M116</f>
        <v>23760</v>
      </c>
      <c r="N116" s="50">
        <f t="shared" ca="1" si="11"/>
        <v>4.8331977217249795</v>
      </c>
    </row>
    <row r="117" spans="1:14" ht="21.75" customHeight="1" x14ac:dyDescent="0.4">
      <c r="A117" s="42"/>
      <c r="B117" s="43"/>
      <c r="C117" s="43"/>
      <c r="D117" s="51"/>
      <c r="E117" s="45"/>
      <c r="F117" s="45"/>
      <c r="G117" s="52" t="s">
        <v>24</v>
      </c>
      <c r="H117" s="47" t="s">
        <v>20</v>
      </c>
      <c r="I117" s="48"/>
      <c r="J117" s="48"/>
      <c r="K117" s="49"/>
      <c r="L117" s="53">
        <f ca="1">กำแพงเพชร!L117+เชียงราย!L117+เชียงใหม่!L117+ตาก!L117+นครสวรรค์!L117+น่าน!L117+พะเยา!L117+พิจิตร!L117+พิษณุโลก!L117+เพชรบูรณ์!L117+แพร่!L117+แม่ฮ่องสอน!L117+ลำปาง!L117+ลำพูน!L117+สุโขทัย!L117+อุตรดิตถ์!L117+อุทัยธานี!L117</f>
        <v>491600</v>
      </c>
      <c r="M117" s="54">
        <f>กำแพงเพชร!M117+เชียงราย!M117+เชียงใหม่!M117+ตาก!M117+นครสวรรค์!M117+น่าน!M117+พะเยา!M117+พิจิตร!M117+พิษณุโลก!M117+เพชรบูรณ์!M117+แพร่!M117+แม่ฮ่องสอน!M117+ลำปาง!M117+ลำพูน!M117+สุโขทัย!M117+อุตรดิตถ์!M117+อุทัยธานี!M117</f>
        <v>23760</v>
      </c>
      <c r="N117" s="53">
        <f t="shared" ca="1" si="11"/>
        <v>4.8331977217249795</v>
      </c>
    </row>
    <row r="118" spans="1:14" ht="21.75" customHeight="1" x14ac:dyDescent="0.4">
      <c r="A118" s="55"/>
      <c r="B118" s="56"/>
      <c r="C118" s="43" t="s">
        <v>17</v>
      </c>
      <c r="D118" s="57" t="s">
        <v>25</v>
      </c>
      <c r="E118" s="58"/>
      <c r="F118" s="58"/>
      <c r="G118" s="59"/>
      <c r="H118" s="60"/>
      <c r="I118" s="48"/>
      <c r="J118" s="48"/>
      <c r="K118" s="49"/>
      <c r="L118" s="61"/>
      <c r="M118" s="61"/>
      <c r="N118" s="61"/>
    </row>
    <row r="119" spans="1:14" ht="21.75" customHeight="1" x14ac:dyDescent="0.4">
      <c r="A119" s="55"/>
      <c r="B119" s="56"/>
      <c r="C119" s="56"/>
      <c r="D119" s="62">
        <v>1</v>
      </c>
      <c r="E119" s="63" t="s">
        <v>26</v>
      </c>
      <c r="F119" s="64"/>
      <c r="G119" s="65"/>
      <c r="H119" s="66"/>
      <c r="I119" s="67"/>
      <c r="J119" s="68">
        <f>กำแพงเพชร!J119+เชียงราย!J119+เชียงใหม่!J119+ตาก!J119+นครสวรรค์!J119+น่าน!J119+พะเยา!J119+พิจิตร!J119+พิษณุโลก!J119+เพชรบูรณ์!J119+แพร่!J119+แม่ฮ่องสอน!J119+ลำปาง!J119+ลำพูน!J119+สุโขทัย!J119+อุตรดิตถ์!J119+อุทัยธานี!J119</f>
        <v>4</v>
      </c>
      <c r="K119" s="49"/>
      <c r="L119" s="61"/>
      <c r="M119" s="61"/>
      <c r="N119" s="61"/>
    </row>
    <row r="120" spans="1:14" ht="21.75" customHeight="1" x14ac:dyDescent="0.4">
      <c r="A120" s="55"/>
      <c r="B120" s="56"/>
      <c r="C120" s="56"/>
      <c r="D120" s="69">
        <v>2</v>
      </c>
      <c r="E120" s="70" t="s">
        <v>27</v>
      </c>
      <c r="F120" s="71"/>
      <c r="G120" s="72"/>
      <c r="H120" s="66"/>
      <c r="I120" s="67"/>
      <c r="J120" s="68">
        <f>กำแพงเพชร!J120+เชียงราย!J120+เชียงใหม่!J120+ตาก!J120+นครสวรรค์!J120+น่าน!J120+พะเยา!J120+พิจิตร!J120+พิษณุโลก!J120+เพชรบูรณ์!J120+แพร่!J120+แม่ฮ่องสอน!J120+ลำปาง!J120+ลำพูน!J120+สุโขทัย!J120+อุตรดิตถ์!J120+อุทัยธานี!J120</f>
        <v>10</v>
      </c>
      <c r="K120" s="49"/>
      <c r="L120" s="61" t="s">
        <v>21</v>
      </c>
      <c r="M120" s="61" t="s">
        <v>21</v>
      </c>
      <c r="N120" s="61"/>
    </row>
    <row r="121" spans="1:14" ht="21.75" customHeight="1" x14ac:dyDescent="0.4">
      <c r="A121" s="55"/>
      <c r="B121" s="56"/>
      <c r="C121" s="56"/>
      <c r="D121" s="73"/>
      <c r="E121" s="74" t="s">
        <v>28</v>
      </c>
      <c r="F121" s="75"/>
      <c r="G121" s="76"/>
      <c r="H121" s="66"/>
      <c r="I121" s="67"/>
      <c r="J121" s="68">
        <f>กำแพงเพชร!J121+เชียงราย!J121+เชียงใหม่!J121+ตาก!J121+นครสวรรค์!J121+น่าน!J121+พะเยา!J121+พิจิตร!J121+พิษณุโลก!J121+เพชรบูรณ์!J121+แพร่!J121+แม่ฮ่องสอน!J121+ลำปาง!J121+ลำพูน!J121+สุโขทัย!J121+อุตรดิตถ์!J121+อุทัยธานี!J121</f>
        <v>8</v>
      </c>
      <c r="K121" s="49"/>
      <c r="L121" s="61"/>
      <c r="M121" s="61"/>
      <c r="N121" s="61"/>
    </row>
    <row r="122" spans="1:14" ht="21.75" customHeight="1" x14ac:dyDescent="0.4">
      <c r="A122" s="55"/>
      <c r="B122" s="56"/>
      <c r="C122" s="56"/>
      <c r="D122" s="73"/>
      <c r="E122" s="74" t="s">
        <v>29</v>
      </c>
      <c r="F122" s="75"/>
      <c r="G122" s="76"/>
      <c r="H122" s="66"/>
      <c r="I122" s="67"/>
      <c r="J122" s="68">
        <f>กำแพงเพชร!J122+เชียงราย!J122+เชียงใหม่!J122+ตาก!J122+นครสวรรค์!J122+น่าน!J122+พะเยา!J122+พิจิตร!J122+พิษณุโลก!J122+เพชรบูรณ์!J122+แพร่!J122+แม่ฮ่องสอน!J122+ลำปาง!J122+ลำพูน!J122+สุโขทัย!J122+อุตรดิตถ์!J122+อุทัยธานี!J122</f>
        <v>5</v>
      </c>
      <c r="K122" s="49"/>
      <c r="L122" s="61"/>
      <c r="M122" s="61"/>
      <c r="N122" s="61"/>
    </row>
    <row r="123" spans="1:14" ht="21.75" customHeight="1" x14ac:dyDescent="0.4">
      <c r="A123" s="55"/>
      <c r="B123" s="56"/>
      <c r="C123" s="56"/>
      <c r="D123" s="73"/>
      <c r="E123" s="75"/>
      <c r="F123" s="75" t="s">
        <v>70</v>
      </c>
      <c r="G123" s="76"/>
      <c r="H123" s="60"/>
      <c r="I123" s="67"/>
      <c r="J123" s="67"/>
      <c r="K123" s="49"/>
      <c r="L123" s="61"/>
      <c r="M123" s="61"/>
      <c r="N123" s="61"/>
    </row>
    <row r="124" spans="1:14" ht="21.75" customHeight="1" x14ac:dyDescent="0.4">
      <c r="A124" s="55"/>
      <c r="B124" s="56"/>
      <c r="C124" s="56"/>
      <c r="D124" s="73"/>
      <c r="E124" s="77"/>
      <c r="F124" s="75"/>
      <c r="G124" s="74" t="s">
        <v>71</v>
      </c>
      <c r="H124" s="60" t="s">
        <v>69</v>
      </c>
      <c r="I124" s="67">
        <f ca="1">กำแพงเพชร!I124+เชียงราย!I124+เชียงใหม่!I124+ตาก!I124+นครสวรรค์!I124+น่าน!I124+พะเยา!I124+พิจิตร!I124+พิษณุโลก!I124+เพชรบูรณ์!I124+แพร่!I124+แม่ฮ่องสอน!I124+ลำปาง!I124+ลำพูน!I124+สุโขทัย!I124+อุตรดิตถ์!I124+อุทัยธานี!I124</f>
        <v>1224000</v>
      </c>
      <c r="J124" s="68">
        <f>กำแพงเพชร!J124+เชียงราย!J124+เชียงใหม่!J124+ตาก!J124+นครสวรรค์!J124+น่าน!J124+พะเยา!J124+พิจิตร!J124+พิษณุโลก!J124+เพชรบูรณ์!J124+แพร่!J124+แม่ฮ่องสอน!J124+ลำปาง!J124+ลำพูน!J124+สุโขทัย!J124+อุตรดิตถ์!J124+อุทัยธานี!J124</f>
        <v>148000</v>
      </c>
      <c r="K124" s="49">
        <f t="shared" ref="K124:K126" ca="1" si="12">IF(I124&gt;0,J124*100/I124,0)</f>
        <v>12.091503267973856</v>
      </c>
      <c r="L124" s="61"/>
      <c r="M124" s="61"/>
      <c r="N124" s="61"/>
    </row>
    <row r="125" spans="1:14" ht="21.75" customHeight="1" x14ac:dyDescent="0.4">
      <c r="A125" s="55"/>
      <c r="B125" s="56"/>
      <c r="C125" s="56"/>
      <c r="D125" s="73"/>
      <c r="E125" s="77"/>
      <c r="F125" s="75"/>
      <c r="G125" s="74" t="s">
        <v>72</v>
      </c>
      <c r="H125" s="60" t="s">
        <v>69</v>
      </c>
      <c r="I125" s="67">
        <f ca="1">กำแพงเพชร!I125+เชียงราย!I125+เชียงใหม่!I125+ตาก!I125+นครสวรรค์!I125+น่าน!I125+พะเยา!I125+พิจิตร!I125+พิษณุโลก!I125+เพชรบูรณ์!I125+แพร่!I125+แม่ฮ่องสอน!I125+ลำปาง!I125+ลำพูน!I125+สุโขทัย!I125+อุตรดิตถ์!I125+อุทัยธานี!I125</f>
        <v>1224000</v>
      </c>
      <c r="J125" s="68">
        <f>กำแพงเพชร!J125+เชียงราย!J125+เชียงใหม่!J125+ตาก!J125+นครสวรรค์!J125+น่าน!J125+พะเยา!J125+พิจิตร!J125+พิษณุโลก!J125+เพชรบูรณ์!J125+แพร่!J125+แม่ฮ่องสอน!J125+ลำปาง!J125+ลำพูน!J125+สุโขทัย!J125+อุตรดิตถ์!J125+อุทัยธานี!J125</f>
        <v>0</v>
      </c>
      <c r="K125" s="49">
        <f t="shared" ca="1" si="12"/>
        <v>0</v>
      </c>
      <c r="L125" s="61"/>
      <c r="M125" s="61"/>
      <c r="N125" s="61"/>
    </row>
    <row r="126" spans="1:14" ht="21.75" customHeight="1" x14ac:dyDescent="0.4">
      <c r="A126" s="55"/>
      <c r="B126" s="56"/>
      <c r="C126" s="56"/>
      <c r="D126" s="73"/>
      <c r="E126" s="77"/>
      <c r="F126" s="75" t="s">
        <v>73</v>
      </c>
      <c r="G126" s="76"/>
      <c r="H126" s="60" t="s">
        <v>16</v>
      </c>
      <c r="I126" s="48">
        <f ca="1">กำแพงเพชร!I126+เชียงราย!I126+เชียงใหม่!I126+ตาก!I126+นครสวรรค์!I126+น่าน!I126+พะเยา!I126+พิจิตร!I126+พิษณุโลก!I126+เพชรบูรณ์!I126+แพร่!I126+แม่ฮ่องสอน!I126+ลำปาง!I126+ลำพูน!I126+สุโขทัย!I126+อุตรดิตถ์!I126+อุทัยธานี!I126</f>
        <v>60</v>
      </c>
      <c r="J126" s="68">
        <f>กำแพงเพชร!J126+เชียงราย!J126+เชียงใหม่!J126+ตาก!J126+นครสวรรค์!J126+น่าน!J126+พะเยา!J126+พิจิตร!J126+พิษณุโลก!J126+เพชรบูรณ์!J126+แพร่!J126+แม่ฮ่องสอน!J126+ลำปาง!J126+ลำพูน!J126+สุโขทัย!J126+อุตรดิตถ์!J126+อุทัยธานี!J126</f>
        <v>30</v>
      </c>
      <c r="K126" s="49">
        <f t="shared" ca="1" si="12"/>
        <v>50</v>
      </c>
      <c r="L126" s="61"/>
      <c r="M126" s="61"/>
      <c r="N126" s="61"/>
    </row>
    <row r="127" spans="1:14" ht="21.75" customHeight="1" x14ac:dyDescent="0.4">
      <c r="A127" s="55"/>
      <c r="B127" s="56"/>
      <c r="C127" s="56"/>
      <c r="D127" s="73"/>
      <c r="E127" s="74" t="s">
        <v>35</v>
      </c>
      <c r="F127" s="75"/>
      <c r="G127" s="76"/>
      <c r="H127" s="66"/>
      <c r="I127" s="67"/>
      <c r="J127" s="68">
        <f>กำแพงเพชร!J127+เชียงราย!J127+เชียงใหม่!J127+ตาก!J127+นครสวรรค์!J127+น่าน!J127+พะเยา!J127+พิจิตร!J127+พิษณุโลก!J127+เพชรบูรณ์!J127+แพร่!J127+แม่ฮ่องสอน!J127+ลำปาง!J127+ลำพูน!J127+สุโขทัย!J127+อุตรดิตถ์!J127+อุทัยธานี!J127</f>
        <v>0</v>
      </c>
      <c r="K127" s="49"/>
      <c r="L127" s="61"/>
      <c r="M127" s="61"/>
      <c r="N127" s="61"/>
    </row>
    <row r="128" spans="1:14" ht="21.75" customHeight="1" x14ac:dyDescent="0.4">
      <c r="A128" s="105"/>
      <c r="B128" s="106"/>
      <c r="C128" s="106"/>
      <c r="D128" s="107">
        <v>3</v>
      </c>
      <c r="E128" s="108" t="s">
        <v>36</v>
      </c>
      <c r="F128" s="109"/>
      <c r="G128" s="110"/>
      <c r="H128" s="111"/>
      <c r="I128" s="112"/>
      <c r="J128" s="113">
        <f>กำแพงเพชร!J128+เชียงราย!J128+เชียงใหม่!J128+ตาก!J128+นครสวรรค์!J128+น่าน!J128+พะเยา!J128+พิจิตร!J128+พิษณุโลก!J128+เพชรบูรณ์!J128+แพร่!J128+แม่ฮ่องสอน!J128+ลำปาง!J128+ลำพูน!J128+สุโขทัย!J128+อุตรดิตถ์!J128+อุทัยธานี!J128</f>
        <v>0</v>
      </c>
      <c r="K128" s="114"/>
      <c r="L128" s="115"/>
      <c r="M128" s="115"/>
      <c r="N128" s="115"/>
    </row>
    <row r="129" spans="1:14" ht="21.75" customHeight="1" x14ac:dyDescent="0.4">
      <c r="A129" s="141"/>
      <c r="B129" s="142"/>
      <c r="C129" s="153" t="s">
        <v>74</v>
      </c>
      <c r="D129" s="143"/>
      <c r="E129" s="143"/>
      <c r="F129" s="143"/>
      <c r="G129" s="144"/>
      <c r="H129" s="152" t="s">
        <v>16</v>
      </c>
      <c r="I129" s="150">
        <f ca="1">กำแพงเพชร!I129+เชียงราย!I129+เชียงใหม่!I129+ตาก!I129+นครสวรรค์!I129+น่าน!I129+พะเยา!I129+พิจิตร!I129+พิษณุโลก!I129+เพชรบูรณ์!I129+แพร่!I129+แม่ฮ่องสอน!I129+ลำปาง!I129+ลำพูน!I129+สุโขทัย!I129+อุตรดิตถ์!I129+อุทัยธานี!I129</f>
        <v>380</v>
      </c>
      <c r="J129" s="150">
        <f>กำแพงเพชร!J129+เชียงราย!J129+เชียงใหม่!J129+ตาก!J129+นครสวรรค์!J129+น่าน!J129+พะเยา!J129+พิจิตร!J129+พิษณุโลก!J129+เพชรบูรณ์!J129+แพร่!J129+แม่ฮ่องสอน!J129+ลำปาง!J129+ลำพูน!J129+สุโขทัย!J129+อุตรดิตถ์!J129+อุทัยธานี!J129</f>
        <v>0</v>
      </c>
      <c r="K129" s="151">
        <f ca="1">IF(I129&gt;0,J129*100/I129,0)</f>
        <v>0</v>
      </c>
      <c r="L129" s="148">
        <f ca="1">กำแพงเพชร!L129+เชียงราย!L129+เชียงใหม่!L129+ตาก!L129+นครสวรรค์!L129+น่าน!L129+พะเยา!L129+พิจิตร!L129+พิษณุโลก!L129+เพชรบูรณ์!L129+แพร่!L129+แม่ฮ่องสอน!L129+ลำปาง!L129+ลำพูน!L129+สุโขทัย!L129+อุตรดิตถ์!L129+อุทัยธานี!L129</f>
        <v>2006100</v>
      </c>
      <c r="M129" s="148">
        <f>กำแพงเพชร!M129+เชียงราย!M129+เชียงใหม่!M129+ตาก!M129+นครสวรรค์!M129+น่าน!M129+พะเยา!M129+พิจิตร!M129+พิษณุโลก!M129+เพชรบูรณ์!M129+แพร่!M129+แม่ฮ่องสอน!M129+ลำปาง!M129+ลำพูน!M129+สุโขทัย!M129+อุตรดิตถ์!M129+อุทัยธานี!M129</f>
        <v>125263.36</v>
      </c>
      <c r="N129" s="148">
        <f t="shared" ref="N129:N132" ca="1" si="13">+IF(L129&gt;0,M129*100/L129,0)</f>
        <v>6.2441234235581478</v>
      </c>
    </row>
    <row r="130" spans="1:14" ht="21.75" customHeight="1" x14ac:dyDescent="0.4">
      <c r="A130" s="42"/>
      <c r="B130" s="43"/>
      <c r="C130" s="43" t="s">
        <v>17</v>
      </c>
      <c r="D130" s="44" t="s">
        <v>18</v>
      </c>
      <c r="E130" s="45"/>
      <c r="F130" s="45"/>
      <c r="G130" s="46" t="s">
        <v>19</v>
      </c>
      <c r="H130" s="47" t="s">
        <v>20</v>
      </c>
      <c r="I130" s="48" t="s">
        <v>21</v>
      </c>
      <c r="J130" s="48"/>
      <c r="K130" s="49"/>
      <c r="L130" s="50">
        <f>กำแพงเพชร!L130+เชียงราย!L130+เชียงใหม่!L130+ตาก!L130+นครสวรรค์!L130+น่าน!L130+พะเยา!L130+พิจิตร!L130+พิษณุโลก!L130+เพชรบูรณ์!L130+แพร่!L130+แม่ฮ่องสอน!L130+ลำปาง!L130+ลำพูน!L130+สุโขทัย!L130+อุตรดิตถ์!L130+อุทัยธานี!L130</f>
        <v>0</v>
      </c>
      <c r="M130" s="50">
        <f>กำแพงเพชร!M130+เชียงราย!M130+เชียงใหม่!M130+ตาก!M130+นครสวรรค์!M130+น่าน!M130+พะเยา!M130+พิจิตร!M130+พิษณุโลก!M130+เพชรบูรณ์!M130+แพร่!M130+แม่ฮ่องสอน!M130+ลำปาง!M130+ลำพูน!M130+สุโขทัย!M130+อุตรดิตถ์!M130+อุทัยธานี!M130</f>
        <v>0</v>
      </c>
      <c r="N130" s="50">
        <f t="shared" si="13"/>
        <v>0</v>
      </c>
    </row>
    <row r="131" spans="1:14" ht="21.75" customHeight="1" x14ac:dyDescent="0.4">
      <c r="A131" s="42"/>
      <c r="B131" s="43"/>
      <c r="C131" s="43"/>
      <c r="D131" s="51"/>
      <c r="E131" s="45"/>
      <c r="F131" s="45" t="s">
        <v>21</v>
      </c>
      <c r="G131" s="46" t="s">
        <v>22</v>
      </c>
      <c r="H131" s="47" t="s">
        <v>20</v>
      </c>
      <c r="I131" s="48"/>
      <c r="J131" s="48"/>
      <c r="K131" s="49"/>
      <c r="L131" s="50">
        <f ca="1">กำแพงเพชร!L131+เชียงราย!L131+เชียงใหม่!L131+ตาก!L131+นครสวรรค์!L131+น่าน!L131+พะเยา!L131+พิจิตร!L131+พิษณุโลก!L131+เพชรบูรณ์!L131+แพร่!L131+แม่ฮ่องสอน!L131+ลำปาง!L131+ลำพูน!L131+สุโขทัย!L131+อุตรดิตถ์!L131+อุทัยธานี!L131</f>
        <v>2006100</v>
      </c>
      <c r="M131" s="50">
        <f>กำแพงเพชร!M131+เชียงราย!M131+เชียงใหม่!M131+ตาก!M131+นครสวรรค์!M131+น่าน!M131+พะเยา!M131+พิจิตร!M131+พิษณุโลก!M131+เพชรบูรณ์!M131+แพร่!M131+แม่ฮ่องสอน!M131+ลำปาง!M131+ลำพูน!M131+สุโขทัย!M131+อุตรดิตถ์!M131+อุทัยธานี!M131</f>
        <v>125263.36</v>
      </c>
      <c r="N131" s="50">
        <f t="shared" ca="1" si="13"/>
        <v>6.2441234235581478</v>
      </c>
    </row>
    <row r="132" spans="1:14" ht="21.75" customHeight="1" x14ac:dyDescent="0.4">
      <c r="A132" s="42"/>
      <c r="B132" s="43"/>
      <c r="C132" s="43"/>
      <c r="D132" s="51"/>
      <c r="E132" s="45"/>
      <c r="F132" s="45"/>
      <c r="G132" s="52" t="s">
        <v>24</v>
      </c>
      <c r="H132" s="47" t="s">
        <v>20</v>
      </c>
      <c r="I132" s="48"/>
      <c r="J132" s="48"/>
      <c r="K132" s="49"/>
      <c r="L132" s="53">
        <f ca="1">กำแพงเพชร!L132+เชียงราย!L132+เชียงใหม่!L132+ตาก!L132+นครสวรรค์!L132+น่าน!L132+พะเยา!L132+พิจิตร!L132+พิษณุโลก!L132+เพชรบูรณ์!L132+แพร่!L132+แม่ฮ่องสอน!L132+ลำปาง!L132+ลำพูน!L132+สุโขทัย!L132+อุตรดิตถ์!L132+อุทัยธานี!L132</f>
        <v>2006100</v>
      </c>
      <c r="M132" s="54">
        <f>กำแพงเพชร!M132+เชียงราย!M132+เชียงใหม่!M132+ตาก!M132+นครสวรรค์!M132+น่าน!M132+พะเยา!M132+พิจิตร!M132+พิษณุโลก!M132+เพชรบูรณ์!M132+แพร่!M132+แม่ฮ่องสอน!M132+ลำปาง!M132+ลำพูน!M132+สุโขทัย!M132+อุตรดิตถ์!M132+อุทัยธานี!M132</f>
        <v>125263.36</v>
      </c>
      <c r="N132" s="53">
        <f t="shared" ca="1" si="13"/>
        <v>6.2441234235581478</v>
      </c>
    </row>
    <row r="133" spans="1:14" ht="21.75" customHeight="1" x14ac:dyDescent="0.4">
      <c r="A133" s="55"/>
      <c r="B133" s="56"/>
      <c r="C133" s="43" t="s">
        <v>17</v>
      </c>
      <c r="D133" s="57" t="s">
        <v>25</v>
      </c>
      <c r="E133" s="58"/>
      <c r="F133" s="58"/>
      <c r="G133" s="59"/>
      <c r="H133" s="60"/>
      <c r="I133" s="48"/>
      <c r="J133" s="48"/>
      <c r="K133" s="49"/>
      <c r="L133" s="61"/>
      <c r="M133" s="61"/>
      <c r="N133" s="61"/>
    </row>
    <row r="134" spans="1:14" ht="21.75" customHeight="1" x14ac:dyDescent="0.4">
      <c r="A134" s="55"/>
      <c r="B134" s="56"/>
      <c r="C134" s="56"/>
      <c r="D134" s="62">
        <v>1</v>
      </c>
      <c r="E134" s="63" t="s">
        <v>26</v>
      </c>
      <c r="F134" s="64"/>
      <c r="G134" s="65"/>
      <c r="H134" s="66"/>
      <c r="I134" s="67"/>
      <c r="J134" s="68">
        <f>กำแพงเพชร!J134+เชียงราย!J134+เชียงใหม่!J134+ตาก!J134+นครสวรรค์!J134+น่าน!J134+พะเยา!J134+พิจิตร!J134+พิษณุโลก!J134+เพชรบูรณ์!J134+แพร่!J134+แม่ฮ่องสอน!J134+ลำปาง!J134+ลำพูน!J134+สุโขทัย!J134+อุตรดิตถ์!J134+อุทัยธานี!J134</f>
        <v>0</v>
      </c>
      <c r="K134" s="49"/>
      <c r="L134" s="61"/>
      <c r="M134" s="61"/>
      <c r="N134" s="61"/>
    </row>
    <row r="135" spans="1:14" ht="21.75" customHeight="1" x14ac:dyDescent="0.4">
      <c r="A135" s="55"/>
      <c r="B135" s="56"/>
      <c r="C135" s="56"/>
      <c r="D135" s="69">
        <v>2</v>
      </c>
      <c r="E135" s="70" t="s">
        <v>27</v>
      </c>
      <c r="F135" s="71"/>
      <c r="G135" s="72"/>
      <c r="H135" s="66"/>
      <c r="I135" s="67"/>
      <c r="J135" s="68">
        <f>กำแพงเพชร!J135+เชียงราย!J135+เชียงใหม่!J135+ตาก!J135+นครสวรรค์!J135+น่าน!J135+พะเยา!J135+พิจิตร!J135+พิษณุโลก!J135+เพชรบูรณ์!J135+แพร่!J135+แม่ฮ่องสอน!J135+ลำปาง!J135+ลำพูน!J135+สุโขทัย!J135+อุตรดิตถ์!J135+อุทัยธานี!J135</f>
        <v>4</v>
      </c>
      <c r="K135" s="49"/>
      <c r="L135" s="61" t="s">
        <v>21</v>
      </c>
      <c r="M135" s="61" t="s">
        <v>21</v>
      </c>
      <c r="N135" s="61"/>
    </row>
    <row r="136" spans="1:14" ht="21.75" customHeight="1" x14ac:dyDescent="0.4">
      <c r="A136" s="55"/>
      <c r="B136" s="56"/>
      <c r="C136" s="56"/>
      <c r="D136" s="73"/>
      <c r="E136" s="74" t="s">
        <v>28</v>
      </c>
      <c r="F136" s="75"/>
      <c r="G136" s="76"/>
      <c r="H136" s="66"/>
      <c r="I136" s="67"/>
      <c r="J136" s="68">
        <f>กำแพงเพชร!J136+เชียงราย!J136+เชียงใหม่!J136+ตาก!J136+นครสวรรค์!J136+น่าน!J136+พะเยา!J136+พิจิตร!J136+พิษณุโลก!J136+เพชรบูรณ์!J136+แพร่!J136+แม่ฮ่องสอน!J136+ลำปาง!J136+ลำพูน!J136+สุโขทัย!J136+อุตรดิตถ์!J136+อุทัยธานี!J136</f>
        <v>3</v>
      </c>
      <c r="K136" s="49"/>
      <c r="L136" s="61"/>
      <c r="M136" s="61"/>
      <c r="N136" s="61"/>
    </row>
    <row r="137" spans="1:14" ht="21.75" customHeight="1" x14ac:dyDescent="0.4">
      <c r="A137" s="55"/>
      <c r="B137" s="56"/>
      <c r="C137" s="56"/>
      <c r="D137" s="73"/>
      <c r="E137" s="74" t="s">
        <v>29</v>
      </c>
      <c r="F137" s="75"/>
      <c r="G137" s="76"/>
      <c r="H137" s="66"/>
      <c r="I137" s="67"/>
      <c r="J137" s="68">
        <f>กำแพงเพชร!J137+เชียงราย!J137+เชียงใหม่!J137+ตาก!J137+นครสวรรค์!J137+น่าน!J137+พะเยา!J137+พิจิตร!J137+พิษณุโลก!J137+เพชรบูรณ์!J137+แพร่!J137+แม่ฮ่องสอน!J137+ลำปาง!J137+ลำพูน!J137+สุโขทัย!J137+อุตรดิตถ์!J137+อุทัยธานี!J137</f>
        <v>2</v>
      </c>
      <c r="K137" s="49"/>
      <c r="L137" s="61"/>
      <c r="M137" s="61"/>
      <c r="N137" s="61"/>
    </row>
    <row r="138" spans="1:14" ht="21.75" customHeight="1" x14ac:dyDescent="0.4">
      <c r="A138" s="55"/>
      <c r="B138" s="56"/>
      <c r="C138" s="56"/>
      <c r="D138" s="73"/>
      <c r="E138" s="77"/>
      <c r="F138" s="75" t="s">
        <v>75</v>
      </c>
      <c r="G138" s="76"/>
      <c r="H138" s="60" t="s">
        <v>16</v>
      </c>
      <c r="I138" s="67">
        <f ca="1">กำแพงเพชร!I138+เชียงราย!I138+เชียงใหม่!I138+ตาก!I138+นครสวรรค์!I138+น่าน!I138+พะเยา!I138+พิจิตร!I138+พิษณุโลก!I138+เพชรบูรณ์!I138+แพร่!I138+แม่ฮ่องสอน!I138+ลำปาง!I138+ลำพูน!I138+สุโขทัย!I138+อุตรดิตถ์!I138+อุทัยธานี!I138</f>
        <v>380</v>
      </c>
      <c r="J138" s="154">
        <f>กำแพงเพชร!J138+เชียงราย!J138+เชียงใหม่!J138+ตาก!J138+นครสวรรค์!J138+น่าน!J138+พะเยา!J138+พิจิตร!J138+พิษณุโลก!J138+เพชรบูรณ์!J138+แพร่!J138+แม่ฮ่องสอน!J138+ลำปาง!J138+ลำพูน!J138+สุโขทัย!J138+อุตรดิตถ์!J138+อุทัยธานี!J138</f>
        <v>0</v>
      </c>
      <c r="K138" s="80">
        <f ca="1">IF(I138&gt;0,J138*100/I138,0)</f>
        <v>0</v>
      </c>
      <c r="L138" s="61"/>
      <c r="M138" s="61"/>
      <c r="N138" s="61"/>
    </row>
    <row r="139" spans="1:14" ht="21.75" customHeight="1" x14ac:dyDescent="0.4">
      <c r="A139" s="55"/>
      <c r="B139" s="56"/>
      <c r="C139" s="56"/>
      <c r="D139" s="73"/>
      <c r="E139" s="77"/>
      <c r="F139" s="74" t="s">
        <v>34</v>
      </c>
      <c r="G139" s="76"/>
      <c r="H139" s="60"/>
      <c r="I139" s="67"/>
      <c r="J139" s="67"/>
      <c r="K139" s="49"/>
      <c r="L139" s="61"/>
      <c r="M139" s="61"/>
      <c r="N139" s="61"/>
    </row>
    <row r="140" spans="1:14" ht="21.75" customHeight="1" x14ac:dyDescent="0.4">
      <c r="A140" s="55"/>
      <c r="B140" s="56"/>
      <c r="C140" s="56"/>
      <c r="D140" s="73"/>
      <c r="E140" s="77"/>
      <c r="F140" s="75"/>
      <c r="G140" s="99" t="s">
        <v>76</v>
      </c>
      <c r="H140" s="60" t="s">
        <v>16</v>
      </c>
      <c r="I140" s="48">
        <f ca="1">กำแพงเพชร!I140+เชียงราย!I140+เชียงใหม่!I140+ตาก!I140+นครสวรรค์!I140+น่าน!I140+พะเยา!I140+พิจิตร!I140+พิษณุโลก!I140+เพชรบูรณ์!I140+แพร่!I140+แม่ฮ่องสอน!I140+ลำปาง!I140+ลำพูน!I140+สุโขทัย!I140+อุตรดิตถ์!I140+อุทัยธานี!I140</f>
        <v>132</v>
      </c>
      <c r="J140" s="68">
        <f>กำแพงเพชร!J140+เชียงราย!J140+เชียงใหม่!J140+ตาก!J140+นครสวรรค์!J140+น่าน!J140+พะเยา!J140+พิจิตร!J140+พิษณุโลก!J140+เพชรบูรณ์!J140+แพร่!J140+แม่ฮ่องสอน!J140+ลำปาง!J140+ลำพูน!J140+สุโขทัย!J140+อุตรดิตถ์!J140+อุทัยธานี!J140</f>
        <v>0</v>
      </c>
      <c r="K140" s="49">
        <f t="shared" ref="K140:K141" ca="1" si="14">IF(I140&gt;0,J140*100/I140,0)</f>
        <v>0</v>
      </c>
      <c r="L140" s="61"/>
      <c r="M140" s="61"/>
      <c r="N140" s="61"/>
    </row>
    <row r="141" spans="1:14" ht="21.75" customHeight="1" x14ac:dyDescent="0.4">
      <c r="A141" s="55"/>
      <c r="B141" s="56"/>
      <c r="C141" s="56"/>
      <c r="D141" s="73"/>
      <c r="E141" s="77"/>
      <c r="F141" s="75"/>
      <c r="G141" s="99" t="s">
        <v>77</v>
      </c>
      <c r="H141" s="60" t="s">
        <v>40</v>
      </c>
      <c r="I141" s="48">
        <f ca="1">กำแพงเพชร!I141+เชียงราย!I141+เชียงใหม่!I141+ตาก!I141+นครสวรรค์!I141+น่าน!I141+พะเยา!I141+พิจิตร!I141+พิษณุโลก!I141+เพชรบูรณ์!I141+แพร่!I141+แม่ฮ่องสอน!I141+ลำปาง!I141+ลำพูน!I141+สุโขทัย!I141+อุตรดิตถ์!I141+อุทัยธานี!I141</f>
        <v>2</v>
      </c>
      <c r="J141" s="68">
        <f>กำแพงเพชร!J141+เชียงราย!J141+เชียงใหม่!J141+ตาก!J141+นครสวรรค์!J141+น่าน!J141+พะเยา!J141+พิจิตร!J141+พิษณุโลก!J141+เพชรบูรณ์!J141+แพร่!J141+แม่ฮ่องสอน!J141+ลำปาง!J141+ลำพูน!J141+สุโขทัย!J141+อุตรดิตถ์!J141+อุทัยธานี!J141</f>
        <v>0</v>
      </c>
      <c r="K141" s="49">
        <f t="shared" ca="1" si="14"/>
        <v>0</v>
      </c>
      <c r="L141" s="61"/>
      <c r="M141" s="61"/>
      <c r="N141" s="61"/>
    </row>
    <row r="142" spans="1:14" ht="21.75" customHeight="1" x14ac:dyDescent="0.4">
      <c r="A142" s="55"/>
      <c r="B142" s="56"/>
      <c r="C142" s="56"/>
      <c r="D142" s="73"/>
      <c r="E142" s="74" t="s">
        <v>35</v>
      </c>
      <c r="F142" s="75"/>
      <c r="G142" s="76"/>
      <c r="H142" s="66"/>
      <c r="I142" s="67"/>
      <c r="J142" s="68">
        <f>กำแพงเพชร!J142+เชียงราย!J142+เชียงใหม่!J142+ตาก!J142+นครสวรรค์!J142+น่าน!J142+พะเยา!J142+พิจิตร!J142+พิษณุโลก!J142+เพชรบูรณ์!J142+แพร่!J142+แม่ฮ่องสอน!J142+ลำปาง!J142+ลำพูน!J142+สุโขทัย!J142+อุตรดิตถ์!J142+อุทัยธานี!J142</f>
        <v>0</v>
      </c>
      <c r="K142" s="49"/>
      <c r="L142" s="61"/>
      <c r="M142" s="61"/>
      <c r="N142" s="61"/>
    </row>
    <row r="143" spans="1:14" ht="21.75" customHeight="1" x14ac:dyDescent="0.4">
      <c r="A143" s="105"/>
      <c r="B143" s="106"/>
      <c r="C143" s="106"/>
      <c r="D143" s="107">
        <v>3</v>
      </c>
      <c r="E143" s="108" t="s">
        <v>36</v>
      </c>
      <c r="F143" s="109"/>
      <c r="G143" s="110"/>
      <c r="H143" s="111"/>
      <c r="I143" s="112"/>
      <c r="J143" s="113">
        <f>กำแพงเพชร!J143+เชียงราย!J143+เชียงใหม่!J143+ตาก!J143+นครสวรรค์!J143+น่าน!J143+พะเยา!J143+พิจิตร!J143+พิษณุโลก!J143+เพชรบูรณ์!J143+แพร่!J143+แม่ฮ่องสอน!J143+ลำปาง!J143+ลำพูน!J143+สุโขทัย!J143+อุตรดิตถ์!J143+อุทัยธานี!J143</f>
        <v>0</v>
      </c>
      <c r="K143" s="114"/>
      <c r="L143" s="115"/>
      <c r="M143" s="115"/>
      <c r="N143" s="115"/>
    </row>
    <row r="144" spans="1:14" ht="21.75" customHeight="1" x14ac:dyDescent="0.4">
      <c r="A144" s="132"/>
      <c r="B144" s="133" t="s">
        <v>78</v>
      </c>
      <c r="C144" s="134"/>
      <c r="D144" s="133"/>
      <c r="E144" s="133"/>
      <c r="F144" s="133"/>
      <c r="G144" s="135"/>
      <c r="H144" s="136" t="s">
        <v>16</v>
      </c>
      <c r="I144" s="137">
        <f ca="1">กำแพงเพชร!I144+เชียงราย!I144+เชียงใหม่!I144+ตาก!I144+นครสวรรค์!I144+น่าน!I144+พะเยา!I144+พิจิตร!I144+พิษณุโลก!I144+เพชรบูรณ์!I144+แพร่!I144+แม่ฮ่องสอน!I144+ลำปาง!I144+ลำพูน!I144+สุโขทัย!I144+อุตรดิตถ์!I144+อุทัยธานี!I144</f>
        <v>234</v>
      </c>
      <c r="J144" s="137">
        <f>กำแพงเพชร!J144+เชียงราย!J144+เชียงใหม่!J144+ตาก!J144+นครสวรรค์!J144+น่าน!J144+พะเยา!J144+พิจิตร!J144+พิษณุโลก!J144+เพชรบูรณ์!J144+แพร่!J144+แม่ฮ่องสอน!J144+ลำปาง!J144+ลำพูน!J144+สุโขทัย!J144+อุตรดิตถ์!J144+อุทัยธานี!J144</f>
        <v>72</v>
      </c>
      <c r="K144" s="138">
        <f ca="1">IF(I144&gt;0,J144*100/I144,0)</f>
        <v>30.76923076923077</v>
      </c>
      <c r="L144" s="139">
        <f ca="1">กำแพงเพชร!L144+เชียงราย!L144+เชียงใหม่!L144+ตาก!L144+นครสวรรค์!L144+น่าน!L144+พะเยา!L144+พิจิตร!L144+พิษณุโลก!L144+เพชรบูรณ์!L144+แพร่!L144+แม่ฮ่องสอน!L144+ลำปาง!L144+ลำพูน!L144+สุโขทัย!L144+อุตรดิตถ์!L144+อุทัยธานี!L144</f>
        <v>332510</v>
      </c>
      <c r="M144" s="139">
        <f>กำแพงเพชร!M144+เชียงราย!M144+เชียงใหม่!M144+ตาก!M144+นครสวรรค์!M144+น่าน!M144+พะเยา!M144+พิจิตร!M144+พิษณุโลก!M144+เพชรบูรณ์!M144+แพร่!M144+แม่ฮ่องสอน!M144+ลำปาง!M144+ลำพูน!M144+สุโขทัย!M144+อุตรดิตถ์!M144+อุทัยธานี!M144</f>
        <v>119371</v>
      </c>
      <c r="N144" s="138">
        <f ca="1">IF(L144&gt;0,M144*100/L144,0)</f>
        <v>35.899972933144866</v>
      </c>
    </row>
    <row r="145" spans="1:14" ht="21.75" customHeight="1" x14ac:dyDescent="0.4">
      <c r="A145" s="42"/>
      <c r="B145" s="43"/>
      <c r="C145" s="43" t="s">
        <v>17</v>
      </c>
      <c r="D145" s="44" t="s">
        <v>18</v>
      </c>
      <c r="E145" s="45"/>
      <c r="F145" s="45"/>
      <c r="G145" s="46" t="s">
        <v>19</v>
      </c>
      <c r="H145" s="47" t="s">
        <v>20</v>
      </c>
      <c r="I145" s="48" t="s">
        <v>21</v>
      </c>
      <c r="J145" s="48"/>
      <c r="K145" s="49"/>
      <c r="L145" s="50">
        <f>กำแพงเพชร!L145+เชียงราย!L145+เชียงใหม่!L145+ตาก!L145+นครสวรรค์!L145+น่าน!L145+พะเยา!L145+พิจิตร!L145+พิษณุโลก!L145+เพชรบูรณ์!L145+แพร่!L145+แม่ฮ่องสอน!L145+ลำปาง!L145+ลำพูน!L145+สุโขทัย!L145+อุตรดิตถ์!L145+อุทัยธานี!L145</f>
        <v>0</v>
      </c>
      <c r="M145" s="50">
        <f>กำแพงเพชร!M145+เชียงราย!M145+เชียงใหม่!M145+ตาก!M145+นครสวรรค์!M145+น่าน!M145+พะเยา!M145+พิจิตร!M145+พิษณุโลก!M145+เพชรบูรณ์!M145+แพร่!M145+แม่ฮ่องสอน!M145+ลำปาง!M145+ลำพูน!M145+สุโขทัย!M145+อุตรดิตถ์!M145+อุทัยธานี!M145</f>
        <v>0</v>
      </c>
      <c r="N145" s="50">
        <f t="shared" ref="N145:N148" si="15">+IF(L145&gt;0,M145*100/L145,0)</f>
        <v>0</v>
      </c>
    </row>
    <row r="146" spans="1:14" ht="21.75" customHeight="1" x14ac:dyDescent="0.4">
      <c r="A146" s="42"/>
      <c r="B146" s="43"/>
      <c r="C146" s="43"/>
      <c r="D146" s="51"/>
      <c r="E146" s="45"/>
      <c r="F146" s="45" t="s">
        <v>21</v>
      </c>
      <c r="G146" s="46" t="s">
        <v>22</v>
      </c>
      <c r="H146" s="47" t="s">
        <v>20</v>
      </c>
      <c r="I146" s="48"/>
      <c r="J146" s="48"/>
      <c r="K146" s="49"/>
      <c r="L146" s="50">
        <f ca="1">กำแพงเพชร!L146+เชียงราย!L146+เชียงใหม่!L146+ตาก!L146+นครสวรรค์!L146+น่าน!L146+พะเยา!L146+พิจิตร!L146+พิษณุโลก!L146+เพชรบูรณ์!L146+แพร่!L146+แม่ฮ่องสอน!L146+ลำปาง!L146+ลำพูน!L146+สุโขทัย!L146+อุตรดิตถ์!L146+อุทัยธานี!L146</f>
        <v>332510</v>
      </c>
      <c r="M146" s="50">
        <f>กำแพงเพชร!M146+เชียงราย!M146+เชียงใหม่!M146+ตาก!M146+นครสวรรค์!M146+น่าน!M146+พะเยา!M146+พิจิตร!M146+พิษณุโลก!M146+เพชรบูรณ์!M146+แพร่!M146+แม่ฮ่องสอน!M146+ลำปาง!M146+ลำพูน!M146+สุโขทัย!M146+อุตรดิตถ์!M146+อุทัยธานี!M146</f>
        <v>119371</v>
      </c>
      <c r="N146" s="50">
        <f t="shared" ca="1" si="15"/>
        <v>35.899972933144866</v>
      </c>
    </row>
    <row r="147" spans="1:14" ht="21.75" customHeight="1" x14ac:dyDescent="0.4">
      <c r="A147" s="42"/>
      <c r="B147" s="43"/>
      <c r="C147" s="43"/>
      <c r="D147" s="51"/>
      <c r="E147" s="45"/>
      <c r="F147" s="45"/>
      <c r="G147" s="52" t="s">
        <v>23</v>
      </c>
      <c r="H147" s="47" t="s">
        <v>20</v>
      </c>
      <c r="I147" s="48"/>
      <c r="J147" s="48"/>
      <c r="K147" s="49"/>
      <c r="L147" s="53">
        <f ca="1">กำแพงเพชร!L147+เชียงราย!L147+เชียงใหม่!L147+ตาก!L147+นครสวรรค์!L147+น่าน!L147+พะเยา!L147+พิจิตร!L147+พิษณุโลก!L147+เพชรบูรณ์!L147+แพร่!L147+แม่ฮ่องสอน!L147+ลำปาง!L147+ลำพูน!L147+สุโขทัย!L147+อุตรดิตถ์!L147+อุทัยธานี!L147</f>
        <v>0</v>
      </c>
      <c r="M147" s="53">
        <f>กำแพงเพชร!M147+เชียงราย!M147+เชียงใหม่!M147+ตาก!M147+นครสวรรค์!M147+น่าน!M147+พะเยา!M147+พิจิตร!M147+พิษณุโลก!M147+เพชรบูรณ์!M147+แพร่!M147+แม่ฮ่องสอน!M147+ลำปาง!M147+ลำพูน!M147+สุโขทัย!M147+อุตรดิตถ์!M147+อุทัยธานี!M147</f>
        <v>0</v>
      </c>
      <c r="N147" s="53">
        <f t="shared" ca="1" si="15"/>
        <v>0</v>
      </c>
    </row>
    <row r="148" spans="1:14" ht="21.75" customHeight="1" x14ac:dyDescent="0.4">
      <c r="A148" s="42"/>
      <c r="B148" s="43"/>
      <c r="C148" s="43"/>
      <c r="D148" s="51"/>
      <c r="E148" s="45"/>
      <c r="F148" s="45"/>
      <c r="G148" s="52" t="s">
        <v>24</v>
      </c>
      <c r="H148" s="47" t="s">
        <v>20</v>
      </c>
      <c r="I148" s="48"/>
      <c r="J148" s="48"/>
      <c r="K148" s="49"/>
      <c r="L148" s="53">
        <f ca="1">กำแพงเพชร!L148+เชียงราย!L148+เชียงใหม่!L148+ตาก!L148+นครสวรรค์!L148+น่าน!L148+พะเยา!L148+พิจิตร!L148+พิษณุโลก!L148+เพชรบูรณ์!L148+แพร่!L148+แม่ฮ่องสอน!L148+ลำปาง!L148+ลำพูน!L148+สุโขทัย!L148+อุตรดิตถ์!L148+อุทัยธานี!L148</f>
        <v>332510</v>
      </c>
      <c r="M148" s="54">
        <f>กำแพงเพชร!M148+เชียงราย!M148+เชียงใหม่!M148+ตาก!M148+นครสวรรค์!M148+น่าน!M148+พะเยา!M148+พิจิตร!M148+พิษณุโลก!M148+เพชรบูรณ์!M148+แพร่!M148+แม่ฮ่องสอน!M148+ลำปาง!M148+ลำพูน!M148+สุโขทัย!M148+อุตรดิตถ์!M148+อุทัยธานี!M148</f>
        <v>119371</v>
      </c>
      <c r="N148" s="53">
        <f t="shared" ca="1" si="15"/>
        <v>35.899972933144866</v>
      </c>
    </row>
    <row r="149" spans="1:14" ht="21.75" customHeight="1" x14ac:dyDescent="0.4">
      <c r="A149" s="55"/>
      <c r="B149" s="155"/>
      <c r="C149" s="134" t="s">
        <v>79</v>
      </c>
      <c r="D149" s="133"/>
      <c r="E149" s="133"/>
      <c r="F149" s="133"/>
      <c r="G149" s="135"/>
      <c r="H149" s="136" t="s">
        <v>16</v>
      </c>
      <c r="I149" s="137">
        <f ca="1">กำแพงเพชร!I149+เชียงราย!I149+เชียงใหม่!I149+ตาก!I149+นครสวรรค์!I149+น่าน!I149+พะเยา!I149+พิจิตร!I149+พิษณุโลก!I149+เพชรบูรณ์!I149+แพร่!I149+แม่ฮ่องสอน!I149+ลำปาง!I149+ลำพูน!I149+สุโขทัย!I149+อุตรดิตถ์!I149+อุทัยธานี!I149</f>
        <v>234</v>
      </c>
      <c r="J149" s="137">
        <f>กำแพงเพชร!J149+เชียงราย!J149+เชียงใหม่!J149+ตาก!J149+นครสวรรค์!J149+น่าน!J149+พะเยา!J149+พิจิตร!J149+พิษณุโลก!J149+เพชรบูรณ์!J149+แพร่!J149+แม่ฮ่องสอน!J149+ลำปาง!J149+ลำพูน!J149+สุโขทัย!J149+อุตรดิตถ์!J149+อุทัยธานี!J149</f>
        <v>72</v>
      </c>
      <c r="K149" s="138">
        <f ca="1">IF(I149&gt;0,J149*100/I149,0)</f>
        <v>30.76923076923077</v>
      </c>
      <c r="L149" s="140"/>
      <c r="M149" s="140"/>
      <c r="N149" s="140"/>
    </row>
    <row r="150" spans="1:14" ht="21.75" customHeight="1" x14ac:dyDescent="0.4">
      <c r="A150" s="55"/>
      <c r="B150" s="56"/>
      <c r="C150" s="43" t="s">
        <v>17</v>
      </c>
      <c r="D150" s="57" t="s">
        <v>25</v>
      </c>
      <c r="E150" s="58"/>
      <c r="F150" s="58"/>
      <c r="G150" s="59"/>
      <c r="H150" s="60"/>
      <c r="I150" s="48"/>
      <c r="J150" s="48"/>
      <c r="K150" s="49"/>
      <c r="L150" s="61"/>
      <c r="M150" s="61"/>
      <c r="N150" s="61"/>
    </row>
    <row r="151" spans="1:14" ht="21.75" customHeight="1" x14ac:dyDescent="0.4">
      <c r="A151" s="55"/>
      <c r="B151" s="56"/>
      <c r="C151" s="56"/>
      <c r="D151" s="62">
        <v>1</v>
      </c>
      <c r="E151" s="63" t="s">
        <v>26</v>
      </c>
      <c r="F151" s="64"/>
      <c r="G151" s="65"/>
      <c r="H151" s="66"/>
      <c r="I151" s="67"/>
      <c r="J151" s="68">
        <f>กำแพงเพชร!J151+เชียงราย!J151+เชียงใหม่!J151+ตาก!J151+นครสวรรค์!J151+น่าน!J151+พะเยา!J151+พิจิตร!J151+พิษณุโลก!J151+เพชรบูรณ์!J151+แพร่!J151+แม่ฮ่องสอน!J151+ลำปาง!J151+ลำพูน!J151+สุโขทัย!J151+อุตรดิตถ์!J151+อุทัยธานี!J151</f>
        <v>1</v>
      </c>
      <c r="K151" s="49"/>
      <c r="L151" s="61"/>
      <c r="M151" s="61"/>
      <c r="N151" s="61"/>
    </row>
    <row r="152" spans="1:14" ht="21.75" customHeight="1" x14ac:dyDescent="0.4">
      <c r="A152" s="55"/>
      <c r="B152" s="56"/>
      <c r="C152" s="56"/>
      <c r="D152" s="69">
        <v>2</v>
      </c>
      <c r="E152" s="70" t="s">
        <v>27</v>
      </c>
      <c r="F152" s="71"/>
      <c r="G152" s="72"/>
      <c r="H152" s="66"/>
      <c r="I152" s="67"/>
      <c r="J152" s="68">
        <f>กำแพงเพชร!J152+เชียงราย!J152+เชียงใหม่!J152+ตาก!J152+นครสวรรค์!J152+น่าน!J152+พะเยา!J152+พิจิตร!J152+พิษณุโลก!J152+เพชรบูรณ์!J152+แพร่!J152+แม่ฮ่องสอน!J152+ลำปาง!J152+ลำพูน!J152+สุโขทัย!J152+อุตรดิตถ์!J152+อุทัยธานี!J152</f>
        <v>13</v>
      </c>
      <c r="K152" s="49"/>
      <c r="L152" s="61" t="s">
        <v>21</v>
      </c>
      <c r="M152" s="61" t="s">
        <v>21</v>
      </c>
      <c r="N152" s="61"/>
    </row>
    <row r="153" spans="1:14" ht="21.75" customHeight="1" x14ac:dyDescent="0.4">
      <c r="A153" s="55"/>
      <c r="B153" s="56"/>
      <c r="C153" s="56"/>
      <c r="D153" s="73"/>
      <c r="E153" s="74" t="s">
        <v>28</v>
      </c>
      <c r="F153" s="75"/>
      <c r="G153" s="76"/>
      <c r="H153" s="66"/>
      <c r="I153" s="67"/>
      <c r="J153" s="68">
        <f>กำแพงเพชร!J153+เชียงราย!J153+เชียงใหม่!J153+ตาก!J153+นครสวรรค์!J153+น่าน!J153+พะเยา!J153+พิจิตร!J153+พิษณุโลก!J153+เพชรบูรณ์!J153+แพร่!J153+แม่ฮ่องสอน!J153+ลำปาง!J153+ลำพูน!J153+สุโขทัย!J153+อุตรดิตถ์!J153+อุทัยธานี!J153</f>
        <v>12</v>
      </c>
      <c r="K153" s="49"/>
      <c r="L153" s="61"/>
      <c r="M153" s="61"/>
      <c r="N153" s="61"/>
    </row>
    <row r="154" spans="1:14" ht="21.75" customHeight="1" x14ac:dyDescent="0.4">
      <c r="A154" s="55"/>
      <c r="B154" s="56"/>
      <c r="C154" s="56"/>
      <c r="D154" s="73"/>
      <c r="E154" s="74" t="s">
        <v>29</v>
      </c>
      <c r="F154" s="75"/>
      <c r="G154" s="76"/>
      <c r="H154" s="66"/>
      <c r="I154" s="67"/>
      <c r="J154" s="68">
        <f>กำแพงเพชร!J154+เชียงราย!J154+เชียงใหม่!J154+ตาก!J154+นครสวรรค์!J154+น่าน!J154+พะเยา!J154+พิจิตร!J154+พิษณุโลก!J154+เพชรบูรณ์!J154+แพร่!J154+แม่ฮ่องสอน!J154+ลำปาง!J154+ลำพูน!J154+สุโขทัย!J154+อุตรดิตถ์!J154+อุทัยธานี!J154</f>
        <v>11</v>
      </c>
      <c r="K154" s="49"/>
      <c r="L154" s="61"/>
      <c r="M154" s="61"/>
      <c r="N154" s="61"/>
    </row>
    <row r="155" spans="1:14" ht="21.75" customHeight="1" x14ac:dyDescent="0.4">
      <c r="A155" s="55"/>
      <c r="B155" s="56"/>
      <c r="C155" s="56"/>
      <c r="D155" s="73"/>
      <c r="E155" s="77"/>
      <c r="F155" s="75"/>
      <c r="G155" s="99" t="s">
        <v>80</v>
      </c>
      <c r="H155" s="66" t="s">
        <v>16</v>
      </c>
      <c r="I155" s="67">
        <f ca="1">กำแพงเพชร!I155+เชียงราย!I155+เชียงใหม่!I155+ตาก!I155+นครสวรรค์!I155+น่าน!I155+พะเยา!I155+พิจิตร!I155+พิษณุโลก!I155+เพชรบูรณ์!I155+แพร่!I155+แม่ฮ่องสอน!I155+ลำปาง!I155+ลำพูน!I155+สุโขทัย!I155+อุตรดิตถ์!I155+อุทัยธานี!I155</f>
        <v>234</v>
      </c>
      <c r="J155" s="68">
        <f>กำแพงเพชร!J155+เชียงราย!J155+เชียงใหม่!J155+ตาก!J155+นครสวรรค์!J155+น่าน!J155+พะเยา!J155+พิจิตร!J155+พิษณุโลก!J155+เพชรบูรณ์!J155+แพร่!J155+แม่ฮ่องสอน!J155+ลำปาง!J155+ลำพูน!J155+สุโขทัย!J155+อุตรดิตถ์!J155+อุทัยธานี!J155</f>
        <v>72</v>
      </c>
      <c r="K155" s="49">
        <f ca="1">IF(I155&gt;0,J155*100/I155,0)</f>
        <v>30.76923076923077</v>
      </c>
      <c r="L155" s="61"/>
      <c r="M155" s="61"/>
      <c r="N155" s="61"/>
    </row>
    <row r="156" spans="1:14" ht="21.75" customHeight="1" x14ac:dyDescent="0.4">
      <c r="A156" s="55"/>
      <c r="B156" s="56"/>
      <c r="C156" s="56"/>
      <c r="D156" s="73"/>
      <c r="E156" s="74" t="s">
        <v>35</v>
      </c>
      <c r="F156" s="75"/>
      <c r="G156" s="76"/>
      <c r="H156" s="66"/>
      <c r="I156" s="67"/>
      <c r="J156" s="68">
        <f>กำแพงเพชร!J156+เชียงราย!J156+เชียงใหม่!J156+ตาก!J156+นครสวรรค์!J156+น่าน!J156+พะเยา!J156+พิจิตร!J156+พิษณุโลก!J156+เพชรบูรณ์!J156+แพร่!J156+แม่ฮ่องสอน!J156+ลำปาง!J156+ลำพูน!J156+สุโขทัย!J156+อุตรดิตถ์!J156+อุทัยธานี!J156</f>
        <v>1</v>
      </c>
      <c r="K156" s="49"/>
      <c r="L156" s="61"/>
      <c r="M156" s="61"/>
      <c r="N156" s="61"/>
    </row>
    <row r="157" spans="1:14" ht="21.75" customHeight="1" x14ac:dyDescent="0.4">
      <c r="A157" s="55"/>
      <c r="B157" s="56"/>
      <c r="C157" s="56"/>
      <c r="D157" s="81">
        <v>3</v>
      </c>
      <c r="E157" s="82" t="s">
        <v>36</v>
      </c>
      <c r="F157" s="83"/>
      <c r="G157" s="84"/>
      <c r="H157" s="66"/>
      <c r="I157" s="67"/>
      <c r="J157" s="85">
        <f>กำแพงเพชร!J157+เชียงราย!J157+เชียงใหม่!J157+ตาก!J157+นครสวรรค์!J157+น่าน!J157+พะเยา!J157+พิจิตร!J157+พิษณุโลก!J157+เพชรบูรณ์!J157+แพร่!J157+แม่ฮ่องสอน!J157+ลำปาง!J157+ลำพูน!J157+สุโขทัย!J157+อุตรดิตถ์!J157+อุทัยธานี!J157</f>
        <v>1</v>
      </c>
      <c r="K157" s="49"/>
      <c r="L157" s="61"/>
      <c r="M157" s="61"/>
      <c r="N157" s="61"/>
    </row>
    <row r="158" spans="1:14" ht="21.75" customHeight="1" x14ac:dyDescent="0.4">
      <c r="A158" s="55"/>
      <c r="B158" s="56"/>
      <c r="C158" s="134" t="s">
        <v>81</v>
      </c>
      <c r="D158" s="156"/>
      <c r="E158" s="133"/>
      <c r="F158" s="133"/>
      <c r="G158" s="135"/>
      <c r="H158" s="136" t="s">
        <v>16</v>
      </c>
      <c r="I158" s="137">
        <f>กำแพงเพชร!I158+เชียงราย!I158+เชียงใหม่!I158+ตาก!I158+นครสวรรค์!I158+น่าน!I158+พะเยา!I158+พิจิตร!I158+พิษณุโลก!I158+เพชรบูรณ์!I158+แพร่!I158+แม่ฮ่องสอน!I158+ลำปาง!I158+ลำพูน!I158+สุโขทัย!I158+อุตรดิตถ์!I158+อุทัยธานี!I158</f>
        <v>0</v>
      </c>
      <c r="J158" s="137">
        <f>กำแพงเพชร!J158+เชียงราย!J158+เชียงใหม่!J158+ตาก!J158+นครสวรรค์!J158+น่าน!J158+พะเยา!J158+พิจิตร!J158+พิษณุโลก!J158+เพชรบูรณ์!J158+แพร่!J158+แม่ฮ่องสอน!J158+ลำปาง!J158+ลำพูน!J158+สุโขทัย!J158+อุตรดิตถ์!J158+อุทัยธานี!J158</f>
        <v>0</v>
      </c>
      <c r="K158" s="138">
        <f>IF(I158&gt;0,J158*100/I158,0)</f>
        <v>0</v>
      </c>
      <c r="L158" s="61"/>
      <c r="M158" s="61"/>
      <c r="N158" s="61"/>
    </row>
    <row r="159" spans="1:14" ht="21.75" customHeight="1" x14ac:dyDescent="0.4">
      <c r="A159" s="55"/>
      <c r="B159" s="56"/>
      <c r="C159" s="43" t="s">
        <v>17</v>
      </c>
      <c r="D159" s="57" t="s">
        <v>25</v>
      </c>
      <c r="E159" s="58"/>
      <c r="F159" s="58"/>
      <c r="G159" s="59"/>
      <c r="H159" s="60"/>
      <c r="I159" s="48"/>
      <c r="J159" s="48"/>
      <c r="K159" s="49"/>
      <c r="L159" s="61"/>
      <c r="M159" s="61"/>
      <c r="N159" s="61"/>
    </row>
    <row r="160" spans="1:14" ht="21.75" customHeight="1" x14ac:dyDescent="0.4">
      <c r="A160" s="55"/>
      <c r="B160" s="56"/>
      <c r="C160" s="56"/>
      <c r="D160" s="62">
        <v>1</v>
      </c>
      <c r="E160" s="63" t="s">
        <v>26</v>
      </c>
      <c r="F160" s="64"/>
      <c r="G160" s="65"/>
      <c r="H160" s="66"/>
      <c r="I160" s="67"/>
      <c r="J160" s="68">
        <f>กำแพงเพชร!J160+เชียงราย!J160+เชียงใหม่!J160+ตาก!J160+นครสวรรค์!J160+น่าน!J160+พะเยา!J160+พิจิตร!J160+พิษณุโลก!J160+เพชรบูรณ์!J160+แพร่!J160+แม่ฮ่องสอน!J160+ลำปาง!J160+ลำพูน!J160+สุโขทัย!J160+อุตรดิตถ์!J160+อุทัยธานี!J160</f>
        <v>0</v>
      </c>
      <c r="K160" s="49"/>
      <c r="L160" s="61"/>
      <c r="M160" s="61"/>
      <c r="N160" s="61"/>
    </row>
    <row r="161" spans="1:14" ht="21.75" customHeight="1" x14ac:dyDescent="0.4">
      <c r="A161" s="55"/>
      <c r="B161" s="56"/>
      <c r="C161" s="56"/>
      <c r="D161" s="69">
        <v>2</v>
      </c>
      <c r="E161" s="70" t="s">
        <v>27</v>
      </c>
      <c r="F161" s="71"/>
      <c r="G161" s="72"/>
      <c r="H161" s="66"/>
      <c r="I161" s="67"/>
      <c r="J161" s="68">
        <f>กำแพงเพชร!J161+เชียงราย!J161+เชียงใหม่!J161+ตาก!J161+นครสวรรค์!J161+น่าน!J161+พะเยา!J161+พิจิตร!J161+พิษณุโลก!J161+เพชรบูรณ์!J161+แพร่!J161+แม่ฮ่องสอน!J161+ลำปาง!J161+ลำพูน!J161+สุโขทัย!J161+อุตรดิตถ์!J161+อุทัยธานี!J161</f>
        <v>0</v>
      </c>
      <c r="K161" s="49"/>
      <c r="L161" s="61" t="s">
        <v>21</v>
      </c>
      <c r="M161" s="61" t="s">
        <v>21</v>
      </c>
      <c r="N161" s="61"/>
    </row>
    <row r="162" spans="1:14" ht="21.75" customHeight="1" x14ac:dyDescent="0.4">
      <c r="A162" s="55"/>
      <c r="B162" s="56"/>
      <c r="C162" s="56"/>
      <c r="D162" s="73"/>
      <c r="E162" s="74" t="s">
        <v>28</v>
      </c>
      <c r="F162" s="75"/>
      <c r="G162" s="76"/>
      <c r="H162" s="66"/>
      <c r="I162" s="67"/>
      <c r="J162" s="68">
        <f>กำแพงเพชร!J162+เชียงราย!J162+เชียงใหม่!J162+ตาก!J162+นครสวรรค์!J162+น่าน!J162+พะเยา!J162+พิจิตร!J162+พิษณุโลก!J162+เพชรบูรณ์!J162+แพร่!J162+แม่ฮ่องสอน!J162+ลำปาง!J162+ลำพูน!J162+สุโขทัย!J162+อุตรดิตถ์!J162+อุทัยธานี!J162</f>
        <v>0</v>
      </c>
      <c r="K162" s="49"/>
      <c r="L162" s="61"/>
      <c r="M162" s="61"/>
      <c r="N162" s="61"/>
    </row>
    <row r="163" spans="1:14" ht="21.75" customHeight="1" x14ac:dyDescent="0.4">
      <c r="A163" s="55"/>
      <c r="B163" s="56"/>
      <c r="C163" s="56"/>
      <c r="D163" s="73"/>
      <c r="E163" s="74" t="s">
        <v>29</v>
      </c>
      <c r="F163" s="75"/>
      <c r="G163" s="76"/>
      <c r="H163" s="66"/>
      <c r="I163" s="67"/>
      <c r="J163" s="68">
        <f>กำแพงเพชร!J163+เชียงราย!J163+เชียงใหม่!J163+ตาก!J163+นครสวรรค์!J163+น่าน!J163+พะเยา!J163+พิจิตร!J163+พิษณุโลก!J163+เพชรบูรณ์!J163+แพร่!J163+แม่ฮ่องสอน!J163+ลำปาง!J163+ลำพูน!J163+สุโขทัย!J163+อุตรดิตถ์!J163+อุทัยธานี!J163</f>
        <v>0</v>
      </c>
      <c r="K163" s="49"/>
      <c r="L163" s="61"/>
      <c r="M163" s="61"/>
      <c r="N163" s="61"/>
    </row>
    <row r="164" spans="1:14" ht="21.75" customHeight="1" x14ac:dyDescent="0.4">
      <c r="A164" s="55"/>
      <c r="B164" s="56"/>
      <c r="C164" s="56"/>
      <c r="D164" s="73"/>
      <c r="E164" s="75"/>
      <c r="F164" s="74" t="s">
        <v>82</v>
      </c>
      <c r="G164" s="75"/>
      <c r="H164" s="66" t="s">
        <v>16</v>
      </c>
      <c r="I164" s="67">
        <f>กำแพงเพชร!I164+เชียงราย!I164+เชียงใหม่!I164+ตาก!I164+นครสวรรค์!I164+น่าน!I164+พะเยา!I164+พิจิตร!I164+พิษณุโลก!I164+เพชรบูรณ์!I164+แพร่!I164+แม่ฮ่องสอน!I164+ลำปาง!I164+ลำพูน!I164+สุโขทัย!I164+อุตรดิตถ์!I164+อุทัยธานี!I164</f>
        <v>0</v>
      </c>
      <c r="J164" s="68">
        <f>กำแพงเพชร!J164+เชียงราย!J164+เชียงใหม่!J164+ตาก!J164+นครสวรรค์!J164+น่าน!J164+พะเยา!J164+พิจิตร!J164+พิษณุโลก!J164+เพชรบูรณ์!J164+แพร่!J164+แม่ฮ่องสอน!J164+ลำปาง!J164+ลำพูน!J164+สุโขทัย!J164+อุตรดิตถ์!J164+อุทัยธานี!J164</f>
        <v>0</v>
      </c>
      <c r="K164" s="49">
        <f>IF(I164&gt;0,J164*100/I164,0)</f>
        <v>0</v>
      </c>
      <c r="L164" s="61"/>
      <c r="M164" s="61"/>
      <c r="N164" s="61"/>
    </row>
    <row r="165" spans="1:14" ht="21.75" customHeight="1" x14ac:dyDescent="0.4">
      <c r="A165" s="55"/>
      <c r="B165" s="56"/>
      <c r="C165" s="56"/>
      <c r="D165" s="73"/>
      <c r="E165" s="74" t="s">
        <v>35</v>
      </c>
      <c r="F165" s="75"/>
      <c r="G165" s="76"/>
      <c r="H165" s="66"/>
      <c r="I165" s="67"/>
      <c r="J165" s="68">
        <f>กำแพงเพชร!J165+เชียงราย!J165+เชียงใหม่!J165+ตาก!J165+นครสวรรค์!J165+น่าน!J165+พะเยา!J165+พิจิตร!J165+พิษณุโลก!J165+เพชรบูรณ์!J165+แพร่!J165+แม่ฮ่องสอน!J165+ลำปาง!J165+ลำพูน!J165+สุโขทัย!J165+อุตรดิตถ์!J165+อุทัยธานี!J165</f>
        <v>0</v>
      </c>
      <c r="K165" s="49"/>
      <c r="L165" s="61"/>
      <c r="M165" s="61"/>
      <c r="N165" s="61"/>
    </row>
    <row r="166" spans="1:14" ht="21.75" customHeight="1" x14ac:dyDescent="0.4">
      <c r="A166" s="105"/>
      <c r="B166" s="106"/>
      <c r="C166" s="106"/>
      <c r="D166" s="107">
        <v>3</v>
      </c>
      <c r="E166" s="108" t="s">
        <v>36</v>
      </c>
      <c r="F166" s="109"/>
      <c r="G166" s="110"/>
      <c r="H166" s="111"/>
      <c r="I166" s="112"/>
      <c r="J166" s="113">
        <f>กำแพงเพชร!J166+เชียงราย!J166+เชียงใหม่!J166+ตาก!J166+นครสวรรค์!J166+น่าน!J166+พะเยา!J166+พิจิตร!J166+พิษณุโลก!J166+เพชรบูรณ์!J166+แพร่!J166+แม่ฮ่องสอน!J166+ลำปาง!J166+ลำพูน!J166+สุโขทัย!J166+อุตรดิตถ์!J166+อุทัยธานี!J166</f>
        <v>0</v>
      </c>
      <c r="K166" s="114"/>
      <c r="L166" s="115"/>
      <c r="M166" s="115"/>
      <c r="N166" s="115"/>
    </row>
    <row r="167" spans="1:14" ht="21.75" customHeight="1" x14ac:dyDescent="0.4">
      <c r="A167" s="157" t="s">
        <v>83</v>
      </c>
      <c r="B167" s="158"/>
      <c r="C167" s="158"/>
      <c r="D167" s="158"/>
      <c r="E167" s="159"/>
      <c r="F167" s="159"/>
      <c r="G167" s="160"/>
      <c r="H167" s="161"/>
      <c r="I167" s="162"/>
      <c r="J167" s="162"/>
      <c r="K167" s="163"/>
      <c r="L167" s="164"/>
      <c r="M167" s="164"/>
      <c r="N167" s="165"/>
    </row>
    <row r="168" spans="1:14" ht="21.75" customHeight="1" x14ac:dyDescent="0.4">
      <c r="A168" s="166" t="s">
        <v>84</v>
      </c>
      <c r="B168" s="167"/>
      <c r="C168" s="167"/>
      <c r="D168" s="168"/>
      <c r="E168" s="168"/>
      <c r="F168" s="168"/>
      <c r="G168" s="169"/>
      <c r="H168" s="170"/>
      <c r="I168" s="171"/>
      <c r="J168" s="171"/>
      <c r="K168" s="172"/>
      <c r="L168" s="172"/>
      <c r="M168" s="172"/>
      <c r="N168" s="173"/>
    </row>
    <row r="169" spans="1:14" ht="21.75" customHeight="1" x14ac:dyDescent="0.4">
      <c r="A169" s="174"/>
      <c r="B169" s="175" t="s">
        <v>85</v>
      </c>
      <c r="C169" s="175"/>
      <c r="D169" s="175"/>
      <c r="E169" s="175"/>
      <c r="F169" s="175"/>
      <c r="G169" s="176"/>
      <c r="H169" s="177" t="s">
        <v>16</v>
      </c>
      <c r="I169" s="178">
        <f ca="1">กำแพงเพชร!I169+เชียงราย!I169+เชียงใหม่!I169+ตาก!I169+นครสวรรค์!I169+น่าน!I169+พะเยา!I169+พิจิตร!I169+พิษณุโลก!I169+เพชรบูรณ์!I169+แพร่!I169+แม่ฮ่องสอน!I169+ลำปาง!I169+ลำพูน!I169+สุโขทัย!I169+อุตรดิตถ์!I169+อุทัยธานี!I169</f>
        <v>180</v>
      </c>
      <c r="J169" s="178">
        <f>กำแพงเพชร!J169+เชียงราย!J169+เชียงใหม่!J169+ตาก!J169+นครสวรรค์!J169+น่าน!J169+พะเยา!J169+พิจิตร!J169+พิษณุโลก!J169+เพชรบูรณ์!J169+แพร่!J169+แม่ฮ่องสอน!J169+ลำปาง!J169+ลำพูน!J169+สุโขทัย!J169+อุตรดิตถ์!J169+อุทัยธานี!J169</f>
        <v>0</v>
      </c>
      <c r="K169" s="179">
        <f ca="1">IF(I169&gt;0,J169*100/I169,0)</f>
        <v>0</v>
      </c>
      <c r="L169" s="180">
        <f ca="1">กำแพงเพชร!L169+เชียงราย!L169+เชียงใหม่!L169+ตาก!L169+นครสวรรค์!L169+น่าน!L169+พะเยา!L169+พิจิตร!L169+พิษณุโลก!L169+เพชรบูรณ์!L169+แพร่!L169+แม่ฮ่องสอน!L169+ลำปาง!L169+ลำพูน!L169+สุโขทัย!L169+อุตรดิตถ์!L169+อุทัยธานี!L169</f>
        <v>1126000</v>
      </c>
      <c r="M169" s="180">
        <f>กำแพงเพชร!M169+เชียงราย!M169+เชียงใหม่!M169+ตาก!M169+นครสวรรค์!M169+น่าน!M169+พะเยา!M169+พิจิตร!M169+พิษณุโลก!M169+เพชรบูรณ์!M169+แพร่!M169+แม่ฮ่องสอน!M169+ลำปาง!M169+ลำพูน!M169+สุโขทัย!M169+อุตรดิตถ์!M169+อุทัยธานี!M169</f>
        <v>102866</v>
      </c>
      <c r="N169" s="179">
        <f ca="1">IF(L169&gt;0,M169*100/L169,0)</f>
        <v>9.1355239786856135</v>
      </c>
    </row>
    <row r="170" spans="1:14" ht="21.75" customHeight="1" x14ac:dyDescent="0.4">
      <c r="A170" s="42"/>
      <c r="B170" s="43"/>
      <c r="C170" s="43" t="s">
        <v>17</v>
      </c>
      <c r="D170" s="44" t="s">
        <v>18</v>
      </c>
      <c r="E170" s="45"/>
      <c r="F170" s="45"/>
      <c r="G170" s="46" t="s">
        <v>19</v>
      </c>
      <c r="H170" s="47" t="s">
        <v>20</v>
      </c>
      <c r="I170" s="48" t="s">
        <v>21</v>
      </c>
      <c r="J170" s="48"/>
      <c r="K170" s="49"/>
      <c r="L170" s="50">
        <f>กำแพงเพชร!L170+เชียงราย!L170+เชียงใหม่!L170+ตาก!L170+นครสวรรค์!L170+น่าน!L170+พะเยา!L170+พิจิตร!L170+พิษณุโลก!L170+เพชรบูรณ์!L170+แพร่!L170+แม่ฮ่องสอน!L170+ลำปาง!L170+ลำพูน!L170+สุโขทัย!L170+อุตรดิตถ์!L170+อุทัยธานี!L170</f>
        <v>0</v>
      </c>
      <c r="M170" s="50">
        <f>กำแพงเพชร!M170+เชียงราย!M170+เชียงใหม่!M170+ตาก!M170+นครสวรรค์!M170+น่าน!M170+พะเยา!M170+พิจิตร!M170+พิษณุโลก!M170+เพชรบูรณ์!M170+แพร่!M170+แม่ฮ่องสอน!M170+ลำปาง!M170+ลำพูน!M170+สุโขทัย!M170+อุตรดิตถ์!M170+อุทัยธานี!M170</f>
        <v>0</v>
      </c>
      <c r="N170" s="50">
        <f t="shared" ref="N170:N173" si="16">+IF(L170&gt;0,M170*100/L170,0)</f>
        <v>0</v>
      </c>
    </row>
    <row r="171" spans="1:14" ht="21.75" customHeight="1" x14ac:dyDescent="0.4">
      <c r="A171" s="42"/>
      <c r="B171" s="43"/>
      <c r="C171" s="43"/>
      <c r="D171" s="51"/>
      <c r="E171" s="45"/>
      <c r="F171" s="45" t="s">
        <v>21</v>
      </c>
      <c r="G171" s="46" t="s">
        <v>22</v>
      </c>
      <c r="H171" s="47" t="s">
        <v>20</v>
      </c>
      <c r="I171" s="48"/>
      <c r="J171" s="48"/>
      <c r="K171" s="49"/>
      <c r="L171" s="50">
        <f ca="1">กำแพงเพชร!L171+เชียงราย!L171+เชียงใหม่!L171+ตาก!L171+นครสวรรค์!L171+น่าน!L171+พะเยา!L171+พิจิตร!L171+พิษณุโลก!L171+เพชรบูรณ์!L171+แพร่!L171+แม่ฮ่องสอน!L171+ลำปาง!L171+ลำพูน!L171+สุโขทัย!L171+อุตรดิตถ์!L171+อุทัยธานี!L171</f>
        <v>1126000</v>
      </c>
      <c r="M171" s="50">
        <f>กำแพงเพชร!M171+เชียงราย!M171+เชียงใหม่!M171+ตาก!M171+นครสวรรค์!M171+น่าน!M171+พะเยา!M171+พิจิตร!M171+พิษณุโลก!M171+เพชรบูรณ์!M171+แพร่!M171+แม่ฮ่องสอน!M171+ลำปาง!M171+ลำพูน!M171+สุโขทัย!M171+อุตรดิตถ์!M171+อุทัยธานี!M171</f>
        <v>102866</v>
      </c>
      <c r="N171" s="50">
        <f t="shared" ca="1" si="16"/>
        <v>9.1355239786856135</v>
      </c>
    </row>
    <row r="172" spans="1:14" ht="21.75" customHeight="1" x14ac:dyDescent="0.4">
      <c r="A172" s="42"/>
      <c r="B172" s="43"/>
      <c r="C172" s="43"/>
      <c r="D172" s="51"/>
      <c r="E172" s="45"/>
      <c r="F172" s="45"/>
      <c r="G172" s="52" t="s">
        <v>23</v>
      </c>
      <c r="H172" s="47" t="s">
        <v>20</v>
      </c>
      <c r="I172" s="48"/>
      <c r="J172" s="48"/>
      <c r="K172" s="49"/>
      <c r="L172" s="53">
        <f ca="1">กำแพงเพชร!L172+เชียงราย!L172+เชียงใหม่!L172+ตาก!L172+นครสวรรค์!L172+น่าน!L172+พะเยา!L172+พิจิตร!L172+พิษณุโลก!L172+เพชรบูรณ์!L172+แพร่!L172+แม่ฮ่องสอน!L172+ลำปาง!L172+ลำพูน!L172+สุโขทัย!L172+อุตรดิตถ์!L172+อุทัยธานี!L172</f>
        <v>264000</v>
      </c>
      <c r="M172" s="54">
        <f>กำแพงเพชร!M172+เชียงราย!M172+เชียงใหม่!M172+ตาก!M172+นครสวรรค์!M172+น่าน!M172+พะเยา!M172+พิจิตร!M172+พิษณุโลก!M172+เพชรบูรณ์!M172+แพร่!M172+แม่ฮ่องสอน!M172+ลำปาง!M172+ลำพูน!M172+สุโขทัย!M172+อุตรดิตถ์!M172+อุทัยธานี!M172</f>
        <v>21640</v>
      </c>
      <c r="N172" s="53">
        <f t="shared" ca="1" si="16"/>
        <v>8.1969696969696972</v>
      </c>
    </row>
    <row r="173" spans="1:14" ht="21.75" customHeight="1" x14ac:dyDescent="0.4">
      <c r="A173" s="42"/>
      <c r="B173" s="43"/>
      <c r="C173" s="43"/>
      <c r="D173" s="51"/>
      <c r="E173" s="45"/>
      <c r="F173" s="45"/>
      <c r="G173" s="52" t="s">
        <v>24</v>
      </c>
      <c r="H173" s="47" t="s">
        <v>20</v>
      </c>
      <c r="I173" s="48"/>
      <c r="J173" s="48"/>
      <c r="K173" s="49"/>
      <c r="L173" s="53">
        <f ca="1">กำแพงเพชร!L173+เชียงราย!L173+เชียงใหม่!L173+ตาก!L173+นครสวรรค์!L173+น่าน!L173+พะเยา!L173+พิจิตร!L173+พิษณุโลก!L173+เพชรบูรณ์!L173+แพร่!L173+แม่ฮ่องสอน!L173+ลำปาง!L173+ลำพูน!L173+สุโขทัย!L173+อุตรดิตถ์!L173+อุทัยธานี!L173</f>
        <v>862000</v>
      </c>
      <c r="M173" s="54">
        <f>กำแพงเพชร!M173+เชียงราย!M173+เชียงใหม่!M173+ตาก!M173+นครสวรรค์!M173+น่าน!M173+พะเยา!M173+พิจิตร!M173+พิษณุโลก!M173+เพชรบูรณ์!M173+แพร่!M173+แม่ฮ่องสอน!M173+ลำปาง!M173+ลำพูน!M173+สุโขทัย!M173+อุตรดิตถ์!M173+อุทัยธานี!M173</f>
        <v>81226</v>
      </c>
      <c r="N173" s="53">
        <f t="shared" ca="1" si="16"/>
        <v>9.4229698375870061</v>
      </c>
    </row>
    <row r="174" spans="1:14" ht="21.75" customHeight="1" x14ac:dyDescent="0.4">
      <c r="A174" s="55"/>
      <c r="B174" s="56"/>
      <c r="C174" s="43" t="s">
        <v>17</v>
      </c>
      <c r="D174" s="57" t="s">
        <v>25</v>
      </c>
      <c r="E174" s="58"/>
      <c r="F174" s="58"/>
      <c r="G174" s="59"/>
      <c r="H174" s="60"/>
      <c r="I174" s="48"/>
      <c r="J174" s="48"/>
      <c r="K174" s="49"/>
      <c r="L174" s="61"/>
      <c r="M174" s="61"/>
      <c r="N174" s="61"/>
    </row>
    <row r="175" spans="1:14" ht="21.75" customHeight="1" x14ac:dyDescent="0.4">
      <c r="A175" s="55"/>
      <c r="B175" s="56"/>
      <c r="C175" s="56"/>
      <c r="D175" s="62">
        <v>1</v>
      </c>
      <c r="E175" s="63" t="s">
        <v>26</v>
      </c>
      <c r="F175" s="64"/>
      <c r="G175" s="65"/>
      <c r="H175" s="66"/>
      <c r="I175" s="67"/>
      <c r="J175" s="68">
        <f>กำแพงเพชร!J175+เชียงราย!J175+เชียงใหม่!J175+ตาก!J175+นครสวรรค์!J175+น่าน!J175+พะเยา!J175+พิจิตร!J175+พิษณุโลก!J175+เพชรบูรณ์!J175+แพร่!J175+แม่ฮ่องสอน!J175+ลำปาง!J175+ลำพูน!J175+สุโขทัย!J175+อุตรดิตถ์!J175+อุทัยธานี!J175</f>
        <v>2</v>
      </c>
      <c r="K175" s="49"/>
      <c r="L175" s="61"/>
      <c r="M175" s="61"/>
      <c r="N175" s="61"/>
    </row>
    <row r="176" spans="1:14" ht="21.75" customHeight="1" x14ac:dyDescent="0.4">
      <c r="A176" s="55"/>
      <c r="B176" s="56"/>
      <c r="C176" s="56"/>
      <c r="D176" s="69">
        <v>2</v>
      </c>
      <c r="E176" s="70" t="s">
        <v>27</v>
      </c>
      <c r="F176" s="71"/>
      <c r="G176" s="72"/>
      <c r="H176" s="66"/>
      <c r="I176" s="67"/>
      <c r="J176" s="68">
        <f>กำแพงเพชร!J176+เชียงราย!J176+เชียงใหม่!J176+ตาก!J176+นครสวรรค์!J176+น่าน!J176+พะเยา!J176+พิจิตร!J176+พิษณุโลก!J176+เพชรบูรณ์!J176+แพร่!J176+แม่ฮ่องสอน!J176+ลำปาง!J176+ลำพูน!J176+สุโขทัย!J176+อุตรดิตถ์!J176+อุทัยธานี!J176</f>
        <v>7</v>
      </c>
      <c r="K176" s="49"/>
      <c r="L176" s="61" t="s">
        <v>21</v>
      </c>
      <c r="M176" s="61" t="s">
        <v>21</v>
      </c>
      <c r="N176" s="61"/>
    </row>
    <row r="177" spans="1:14" ht="21.75" customHeight="1" x14ac:dyDescent="0.4">
      <c r="A177" s="55"/>
      <c r="B177" s="56"/>
      <c r="C177" s="56"/>
      <c r="D177" s="73"/>
      <c r="E177" s="74" t="s">
        <v>28</v>
      </c>
      <c r="F177" s="75"/>
      <c r="G177" s="76"/>
      <c r="H177" s="66"/>
      <c r="I177" s="67"/>
      <c r="J177" s="68">
        <f>กำแพงเพชร!J177+เชียงราย!J177+เชียงใหม่!J177+ตาก!J177+นครสวรรค์!J177+น่าน!J177+พะเยา!J177+พิจิตร!J177+พิษณุโลก!J177+เพชรบูรณ์!J177+แพร่!J177+แม่ฮ่องสอน!J177+ลำปาง!J177+ลำพูน!J177+สุโขทัย!J177+อุตรดิตถ์!J177+อุทัยธานี!J177</f>
        <v>6</v>
      </c>
      <c r="K177" s="49"/>
      <c r="L177" s="61"/>
      <c r="M177" s="61"/>
      <c r="N177" s="61"/>
    </row>
    <row r="178" spans="1:14" ht="21.75" customHeight="1" x14ac:dyDescent="0.4">
      <c r="A178" s="55"/>
      <c r="B178" s="56"/>
      <c r="C178" s="56"/>
      <c r="D178" s="73"/>
      <c r="E178" s="74" t="s">
        <v>29</v>
      </c>
      <c r="F178" s="75"/>
      <c r="G178" s="76"/>
      <c r="H178" s="66"/>
      <c r="I178" s="67"/>
      <c r="J178" s="68">
        <f>กำแพงเพชร!J178+เชียงราย!J178+เชียงใหม่!J178+ตาก!J178+นครสวรรค์!J178+น่าน!J178+พะเยา!J178+พิจิตร!J178+พิษณุโลก!J178+เพชรบูรณ์!J178+แพร่!J178+แม่ฮ่องสอน!J178+ลำปาง!J178+ลำพูน!J178+สุโขทัย!J178+อุตรดิตถ์!J178+อุทัยธานี!J178</f>
        <v>6</v>
      </c>
      <c r="K178" s="49"/>
      <c r="L178" s="61"/>
      <c r="M178" s="61"/>
      <c r="N178" s="61"/>
    </row>
    <row r="179" spans="1:14" ht="21.75" customHeight="1" x14ac:dyDescent="0.4">
      <c r="A179" s="55"/>
      <c r="B179" s="56"/>
      <c r="C179" s="56"/>
      <c r="D179" s="73"/>
      <c r="E179" s="77"/>
      <c r="F179" s="74" t="s">
        <v>86</v>
      </c>
      <c r="G179" s="76"/>
      <c r="H179" s="60" t="s">
        <v>40</v>
      </c>
      <c r="I179" s="67">
        <f ca="1">กำแพงเพชร!I179+เชียงราย!I179+เชียงใหม่!I179+ตาก!I179+นครสวรรค์!I179+น่าน!I179+พะเยา!I179+พิจิตร!I179+พิษณุโลก!I179+เพชรบูรณ์!I179+แพร่!I179+แม่ฮ่องสอน!I179+ลำปาง!I179+ลำพูน!I179+สุโขทัย!I179+อุตรดิตถ์!I179+อุทัยธานี!I179</f>
        <v>8</v>
      </c>
      <c r="J179" s="68">
        <f>กำแพงเพชร!J179+เชียงราย!J179+เชียงใหม่!J179+ตาก!J179+นครสวรรค์!J179+น่าน!J179+พะเยา!J179+พิจิตร!J179+พิษณุโลก!J179+เพชรบูรณ์!J179+แพร่!J179+แม่ฮ่องสอน!J179+ลำปาง!J179+ลำพูน!J179+สุโขทัย!J179+อุตรดิตถ์!J179+อุทัยธานี!J179</f>
        <v>2</v>
      </c>
      <c r="K179" s="49">
        <f t="shared" ref="K179:K182" ca="1" si="17">IF(I179&gt;0,J179*100/I179,0)</f>
        <v>25</v>
      </c>
      <c r="L179" s="61"/>
      <c r="M179" s="61"/>
      <c r="N179" s="61"/>
    </row>
    <row r="180" spans="1:14" ht="21.75" customHeight="1" x14ac:dyDescent="0.4">
      <c r="A180" s="55"/>
      <c r="B180" s="56"/>
      <c r="C180" s="56"/>
      <c r="D180" s="73"/>
      <c r="E180" s="77"/>
      <c r="F180" s="74" t="s">
        <v>87</v>
      </c>
      <c r="G180" s="76"/>
      <c r="H180" s="60" t="s">
        <v>16</v>
      </c>
      <c r="I180" s="67">
        <f ca="1">กำแพงเพชร!I180+เชียงราย!I180+เชียงใหม่!I180+ตาก!I180+นครสวรรค์!I180+น่าน!I180+พะเยา!I180+พิจิตร!I180+พิษณุโลก!I180+เพชรบูรณ์!I180+แพร่!I180+แม่ฮ่องสอน!I180+ลำปาง!I180+ลำพูน!I180+สุโขทัย!I180+อุตรดิตถ์!I180+อุทัยธานี!I180</f>
        <v>180</v>
      </c>
      <c r="J180" s="68">
        <f>กำแพงเพชร!J180+เชียงราย!J180+เชียงใหม่!J180+ตาก!J180+นครสวรรค์!J180+น่าน!J180+พะเยา!J180+พิจิตร!J180+พิษณุโลก!J180+เพชรบูรณ์!J180+แพร่!J180+แม่ฮ่องสอน!J180+ลำปาง!J180+ลำพูน!J180+สุโขทัย!J180+อุตรดิตถ์!J180+อุทัยธานี!J180</f>
        <v>0</v>
      </c>
      <c r="K180" s="49">
        <f t="shared" ca="1" si="17"/>
        <v>0</v>
      </c>
      <c r="L180" s="61"/>
      <c r="M180" s="61"/>
      <c r="N180" s="61"/>
    </row>
    <row r="181" spans="1:14" ht="21.75" customHeight="1" x14ac:dyDescent="0.4">
      <c r="A181" s="55"/>
      <c r="B181" s="56"/>
      <c r="C181" s="56"/>
      <c r="D181" s="73"/>
      <c r="E181" s="77"/>
      <c r="F181" s="74" t="s">
        <v>88</v>
      </c>
      <c r="G181" s="76"/>
      <c r="H181" s="60" t="s">
        <v>16</v>
      </c>
      <c r="I181" s="67">
        <f ca="1">กำแพงเพชร!I181+เชียงราย!I181+เชียงใหม่!I181+ตาก!I181+นครสวรรค์!I181+น่าน!I181+พะเยา!I181+พิจิตร!I181+พิษณุโลก!I181+เพชรบูรณ์!I181+แพร่!I181+แม่ฮ่องสอน!I181+ลำปาง!I181+ลำพูน!I181+สุโขทัย!I181+อุตรดิตถ์!I181+อุทัยธานี!I181</f>
        <v>180</v>
      </c>
      <c r="J181" s="68">
        <f>กำแพงเพชร!J181+เชียงราย!J181+เชียงใหม่!J181+ตาก!J181+นครสวรรค์!J181+น่าน!J181+พะเยา!J181+พิจิตร!J181+พิษณุโลก!J181+เพชรบูรณ์!J181+แพร่!J181+แม่ฮ่องสอน!J181+ลำปาง!J181+ลำพูน!J181+สุโขทัย!J181+อุตรดิตถ์!J181+อุทัยธานี!J181</f>
        <v>0</v>
      </c>
      <c r="K181" s="49">
        <f t="shared" ca="1" si="17"/>
        <v>0</v>
      </c>
      <c r="L181" s="61"/>
      <c r="M181" s="61"/>
      <c r="N181" s="61"/>
    </row>
    <row r="182" spans="1:14" ht="21.75" customHeight="1" x14ac:dyDescent="0.4">
      <c r="A182" s="55"/>
      <c r="B182" s="56"/>
      <c r="C182" s="56"/>
      <c r="D182" s="73"/>
      <c r="E182" s="77"/>
      <c r="F182" s="74" t="s">
        <v>89</v>
      </c>
      <c r="G182" s="76"/>
      <c r="H182" s="60" t="s">
        <v>16</v>
      </c>
      <c r="I182" s="48">
        <f ca="1">กำแพงเพชร!I182+เชียงราย!I182+เชียงใหม่!I182+ตาก!I182+นครสวรรค์!I182+น่าน!I182+พะเยา!I182+พิจิตร!I182+พิษณุโลก!I182+เพชรบูรณ์!I182+แพร่!I182+แม่ฮ่องสอน!I182+ลำปาง!I182+ลำพูน!I182+สุโขทัย!I182+อุตรดิตถ์!I182+อุทัยธานี!I182</f>
        <v>8</v>
      </c>
      <c r="J182" s="68">
        <f>กำแพงเพชร!J182+เชียงราย!J182+เชียงใหม่!J182+ตาก!J182+นครสวรรค์!J182+น่าน!J182+พะเยา!J182+พิจิตร!J182+พิษณุโลก!J182+เพชรบูรณ์!J182+แพร่!J182+แม่ฮ่องสอน!J182+ลำปาง!J182+ลำพูน!J182+สุโขทัย!J182+อุตรดิตถ์!J182+อุทัยธานี!J182</f>
        <v>1</v>
      </c>
      <c r="K182" s="49">
        <f t="shared" ca="1" si="17"/>
        <v>12.5</v>
      </c>
      <c r="L182" s="61"/>
      <c r="M182" s="61"/>
      <c r="N182" s="61"/>
    </row>
    <row r="183" spans="1:14" ht="21.75" customHeight="1" x14ac:dyDescent="0.4">
      <c r="A183" s="55"/>
      <c r="B183" s="56"/>
      <c r="C183" s="56"/>
      <c r="D183" s="73"/>
      <c r="E183" s="74" t="s">
        <v>35</v>
      </c>
      <c r="F183" s="75"/>
      <c r="G183" s="76"/>
      <c r="H183" s="66"/>
      <c r="I183" s="67"/>
      <c r="J183" s="68">
        <f>กำแพงเพชร!J183+เชียงราย!J183+เชียงใหม่!J183+ตาก!J183+นครสวรรค์!J183+น่าน!J183+พะเยา!J183+พิจิตร!J183+พิษณุโลก!J183+เพชรบูรณ์!J183+แพร่!J183+แม่ฮ่องสอน!J183+ลำปาง!J183+ลำพูน!J183+สุโขทัย!J183+อุตรดิตถ์!J183+อุทัยธานี!J183</f>
        <v>0</v>
      </c>
      <c r="K183" s="49"/>
      <c r="L183" s="61"/>
      <c r="M183" s="61"/>
      <c r="N183" s="61"/>
    </row>
    <row r="184" spans="1:14" ht="21.75" customHeight="1" x14ac:dyDescent="0.4">
      <c r="A184" s="105"/>
      <c r="B184" s="106"/>
      <c r="C184" s="106"/>
      <c r="D184" s="107">
        <v>3</v>
      </c>
      <c r="E184" s="108" t="s">
        <v>36</v>
      </c>
      <c r="F184" s="109"/>
      <c r="G184" s="110"/>
      <c r="H184" s="111"/>
      <c r="I184" s="112"/>
      <c r="J184" s="113">
        <f>กำแพงเพชร!J184+เชียงราย!J184+เชียงใหม่!J184+ตาก!J184+นครสวรรค์!J184+น่าน!J184+พะเยา!J184+พิจิตร!J184+พิษณุโลก!J184+เพชรบูรณ์!J184+แพร่!J184+แม่ฮ่องสอน!J184+ลำปาง!J184+ลำพูน!J184+สุโขทัย!J184+อุตรดิตถ์!J184+อุทัยธานี!J184</f>
        <v>0</v>
      </c>
      <c r="K184" s="114"/>
      <c r="L184" s="115"/>
      <c r="M184" s="115"/>
      <c r="N184" s="115"/>
    </row>
    <row r="185" spans="1:14" ht="21.75" customHeight="1" x14ac:dyDescent="0.4">
      <c r="A185" s="174"/>
      <c r="B185" s="175" t="s">
        <v>90</v>
      </c>
      <c r="C185" s="175"/>
      <c r="D185" s="175"/>
      <c r="E185" s="175"/>
      <c r="F185" s="175"/>
      <c r="G185" s="176"/>
      <c r="H185" s="177" t="s">
        <v>16</v>
      </c>
      <c r="I185" s="178">
        <f ca="1">กำแพงเพชร!I185+เชียงราย!I185+เชียงใหม่!I185+ตาก!I185+นครสวรรค์!I185+น่าน!I185+พะเยา!I185+พิจิตร!I185+พิษณุโลก!I185+เพชรบูรณ์!I185+แพร่!I185+แม่ฮ่องสอน!I185+ลำปาง!I185+ลำพูน!I185+สุโขทัย!I185+อุตรดิตถ์!I185+อุทัยธานี!I185</f>
        <v>255</v>
      </c>
      <c r="J185" s="178">
        <f>กำแพงเพชร!J185+เชียงราย!J185+เชียงใหม่!J185+ตาก!J185+นครสวรรค์!J185+น่าน!J185+พะเยา!J185+พิจิตร!J185+พิษณุโลก!J185+เพชรบูรณ์!J185+แพร่!J185+แม่ฮ่องสอน!J185+ลำปาง!J185+ลำพูน!J185+สุโขทัย!J185+อุตรดิตถ์!J185+อุทัยธานี!J185</f>
        <v>60</v>
      </c>
      <c r="K185" s="179">
        <f ca="1">IF(I185&gt;0,J185*100/I185,0)</f>
        <v>23.529411764705884</v>
      </c>
      <c r="L185" s="180">
        <f ca="1">กำแพงเพชร!L185+เชียงราย!L185+เชียงใหม่!L185+ตาก!L185+นครสวรรค์!L185+น่าน!L185+พะเยา!L185+พิจิตร!L185+พิษณุโลก!L185+เพชรบูรณ์!L185+แพร่!L185+แม่ฮ่องสอน!L185+ลำปาง!L185+ลำพูน!L185+สุโขทัย!L185+อุตรดิตถ์!L185+อุทัยธานี!L185</f>
        <v>2476100</v>
      </c>
      <c r="M185" s="180">
        <f>กำแพงเพชร!M185+เชียงราย!M185+เชียงใหม่!M185+ตาก!M185+นครสวรรค์!M185+น่าน!M185+พะเยา!M185+พิจิตร!M185+พิษณุโลก!M185+เพชรบูรณ์!M185+แพร่!M185+แม่ฮ่องสอน!M185+ลำปาง!M185+ลำพูน!M185+สุโขทัย!M185+อุตรดิตถ์!M185+อุทัยธานี!M185</f>
        <v>112922</v>
      </c>
      <c r="N185" s="179">
        <f ca="1">IF(L185&gt;0,M185*100/L185,0)</f>
        <v>4.560478171317798</v>
      </c>
    </row>
    <row r="186" spans="1:14" ht="21.75" customHeight="1" x14ac:dyDescent="0.4">
      <c r="A186" s="42"/>
      <c r="B186" s="43"/>
      <c r="C186" s="43" t="s">
        <v>17</v>
      </c>
      <c r="D186" s="44" t="s">
        <v>18</v>
      </c>
      <c r="E186" s="45"/>
      <c r="F186" s="45"/>
      <c r="G186" s="46" t="s">
        <v>19</v>
      </c>
      <c r="H186" s="47" t="s">
        <v>20</v>
      </c>
      <c r="I186" s="48" t="s">
        <v>21</v>
      </c>
      <c r="J186" s="48"/>
      <c r="K186" s="49"/>
      <c r="L186" s="50">
        <f>กำแพงเพชร!L186+เชียงราย!L186+เชียงใหม่!L186+ตาก!L186+นครสวรรค์!L186+น่าน!L186+พะเยา!L186+พิจิตร!L186+พิษณุโลก!L186+เพชรบูรณ์!L186+แพร่!L186+แม่ฮ่องสอน!L186+ลำปาง!L186+ลำพูน!L186+สุโขทัย!L186+อุตรดิตถ์!L186+อุทัยธานี!L186</f>
        <v>0</v>
      </c>
      <c r="M186" s="50">
        <f>กำแพงเพชร!M186+เชียงราย!M186+เชียงใหม่!M186+ตาก!M186+นครสวรรค์!M186+น่าน!M186+พะเยา!M186+พิจิตร!M186+พิษณุโลก!M186+เพชรบูรณ์!M186+แพร่!M186+แม่ฮ่องสอน!M186+ลำปาง!M186+ลำพูน!M186+สุโขทัย!M186+อุตรดิตถ์!M186+อุทัยธานี!M186</f>
        <v>0</v>
      </c>
      <c r="N186" s="50">
        <f t="shared" ref="N186:N189" si="18">+IF(L186&gt;0,M186*100/L186,0)</f>
        <v>0</v>
      </c>
    </row>
    <row r="187" spans="1:14" ht="21.75" customHeight="1" x14ac:dyDescent="0.4">
      <c r="A187" s="42"/>
      <c r="B187" s="43"/>
      <c r="C187" s="43"/>
      <c r="D187" s="51"/>
      <c r="E187" s="45"/>
      <c r="F187" s="45" t="s">
        <v>21</v>
      </c>
      <c r="G187" s="46" t="s">
        <v>22</v>
      </c>
      <c r="H187" s="47" t="s">
        <v>20</v>
      </c>
      <c r="I187" s="48"/>
      <c r="J187" s="48"/>
      <c r="K187" s="49"/>
      <c r="L187" s="50">
        <f ca="1">กำแพงเพชร!L187+เชียงราย!L187+เชียงใหม่!L187+ตาก!L187+นครสวรรค์!L187+น่าน!L187+พะเยา!L187+พิจิตร!L187+พิษณุโลก!L187+เพชรบูรณ์!L187+แพร่!L187+แม่ฮ่องสอน!L187+ลำปาง!L187+ลำพูน!L187+สุโขทัย!L187+อุตรดิตถ์!L187+อุทัยธานี!L187</f>
        <v>2476100</v>
      </c>
      <c r="M187" s="50">
        <f>กำแพงเพชร!M187+เชียงราย!M187+เชียงใหม่!M187+ตาก!M187+นครสวรรค์!M187+น่าน!M187+พะเยา!M187+พิจิตร!M187+พิษณุโลก!M187+เพชรบูรณ์!M187+แพร่!M187+แม่ฮ่องสอน!M187+ลำปาง!M187+ลำพูน!M187+สุโขทัย!M187+อุตรดิตถ์!M187+อุทัยธานี!M187</f>
        <v>112922</v>
      </c>
      <c r="N187" s="50">
        <f t="shared" ca="1" si="18"/>
        <v>4.560478171317798</v>
      </c>
    </row>
    <row r="188" spans="1:14" ht="21.75" customHeight="1" x14ac:dyDescent="0.4">
      <c r="A188" s="42"/>
      <c r="B188" s="43"/>
      <c r="C188" s="43"/>
      <c r="D188" s="51"/>
      <c r="E188" s="45"/>
      <c r="F188" s="45"/>
      <c r="G188" s="52" t="s">
        <v>23</v>
      </c>
      <c r="H188" s="47" t="s">
        <v>20</v>
      </c>
      <c r="I188" s="48"/>
      <c r="J188" s="48"/>
      <c r="K188" s="49"/>
      <c r="L188" s="53">
        <f ca="1">กำแพงเพชร!L188+เชียงราย!L188+เชียงใหม่!L188+ตาก!L188+นครสวรรค์!L188+น่าน!L188+พะเยา!L188+พิจิตร!L188+พิษณุโลก!L188+เพชรบูรณ์!L188+แพร่!L188+แม่ฮ่องสอน!L188+ลำปาง!L188+ลำพูน!L188+สุโขทัย!L188+อุตรดิตถ์!L188+อุทัยธานี!L188</f>
        <v>1056000</v>
      </c>
      <c r="M188" s="54">
        <f>กำแพงเพชร!M188+เชียงราย!M188+เชียงใหม่!M188+ตาก!M188+นครสวรรค์!M188+น่าน!M188+พะเยา!M188+พิจิตร!M188+พิษณุโลก!M188+เพชรบูรณ์!M188+แพร่!M188+แม่ฮ่องสอน!M188+ลำปาง!M188+ลำพูน!M188+สุโขทัย!M188+อุตรดิตถ์!M188+อุทัยธานี!M188</f>
        <v>58902</v>
      </c>
      <c r="N188" s="53">
        <f t="shared" ca="1" si="18"/>
        <v>5.5778409090909093</v>
      </c>
    </row>
    <row r="189" spans="1:14" ht="21.75" customHeight="1" x14ac:dyDescent="0.4">
      <c r="A189" s="42"/>
      <c r="B189" s="43"/>
      <c r="C189" s="43"/>
      <c r="D189" s="51"/>
      <c r="E189" s="45"/>
      <c r="F189" s="45"/>
      <c r="G189" s="52" t="s">
        <v>24</v>
      </c>
      <c r="H189" s="47" t="s">
        <v>20</v>
      </c>
      <c r="I189" s="48"/>
      <c r="J189" s="48"/>
      <c r="K189" s="49"/>
      <c r="L189" s="53">
        <f ca="1">กำแพงเพชร!L189+เชียงราย!L189+เชียงใหม่!L189+ตาก!L189+นครสวรรค์!L189+น่าน!L189+พะเยา!L189+พิจิตร!L189+พิษณุโลก!L189+เพชรบูรณ์!L189+แพร่!L189+แม่ฮ่องสอน!L189+ลำปาง!L189+ลำพูน!L189+สุโขทัย!L189+อุตรดิตถ์!L189+อุทัยธานี!L189</f>
        <v>1420100</v>
      </c>
      <c r="M189" s="54">
        <f>กำแพงเพชร!M189+เชียงราย!M189+เชียงใหม่!M189+ตาก!M189+นครสวรรค์!M189+น่าน!M189+พะเยา!M189+พิจิตร!M189+พิษณุโลก!M189+เพชรบูรณ์!M189+แพร่!M189+แม่ฮ่องสอน!M189+ลำปาง!M189+ลำพูน!M189+สุโขทัย!M189+อุตรดิตถ์!M189+อุทัยธานี!M189</f>
        <v>54020</v>
      </c>
      <c r="N189" s="53">
        <f t="shared" ca="1" si="18"/>
        <v>3.8039574677839587</v>
      </c>
    </row>
    <row r="190" spans="1:14" ht="21.75" customHeight="1" x14ac:dyDescent="0.4">
      <c r="A190" s="55"/>
      <c r="B190" s="56"/>
      <c r="C190" s="43" t="s">
        <v>17</v>
      </c>
      <c r="D190" s="57" t="s">
        <v>25</v>
      </c>
      <c r="E190" s="58"/>
      <c r="F190" s="58"/>
      <c r="G190" s="59"/>
      <c r="H190" s="60"/>
      <c r="I190" s="48"/>
      <c r="J190" s="48"/>
      <c r="K190" s="49"/>
      <c r="L190" s="61"/>
      <c r="M190" s="61"/>
      <c r="N190" s="61"/>
    </row>
    <row r="191" spans="1:14" ht="21.75" customHeight="1" x14ac:dyDescent="0.4">
      <c r="A191" s="55"/>
      <c r="B191" s="56"/>
      <c r="C191" s="56"/>
      <c r="D191" s="62">
        <v>1</v>
      </c>
      <c r="E191" s="63" t="s">
        <v>26</v>
      </c>
      <c r="F191" s="64"/>
      <c r="G191" s="65"/>
      <c r="H191" s="66"/>
      <c r="I191" s="67"/>
      <c r="J191" s="68">
        <f>กำแพงเพชร!J191+เชียงราย!J191+เชียงใหม่!J191+ตาก!J191+นครสวรรค์!J191+น่าน!J191+พะเยา!J191+พิจิตร!J191+พิษณุโลก!J191+เพชรบูรณ์!J191+แพร่!J191+แม่ฮ่องสอน!J191+ลำปาง!J191+ลำพูน!J191+สุโขทัย!J191+อุตรดิตถ์!J191+อุทัยธานี!J191</f>
        <v>2</v>
      </c>
      <c r="K191" s="49"/>
      <c r="L191" s="61"/>
      <c r="M191" s="61"/>
      <c r="N191" s="61"/>
    </row>
    <row r="192" spans="1:14" ht="21.75" customHeight="1" x14ac:dyDescent="0.4">
      <c r="A192" s="55"/>
      <c r="B192" s="56"/>
      <c r="C192" s="56"/>
      <c r="D192" s="69">
        <v>2</v>
      </c>
      <c r="E192" s="70" t="s">
        <v>27</v>
      </c>
      <c r="F192" s="71"/>
      <c r="G192" s="72"/>
      <c r="H192" s="66"/>
      <c r="I192" s="67"/>
      <c r="J192" s="68">
        <f>กำแพงเพชร!J192+เชียงราย!J192+เชียงใหม่!J192+ตาก!J192+นครสวรรค์!J192+น่าน!J192+พะเยา!J192+พิจิตร!J192+พิษณุโลก!J192+เพชรบูรณ์!J192+แพร่!J192+แม่ฮ่องสอน!J192+ลำปาง!J192+ลำพูน!J192+สุโขทัย!J192+อุตรดิตถ์!J192+อุทัยธานี!J192</f>
        <v>13</v>
      </c>
      <c r="K192" s="49"/>
      <c r="L192" s="61"/>
      <c r="M192" s="61"/>
      <c r="N192" s="61"/>
    </row>
    <row r="193" spans="1:14" ht="21.75" customHeight="1" x14ac:dyDescent="0.4">
      <c r="A193" s="55"/>
      <c r="B193" s="56"/>
      <c r="C193" s="56"/>
      <c r="D193" s="73"/>
      <c r="E193" s="74" t="s">
        <v>28</v>
      </c>
      <c r="F193" s="75"/>
      <c r="G193" s="76"/>
      <c r="H193" s="66"/>
      <c r="I193" s="67"/>
      <c r="J193" s="68">
        <f>กำแพงเพชร!J193+เชียงราย!J193+เชียงใหม่!J193+ตาก!J193+นครสวรรค์!J193+น่าน!J193+พะเยา!J193+พิจิตร!J193+พิษณุโลก!J193+เพชรบูรณ์!J193+แพร่!J193+แม่ฮ่องสอน!J193+ลำปาง!J193+ลำพูน!J193+สุโขทัย!J193+อุตรดิตถ์!J193+อุทัยธานี!J193</f>
        <v>11</v>
      </c>
      <c r="K193" s="49"/>
      <c r="L193" s="61"/>
      <c r="M193" s="61"/>
      <c r="N193" s="61"/>
    </row>
    <row r="194" spans="1:14" ht="21.75" customHeight="1" x14ac:dyDescent="0.4">
      <c r="A194" s="55"/>
      <c r="B194" s="56"/>
      <c r="C194" s="56"/>
      <c r="D194" s="73"/>
      <c r="E194" s="74" t="s">
        <v>29</v>
      </c>
      <c r="F194" s="75"/>
      <c r="G194" s="76"/>
      <c r="H194" s="66"/>
      <c r="I194" s="67"/>
      <c r="J194" s="68">
        <f>กำแพงเพชร!J194+เชียงราย!J194+เชียงใหม่!J194+ตาก!J194+นครสวรรค์!J194+น่าน!J194+พะเยา!J194+พิจิตร!J194+พิษณุโลก!J194+เพชรบูรณ์!J194+แพร่!J194+แม่ฮ่องสอน!J194+ลำปาง!J194+ลำพูน!J194+สุโขทัย!J194+อุตรดิตถ์!J194+อุทัยธานี!J194</f>
        <v>6</v>
      </c>
      <c r="K194" s="49"/>
      <c r="L194" s="61"/>
      <c r="M194" s="61"/>
      <c r="N194" s="61"/>
    </row>
    <row r="195" spans="1:14" ht="21.75" customHeight="1" x14ac:dyDescent="0.4">
      <c r="A195" s="55"/>
      <c r="B195" s="56"/>
      <c r="C195" s="56"/>
      <c r="D195" s="73"/>
      <c r="E195" s="75"/>
      <c r="F195" s="74" t="s">
        <v>91</v>
      </c>
      <c r="G195" s="76"/>
      <c r="H195" s="66" t="s">
        <v>16</v>
      </c>
      <c r="I195" s="67">
        <f ca="1">กำแพงเพชร!I195+เชียงราย!I195+เชียงใหม่!I195+ตาก!I195+นครสวรรค์!I195+น่าน!I195+พะเยา!I195+พิจิตร!I195+พิษณุโลก!I195+เพชรบูรณ์!I195+แพร่!I195+แม่ฮ่องสอน!I195+ลำปาง!I195+ลำพูน!I195+สุโขทัย!I195+อุตรดิตถ์!I195+อุทัยธานี!I195</f>
        <v>255</v>
      </c>
      <c r="J195" s="68">
        <f>กำแพงเพชร!J195+เชียงราย!J195+เชียงใหม่!J195+ตาก!J195+นครสวรรค์!J195+น่าน!J195+พะเยา!J195+พิจิตร!J195+พิษณุโลก!J195+เพชรบูรณ์!J195+แพร่!J195+แม่ฮ่องสอน!J195+ลำปาง!J195+ลำพูน!J195+สุโขทัย!J195+อุตรดิตถ์!J195+อุทัยธานี!J195</f>
        <v>60</v>
      </c>
      <c r="K195" s="49">
        <f ca="1">IF(I195&gt;0,J195*100/I195,0)</f>
        <v>23.529411764705884</v>
      </c>
      <c r="L195" s="61"/>
      <c r="M195" s="61"/>
      <c r="N195" s="61"/>
    </row>
    <row r="196" spans="1:14" ht="21.75" customHeight="1" x14ac:dyDescent="0.4">
      <c r="A196" s="55"/>
      <c r="B196" s="56"/>
      <c r="C196" s="56"/>
      <c r="D196" s="73"/>
      <c r="E196" s="74" t="s">
        <v>35</v>
      </c>
      <c r="F196" s="75"/>
      <c r="G196" s="76"/>
      <c r="H196" s="66"/>
      <c r="I196" s="67"/>
      <c r="J196" s="68">
        <f>กำแพงเพชร!J196+เชียงราย!J196+เชียงใหม่!J196+ตาก!J196+นครสวรรค์!J196+น่าน!J196+พะเยา!J196+พิจิตร!J196+พิษณุโลก!J196+เพชรบูรณ์!J196+แพร่!J196+แม่ฮ่องสอน!J196+ลำปาง!J196+ลำพูน!J196+สุโขทัย!J196+อุตรดิตถ์!J196+อุทัยธานี!J196</f>
        <v>0</v>
      </c>
      <c r="K196" s="49"/>
      <c r="L196" s="61"/>
      <c r="M196" s="61"/>
      <c r="N196" s="61"/>
    </row>
    <row r="197" spans="1:14" ht="21.75" customHeight="1" x14ac:dyDescent="0.4">
      <c r="A197" s="55"/>
      <c r="B197" s="56"/>
      <c r="C197" s="56"/>
      <c r="D197" s="81">
        <v>3</v>
      </c>
      <c r="E197" s="82" t="s">
        <v>36</v>
      </c>
      <c r="F197" s="83"/>
      <c r="G197" s="84"/>
      <c r="H197" s="66"/>
      <c r="I197" s="67"/>
      <c r="J197" s="85">
        <f>กำแพงเพชร!J197+เชียงราย!J197+เชียงใหม่!J197+ตาก!J197+นครสวรรค์!J197+น่าน!J197+พะเยา!J197+พิจิตร!J197+พิษณุโลก!J197+เพชรบูรณ์!J197+แพร่!J197+แม่ฮ่องสอน!J197+ลำปาง!J197+ลำพูน!J197+สุโขทัย!J197+อุตรดิตถ์!J197+อุทัยธานี!J197</f>
        <v>0</v>
      </c>
      <c r="K197" s="49"/>
      <c r="L197" s="61"/>
      <c r="M197" s="61"/>
      <c r="N197" s="61"/>
    </row>
    <row r="198" spans="1:14" ht="21.75" customHeight="1" x14ac:dyDescent="0.4">
      <c r="A198" s="166" t="s">
        <v>92</v>
      </c>
      <c r="B198" s="167"/>
      <c r="C198" s="167"/>
      <c r="D198" s="168"/>
      <c r="E198" s="167"/>
      <c r="F198" s="167"/>
      <c r="G198" s="181"/>
      <c r="H198" s="182"/>
      <c r="I198" s="183"/>
      <c r="J198" s="183"/>
      <c r="K198" s="184"/>
      <c r="L198" s="184"/>
      <c r="M198" s="184"/>
      <c r="N198" s="173"/>
    </row>
    <row r="199" spans="1:14" ht="21.75" customHeight="1" x14ac:dyDescent="0.4">
      <c r="A199" s="185"/>
      <c r="B199" s="175" t="s">
        <v>93</v>
      </c>
      <c r="C199" s="186"/>
      <c r="D199" s="187"/>
      <c r="E199" s="175"/>
      <c r="F199" s="175"/>
      <c r="G199" s="176"/>
      <c r="H199" s="177" t="s">
        <v>16</v>
      </c>
      <c r="I199" s="178">
        <f ca="1">กำแพงเพชร!I199+เชียงราย!I199+เชียงใหม่!I199+ตาก!I199+นครสวรรค์!I199+น่าน!I199+พะเยา!I199+พิจิตร!I199+พิษณุโลก!I199+เพชรบูรณ์!I199+แพร่!I199+แม่ฮ่องสอน!I199+ลำปาง!I199+ลำพูน!I199+สุโขทัย!I199+อุตรดิตถ์!I199+อุทัยธานี!I199</f>
        <v>40</v>
      </c>
      <c r="J199" s="178">
        <f>กำแพงเพชร!J199+เชียงราย!J199+เชียงใหม่!J199+ตาก!J199+นครสวรรค์!J199+น่าน!J199+พะเยา!J199+พิจิตร!J199+พิษณุโลก!J199+เพชรบูรณ์!J199+แพร่!J199+แม่ฮ่องสอน!J199+ลำปาง!J199+ลำพูน!J199+สุโขทัย!J199+อุตรดิตถ์!J199+อุทัยธานี!J199</f>
        <v>0</v>
      </c>
      <c r="K199" s="179">
        <f ca="1">IF(I199&gt;0,J199*100/I199,0)</f>
        <v>0</v>
      </c>
      <c r="L199" s="180">
        <f ca="1">กำแพงเพชร!L199+เชียงราย!L199+เชียงใหม่!L199+ตาก!L199+นครสวรรค์!L199+น่าน!L199+พะเยา!L199+พิจิตร!L199+พิษณุโลก!L199+เพชรบูรณ์!L199+แพร่!L199+แม่ฮ่องสอน!L199+ลำปาง!L199+ลำพูน!L199+สุโขทัย!L199+อุตรดิตถ์!L199+อุทัยธานี!L199</f>
        <v>120760</v>
      </c>
      <c r="M199" s="180">
        <f>กำแพงเพชร!M199+เชียงราย!M199+เชียงใหม่!M199+ตาก!M199+นครสวรรค์!M199+น่าน!M199+พะเยา!M199+พิจิตร!M199+พิษณุโลก!M199+เพชรบูรณ์!M199+แพร่!M199+แม่ฮ่องสอน!M199+ลำปาง!M199+ลำพูน!M199+สุโขทัย!M199+อุตรดิตถ์!M199+อุทัยธานี!M199</f>
        <v>0</v>
      </c>
      <c r="N199" s="179">
        <f ca="1">IF(L199&gt;0,M199*100/L199,0)</f>
        <v>0</v>
      </c>
    </row>
    <row r="200" spans="1:14" ht="21.75" customHeight="1" x14ac:dyDescent="0.4">
      <c r="A200" s="42"/>
      <c r="B200" s="43"/>
      <c r="C200" s="43" t="s">
        <v>17</v>
      </c>
      <c r="D200" s="44" t="s">
        <v>18</v>
      </c>
      <c r="E200" s="45"/>
      <c r="F200" s="45"/>
      <c r="G200" s="46" t="s">
        <v>19</v>
      </c>
      <c r="H200" s="47" t="s">
        <v>20</v>
      </c>
      <c r="I200" s="48" t="s">
        <v>21</v>
      </c>
      <c r="J200" s="48"/>
      <c r="K200" s="49"/>
      <c r="L200" s="50">
        <f>กำแพงเพชร!L200+เชียงราย!L200+เชียงใหม่!L200+ตาก!L200+นครสวรรค์!L200+น่าน!L200+พะเยา!L200+พิจิตร!L200+พิษณุโลก!L200+เพชรบูรณ์!L200+แพร่!L200+แม่ฮ่องสอน!L200+ลำปาง!L200+ลำพูน!L200+สุโขทัย!L200+อุตรดิตถ์!L200+อุทัยธานี!L200</f>
        <v>0</v>
      </c>
      <c r="M200" s="50">
        <f>กำแพงเพชร!M200+เชียงราย!M200+เชียงใหม่!M200+ตาก!M200+นครสวรรค์!M200+น่าน!M200+พะเยา!M200+พิจิตร!M200+พิษณุโลก!M200+เพชรบูรณ์!M200+แพร่!M200+แม่ฮ่องสอน!M200+ลำปาง!M200+ลำพูน!M200+สุโขทัย!M200+อุตรดิตถ์!M200+อุทัยธานี!M200</f>
        <v>0</v>
      </c>
      <c r="N200" s="50">
        <f t="shared" ref="N200:N203" si="19">+IF(L200&gt;0,M200*100/L200,0)</f>
        <v>0</v>
      </c>
    </row>
    <row r="201" spans="1:14" ht="21.75" customHeight="1" x14ac:dyDescent="0.4">
      <c r="A201" s="42"/>
      <c r="B201" s="43"/>
      <c r="C201" s="43"/>
      <c r="D201" s="51"/>
      <c r="E201" s="45"/>
      <c r="F201" s="45" t="s">
        <v>21</v>
      </c>
      <c r="G201" s="46" t="s">
        <v>22</v>
      </c>
      <c r="H201" s="47" t="s">
        <v>20</v>
      </c>
      <c r="I201" s="48"/>
      <c r="J201" s="48"/>
      <c r="K201" s="49"/>
      <c r="L201" s="50">
        <f ca="1">กำแพงเพชร!L201+เชียงราย!L201+เชียงใหม่!L201+ตาก!L201+นครสวรรค์!L201+น่าน!L201+พะเยา!L201+พิจิตร!L201+พิษณุโลก!L201+เพชรบูรณ์!L201+แพร่!L201+แม่ฮ่องสอน!L201+ลำปาง!L201+ลำพูน!L201+สุโขทัย!L201+อุตรดิตถ์!L201+อุทัยธานี!L201</f>
        <v>120760</v>
      </c>
      <c r="M201" s="50">
        <f>กำแพงเพชร!M201+เชียงราย!M201+เชียงใหม่!M201+ตาก!M201+นครสวรรค์!M201+น่าน!M201+พะเยา!M201+พิจิตร!M201+พิษณุโลก!M201+เพชรบูรณ์!M201+แพร่!M201+แม่ฮ่องสอน!M201+ลำปาง!M201+ลำพูน!M201+สุโขทัย!M201+อุตรดิตถ์!M201+อุทัยธานี!M201</f>
        <v>0</v>
      </c>
      <c r="N201" s="50">
        <f t="shared" ca="1" si="19"/>
        <v>0</v>
      </c>
    </row>
    <row r="202" spans="1:14" ht="21.75" customHeight="1" x14ac:dyDescent="0.4">
      <c r="A202" s="42"/>
      <c r="B202" s="43"/>
      <c r="C202" s="43"/>
      <c r="D202" s="51"/>
      <c r="E202" s="45"/>
      <c r="F202" s="45"/>
      <c r="G202" s="52" t="s">
        <v>23</v>
      </c>
      <c r="H202" s="47" t="s">
        <v>20</v>
      </c>
      <c r="I202" s="48"/>
      <c r="J202" s="48"/>
      <c r="K202" s="49"/>
      <c r="L202" s="53">
        <f ca="1">กำแพงเพชร!L202+เชียงราย!L202+เชียงใหม่!L202+ตาก!L202+นครสวรรค์!L202+น่าน!L202+พะเยา!L202+พิจิตร!L202+พิษณุโลก!L202+เพชรบูรณ์!L202+แพร่!L202+แม่ฮ่องสอน!L202+ลำปาง!L202+ลำพูน!L202+สุโขทัย!L202+อุตรดิตถ์!L202+อุทัยธานี!L202</f>
        <v>0</v>
      </c>
      <c r="M202" s="53">
        <f>กำแพงเพชร!M202+เชียงราย!M202+เชียงใหม่!M202+ตาก!M202+นครสวรรค์!M202+น่าน!M202+พะเยา!M202+พิจิตร!M202+พิษณุโลก!M202+เพชรบูรณ์!M202+แพร่!M202+แม่ฮ่องสอน!M202+ลำปาง!M202+ลำพูน!M202+สุโขทัย!M202+อุตรดิตถ์!M202+อุทัยธานี!M202</f>
        <v>0</v>
      </c>
      <c r="N202" s="53">
        <f t="shared" ca="1" si="19"/>
        <v>0</v>
      </c>
    </row>
    <row r="203" spans="1:14" ht="21.75" customHeight="1" x14ac:dyDescent="0.4">
      <c r="A203" s="42"/>
      <c r="B203" s="43"/>
      <c r="C203" s="43"/>
      <c r="D203" s="51"/>
      <c r="E203" s="45"/>
      <c r="F203" s="45"/>
      <c r="G203" s="52" t="s">
        <v>24</v>
      </c>
      <c r="H203" s="47" t="s">
        <v>20</v>
      </c>
      <c r="I203" s="48"/>
      <c r="J203" s="48"/>
      <c r="K203" s="49"/>
      <c r="L203" s="53">
        <f ca="1">กำแพงเพชร!L203+เชียงราย!L203+เชียงใหม่!L203+ตาก!L203+นครสวรรค์!L203+น่าน!L203+พะเยา!L203+พิจิตร!L203+พิษณุโลก!L203+เพชรบูรณ์!L203+แพร่!L203+แม่ฮ่องสอน!L203+ลำปาง!L203+ลำพูน!L203+สุโขทัย!L203+อุตรดิตถ์!L203+อุทัยธานี!L203</f>
        <v>120760</v>
      </c>
      <c r="M203" s="54">
        <f>กำแพงเพชร!M203+เชียงราย!M203+เชียงใหม่!M203+ตาก!M203+นครสวรรค์!M203+น่าน!M203+พะเยา!M203+พิจิตร!M203+พิษณุโลก!M203+เพชรบูรณ์!M203+แพร่!M203+แม่ฮ่องสอน!M203+ลำปาง!M203+ลำพูน!M203+สุโขทัย!M203+อุตรดิตถ์!M203+อุทัยธานี!M203</f>
        <v>0</v>
      </c>
      <c r="N203" s="53">
        <f t="shared" ca="1" si="19"/>
        <v>0</v>
      </c>
    </row>
    <row r="204" spans="1:14" ht="21.75" customHeight="1" x14ac:dyDescent="0.4">
      <c r="A204" s="55"/>
      <c r="B204" s="56"/>
      <c r="C204" s="43" t="s">
        <v>17</v>
      </c>
      <c r="D204" s="57" t="s">
        <v>25</v>
      </c>
      <c r="E204" s="58"/>
      <c r="F204" s="58"/>
      <c r="G204" s="59"/>
      <c r="H204" s="60"/>
      <c r="I204" s="48"/>
      <c r="J204" s="48"/>
      <c r="K204" s="49"/>
      <c r="L204" s="61"/>
      <c r="M204" s="61"/>
      <c r="N204" s="61"/>
    </row>
    <row r="205" spans="1:14" ht="21.75" customHeight="1" x14ac:dyDescent="0.4">
      <c r="A205" s="55"/>
      <c r="B205" s="56"/>
      <c r="C205" s="56"/>
      <c r="D205" s="62">
        <v>1</v>
      </c>
      <c r="E205" s="63" t="s">
        <v>26</v>
      </c>
      <c r="F205" s="64"/>
      <c r="G205" s="65"/>
      <c r="H205" s="66"/>
      <c r="I205" s="67"/>
      <c r="J205" s="68">
        <f>กำแพงเพชร!J205+เชียงราย!J205+เชียงใหม่!J205+ตาก!J205+นครสวรรค์!J205+น่าน!J205+พะเยา!J205+พิจิตร!J205+พิษณุโลก!J205+เพชรบูรณ์!J205+แพร่!J205+แม่ฮ่องสอน!J205+ลำปาง!J205+ลำพูน!J205+สุโขทัย!J205+อุตรดิตถ์!J205+อุทัยธานี!J205</f>
        <v>0</v>
      </c>
      <c r="K205" s="49"/>
      <c r="L205" s="61"/>
      <c r="M205" s="61"/>
      <c r="N205" s="61"/>
    </row>
    <row r="206" spans="1:14" ht="21.75" customHeight="1" x14ac:dyDescent="0.4">
      <c r="A206" s="55"/>
      <c r="B206" s="56"/>
      <c r="C206" s="56"/>
      <c r="D206" s="69">
        <v>2</v>
      </c>
      <c r="E206" s="70" t="s">
        <v>27</v>
      </c>
      <c r="F206" s="71"/>
      <c r="G206" s="72"/>
      <c r="H206" s="66"/>
      <c r="I206" s="67"/>
      <c r="J206" s="68">
        <f>กำแพงเพชร!J206+เชียงราย!J206+เชียงใหม่!J206+ตาก!J206+นครสวรรค์!J206+น่าน!J206+พะเยา!J206+พิจิตร!J206+พิษณุโลก!J206+เพชรบูรณ์!J206+แพร่!J206+แม่ฮ่องสอน!J206+ลำปาง!J206+ลำพูน!J206+สุโขทัย!J206+อุตรดิตถ์!J206+อุทัยธานี!J206</f>
        <v>1</v>
      </c>
      <c r="K206" s="49"/>
      <c r="L206" s="61" t="s">
        <v>21</v>
      </c>
      <c r="M206" s="61" t="s">
        <v>21</v>
      </c>
      <c r="N206" s="61"/>
    </row>
    <row r="207" spans="1:14" ht="21.75" customHeight="1" x14ac:dyDescent="0.4">
      <c r="A207" s="55"/>
      <c r="B207" s="56"/>
      <c r="C207" s="56"/>
      <c r="D207" s="73"/>
      <c r="E207" s="74" t="s">
        <v>28</v>
      </c>
      <c r="F207" s="75"/>
      <c r="G207" s="76"/>
      <c r="H207" s="66"/>
      <c r="I207" s="67"/>
      <c r="J207" s="68">
        <f>กำแพงเพชร!J207+เชียงราย!J207+เชียงใหม่!J207+ตาก!J207+นครสวรรค์!J207+น่าน!J207+พะเยา!J207+พิจิตร!J207+พิษณุโลก!J207+เพชรบูรณ์!J207+แพร่!J207+แม่ฮ่องสอน!J207+ลำปาง!J207+ลำพูน!J207+สุโขทัย!J207+อุตรดิตถ์!J207+อุทัยธานี!J207</f>
        <v>1</v>
      </c>
      <c r="K207" s="49"/>
      <c r="L207" s="61"/>
      <c r="M207" s="61"/>
      <c r="N207" s="61"/>
    </row>
    <row r="208" spans="1:14" ht="21.75" customHeight="1" x14ac:dyDescent="0.4">
      <c r="A208" s="55"/>
      <c r="B208" s="56"/>
      <c r="C208" s="56"/>
      <c r="D208" s="73"/>
      <c r="E208" s="74" t="s">
        <v>29</v>
      </c>
      <c r="F208" s="75"/>
      <c r="G208" s="76"/>
      <c r="H208" s="66"/>
      <c r="I208" s="67"/>
      <c r="J208" s="68">
        <f>กำแพงเพชร!J208+เชียงราย!J208+เชียงใหม่!J208+ตาก!J208+นครสวรรค์!J208+น่าน!J208+พะเยา!J208+พิจิตร!J208+พิษณุโลก!J208+เพชรบูรณ์!J208+แพร่!J208+แม่ฮ่องสอน!J208+ลำปาง!J208+ลำพูน!J208+สุโขทัย!J208+อุตรดิตถ์!J208+อุทัยธานี!J208</f>
        <v>1</v>
      </c>
      <c r="K208" s="49"/>
      <c r="L208" s="61"/>
      <c r="M208" s="61"/>
      <c r="N208" s="61"/>
    </row>
    <row r="209" spans="1:14" ht="21.75" customHeight="1" x14ac:dyDescent="0.4">
      <c r="A209" s="55"/>
      <c r="B209" s="56"/>
      <c r="C209" s="56"/>
      <c r="D209" s="73"/>
      <c r="E209" s="77"/>
      <c r="F209" s="74" t="s">
        <v>94</v>
      </c>
      <c r="G209" s="76"/>
      <c r="H209" s="60" t="s">
        <v>16</v>
      </c>
      <c r="I209" s="67">
        <f ca="1">กำแพงเพชร!I209+เชียงราย!I209+เชียงใหม่!I209+ตาก!I209+นครสวรรค์!I209+น่าน!I209+พะเยา!I209+พิจิตร!I209+พิษณุโลก!I209+เพชรบูรณ์!I209+แพร่!I209+แม่ฮ่องสอน!I209+ลำปาง!I209+ลำพูน!I209+สุโขทัย!I209+อุตรดิตถ์!I209+อุทัยธานี!I209</f>
        <v>40</v>
      </c>
      <c r="J209" s="68">
        <f>กำแพงเพชร!J209+เชียงราย!J209+เชียงใหม่!J209+ตาก!J209+นครสวรรค์!J209+น่าน!J209+พะเยา!J209+พิจิตร!J209+พิษณุโลก!J209+เพชรบูรณ์!J209+แพร่!J209+แม่ฮ่องสอน!J209+ลำปาง!J209+ลำพูน!J209+สุโขทัย!J209+อุตรดิตถ์!J209+อุทัยธานี!J209</f>
        <v>0</v>
      </c>
      <c r="K209" s="49">
        <f ca="1">IF(I209&gt;0,J209*100/I209,0)</f>
        <v>0</v>
      </c>
      <c r="L209" s="61"/>
      <c r="M209" s="61"/>
      <c r="N209" s="61"/>
    </row>
    <row r="210" spans="1:14" ht="21.75" customHeight="1" x14ac:dyDescent="0.4">
      <c r="A210" s="55"/>
      <c r="B210" s="56"/>
      <c r="C210" s="56"/>
      <c r="D210" s="73"/>
      <c r="E210" s="77"/>
      <c r="F210" s="74" t="s">
        <v>95</v>
      </c>
      <c r="G210" s="76"/>
      <c r="H210" s="60"/>
      <c r="I210" s="67"/>
      <c r="J210" s="67"/>
      <c r="K210" s="49"/>
      <c r="L210" s="61"/>
      <c r="M210" s="61"/>
      <c r="N210" s="61"/>
    </row>
    <row r="211" spans="1:14" ht="21.75" customHeight="1" x14ac:dyDescent="0.4">
      <c r="A211" s="55"/>
      <c r="B211" s="56"/>
      <c r="C211" s="56"/>
      <c r="D211" s="73"/>
      <c r="E211" s="77"/>
      <c r="F211" s="75" t="s">
        <v>34</v>
      </c>
      <c r="G211" s="76"/>
      <c r="H211" s="60" t="s">
        <v>16</v>
      </c>
      <c r="I211" s="67">
        <f ca="1">กำแพงเพชร!I211+เชียงราย!I211+เชียงใหม่!I211+ตาก!I211+นครสวรรค์!I211+น่าน!I211+พะเยา!I211+พิจิตร!I211+พิษณุโลก!I211+เพชรบูรณ์!I211+แพร่!I211+แม่ฮ่องสอน!I211+ลำปาง!I211+ลำพูน!I211+สุโขทัย!I211+อุตรดิตถ์!I211+อุทัยธานี!I211</f>
        <v>40</v>
      </c>
      <c r="J211" s="68">
        <f>กำแพงเพชร!J211+เชียงราย!J211+เชียงใหม่!J211+ตาก!J211+นครสวรรค์!J211+น่าน!J211+พะเยา!J211+พิจิตร!J211+พิษณุโลก!J211+เพชรบูรณ์!J211+แพร่!J211+แม่ฮ่องสอน!J211+ลำปาง!J211+ลำพูน!J211+สุโขทัย!J211+อุตรดิตถ์!J211+อุทัยธานี!J211</f>
        <v>0</v>
      </c>
      <c r="K211" s="49">
        <f ca="1">IF(I211&gt;0,J211*100/I211,0)</f>
        <v>0</v>
      </c>
      <c r="L211" s="61"/>
      <c r="M211" s="61"/>
      <c r="N211" s="61"/>
    </row>
    <row r="212" spans="1:14" ht="21.75" customHeight="1" x14ac:dyDescent="0.4">
      <c r="A212" s="55"/>
      <c r="B212" s="56"/>
      <c r="C212" s="56"/>
      <c r="D212" s="73"/>
      <c r="E212" s="74" t="s">
        <v>35</v>
      </c>
      <c r="F212" s="75"/>
      <c r="G212" s="76"/>
      <c r="H212" s="66"/>
      <c r="I212" s="67"/>
      <c r="J212" s="68">
        <f>กำแพงเพชร!J212+เชียงราย!J212+เชียงใหม่!J212+ตาก!J212+นครสวรรค์!J212+น่าน!J212+พะเยา!J212+พิจิตร!J212+พิษณุโลก!J212+เพชรบูรณ์!J212+แพร่!J212+แม่ฮ่องสอน!J212+ลำปาง!J212+ลำพูน!J212+สุโขทัย!J212+อุตรดิตถ์!J212+อุทัยธานี!J212</f>
        <v>0</v>
      </c>
      <c r="K212" s="49"/>
      <c r="L212" s="61"/>
      <c r="M212" s="61"/>
      <c r="N212" s="61"/>
    </row>
    <row r="213" spans="1:14" ht="21.75" customHeight="1" x14ac:dyDescent="0.4">
      <c r="A213" s="55"/>
      <c r="B213" s="56"/>
      <c r="C213" s="56"/>
      <c r="D213" s="81">
        <v>3</v>
      </c>
      <c r="E213" s="82" t="s">
        <v>36</v>
      </c>
      <c r="F213" s="83"/>
      <c r="G213" s="84"/>
      <c r="H213" s="66"/>
      <c r="I213" s="67"/>
      <c r="J213" s="188">
        <f>กำแพงเพชร!J213+เชียงราย!J213+เชียงใหม่!J213+ตาก!J213+นครสวรรค์!J213+น่าน!J213+พะเยา!J213+พิจิตร!J213+พิษณุโลก!J213+เพชรบูรณ์!J213+แพร่!J213+แม่ฮ่องสอน!J213+ลำปาง!J213+ลำพูน!J213+สุโขทัย!J213+อุตรดิตถ์!J213+อุทัยธานี!J213</f>
        <v>0</v>
      </c>
      <c r="K213" s="49"/>
      <c r="L213" s="61"/>
      <c r="M213" s="61"/>
      <c r="N213" s="61"/>
    </row>
    <row r="214" spans="1:14" ht="21.75" customHeight="1" x14ac:dyDescent="0.4">
      <c r="A214" s="189"/>
      <c r="B214" s="190" t="s">
        <v>96</v>
      </c>
      <c r="C214" s="191"/>
      <c r="D214" s="192"/>
      <c r="E214" s="190"/>
      <c r="F214" s="190"/>
      <c r="G214" s="193"/>
      <c r="H214" s="194" t="s">
        <v>97</v>
      </c>
      <c r="I214" s="195">
        <f ca="1">กำแพงเพชร!I214+เชียงราย!I214+เชียงใหม่!I214+ตาก!I214+นครสวรรค์!I214+น่าน!I214+พะเยา!I214+พิจิตร!I214+พิษณุโลก!I214+เพชรบูรณ์!I214+แพร่!I214+แม่ฮ่องสอน!I214+ลำปาง!I214+ลำพูน!I214+สุโขทัย!I214+อุตรดิตถ์!I214+อุทัยธานี!I214</f>
        <v>8</v>
      </c>
      <c r="J214" s="195">
        <f>กำแพงเพชร!J214+เชียงราย!J214+เชียงใหม่!J214+ตาก!J214+นครสวรรค์!J214+น่าน!J214+พะเยา!J214+พิจิตร!J214+พิษณุโลก!J214+เพชรบูรณ์!J214+แพร่!J214+แม่ฮ่องสอน!J214+ลำปาง!J214+ลำพูน!J214+สุโขทัย!J214+อุตรดิตถ์!J214+อุทัยธานี!J214</f>
        <v>0</v>
      </c>
      <c r="K214" s="196">
        <f ca="1">IF(I214&gt;0,J214*100/I214,0)</f>
        <v>0</v>
      </c>
      <c r="L214" s="197">
        <f ca="1">กำแพงเพชร!L214+เชียงราย!L214+เชียงใหม่!L214+ตาก!L214+นครสวรรค์!L214+น่าน!L214+พะเยา!L214+พิจิตร!L214+พิษณุโลก!L214+เพชรบูรณ์!L214+แพร่!L214+แม่ฮ่องสอน!L214+ลำปาง!L214+ลำพูน!L214+สุโขทัย!L214+อุตรดิตถ์!L214+อุทัยธานี!L214</f>
        <v>772800</v>
      </c>
      <c r="M214" s="197">
        <f>กำแพงเพชร!M214+เชียงราย!M214+เชียงใหม่!M214+ตาก!M214+นครสวรรค์!M214+น่าน!M214+พะเยา!M214+พิจิตร!M214+พิษณุโลก!M214+เพชรบูรณ์!M214+แพร่!M214+แม่ฮ่องสอน!M214+ลำปาง!M214+ลำพูน!M214+สุโขทัย!M214+อุตรดิตถ์!M214+อุทัยธานี!M214</f>
        <v>35510.75</v>
      </c>
      <c r="N214" s="196">
        <f ca="1">IF(L214&gt;0,M214*100/L214,0)</f>
        <v>4.595076345755694</v>
      </c>
    </row>
    <row r="215" spans="1:14" ht="21.75" customHeight="1" x14ac:dyDescent="0.4">
      <c r="A215" s="42"/>
      <c r="B215" s="43"/>
      <c r="C215" s="43" t="s">
        <v>17</v>
      </c>
      <c r="D215" s="44" t="s">
        <v>18</v>
      </c>
      <c r="E215" s="45"/>
      <c r="F215" s="45"/>
      <c r="G215" s="46" t="s">
        <v>19</v>
      </c>
      <c r="H215" s="47" t="s">
        <v>20</v>
      </c>
      <c r="I215" s="48" t="s">
        <v>21</v>
      </c>
      <c r="J215" s="48"/>
      <c r="K215" s="49"/>
      <c r="L215" s="50">
        <f>กำแพงเพชร!L215+เชียงราย!L215+เชียงใหม่!L215+ตาก!L215+นครสวรรค์!L215+น่าน!L215+พะเยา!L215+พิจิตร!L215+พิษณุโลก!L215+เพชรบูรณ์!L215+แพร่!L215+แม่ฮ่องสอน!L215+ลำปาง!L215+ลำพูน!L215+สุโขทัย!L215+อุตรดิตถ์!L215+อุทัยธานี!L215</f>
        <v>0</v>
      </c>
      <c r="M215" s="53">
        <f>กำแพงเพชร!M215+เชียงราย!M215+เชียงใหม่!M215+ตาก!M215+นครสวรรค์!M215+น่าน!M215+พะเยา!M215+พิจิตร!M215+พิษณุโลก!M215+เพชรบูรณ์!M215+แพร่!M215+แม่ฮ่องสอน!M215+ลำปาง!M215+ลำพูน!M215+สุโขทัย!M215+อุตรดิตถ์!M215+อุทัยธานี!M215</f>
        <v>0</v>
      </c>
      <c r="N215" s="53">
        <f t="shared" ref="N215:N218" si="20">+IF(L215&gt;0,M215*100/L215,0)</f>
        <v>0</v>
      </c>
    </row>
    <row r="216" spans="1:14" ht="21.75" customHeight="1" x14ac:dyDescent="0.4">
      <c r="A216" s="42"/>
      <c r="B216" s="43"/>
      <c r="C216" s="43"/>
      <c r="D216" s="51"/>
      <c r="E216" s="45"/>
      <c r="F216" s="45" t="s">
        <v>21</v>
      </c>
      <c r="G216" s="46" t="s">
        <v>22</v>
      </c>
      <c r="H216" s="47" t="s">
        <v>20</v>
      </c>
      <c r="I216" s="48"/>
      <c r="J216" s="48"/>
      <c r="K216" s="49"/>
      <c r="L216" s="50">
        <f ca="1">กำแพงเพชร!L216+เชียงราย!L216+เชียงใหม่!L216+ตาก!L216+นครสวรรค์!L216+น่าน!L216+พะเยา!L216+พิจิตร!L216+พิษณุโลก!L216+เพชรบูรณ์!L216+แพร่!L216+แม่ฮ่องสอน!L216+ลำปาง!L216+ลำพูน!L216+สุโขทัย!L216+อุตรดิตถ์!L216+อุทัยธานี!L216</f>
        <v>772800</v>
      </c>
      <c r="M216" s="53">
        <f>กำแพงเพชร!M216+เชียงราย!M216+เชียงใหม่!M216+ตาก!M216+นครสวรรค์!M216+น่าน!M216+พะเยา!M216+พิจิตร!M216+พิษณุโลก!M216+เพชรบูรณ์!M216+แพร่!M216+แม่ฮ่องสอน!M216+ลำปาง!M216+ลำพูน!M216+สุโขทัย!M216+อุตรดิตถ์!M216+อุทัยธานี!M216</f>
        <v>35510.75</v>
      </c>
      <c r="N216" s="53">
        <f t="shared" ca="1" si="20"/>
        <v>4.595076345755694</v>
      </c>
    </row>
    <row r="217" spans="1:14" ht="21.75" customHeight="1" x14ac:dyDescent="0.4">
      <c r="A217" s="42"/>
      <c r="B217" s="43"/>
      <c r="C217" s="43"/>
      <c r="D217" s="51"/>
      <c r="E217" s="45"/>
      <c r="F217" s="45"/>
      <c r="G217" s="52" t="s">
        <v>23</v>
      </c>
      <c r="H217" s="47" t="s">
        <v>20</v>
      </c>
      <c r="I217" s="48"/>
      <c r="J217" s="48"/>
      <c r="K217" s="49"/>
      <c r="L217" s="53">
        <f ca="1">กำแพงเพชร!L217+เชียงราย!L217+เชียงใหม่!L217+ตาก!L217+นครสวรรค์!L217+น่าน!L217+พะเยา!L217+พิจิตร!L217+พิษณุโลก!L217+เพชรบูรณ์!L217+แพร่!L217+แม่ฮ่องสอน!L217+ลำปาง!L217+ลำพูน!L217+สุโขทัย!L217+อุตรดิตถ์!L217+อุทัยธานี!L217</f>
        <v>0</v>
      </c>
      <c r="M217" s="53">
        <f>กำแพงเพชร!M217+เชียงราย!M217+เชียงใหม่!M217+ตาก!M217+นครสวรรค์!M217+น่าน!M217+พะเยา!M217+พิจิตร!M217+พิษณุโลก!M217+เพชรบูรณ์!M217+แพร่!M217+แม่ฮ่องสอน!M217+ลำปาง!M217+ลำพูน!M217+สุโขทัย!M217+อุตรดิตถ์!M217+อุทัยธานี!M217</f>
        <v>0</v>
      </c>
      <c r="N217" s="53">
        <f t="shared" ca="1" si="20"/>
        <v>0</v>
      </c>
    </row>
    <row r="218" spans="1:14" ht="21.75" customHeight="1" x14ac:dyDescent="0.4">
      <c r="A218" s="42"/>
      <c r="B218" s="43"/>
      <c r="C218" s="43"/>
      <c r="D218" s="51"/>
      <c r="E218" s="45"/>
      <c r="F218" s="45"/>
      <c r="G218" s="52" t="s">
        <v>24</v>
      </c>
      <c r="H218" s="47" t="s">
        <v>20</v>
      </c>
      <c r="I218" s="48"/>
      <c r="J218" s="48"/>
      <c r="K218" s="49"/>
      <c r="L218" s="53">
        <f ca="1">กำแพงเพชร!L218+เชียงราย!L218+เชียงใหม่!L218+ตาก!L218+นครสวรรค์!L218+น่าน!L218+พะเยา!L218+พิจิตร!L218+พิษณุโลก!L218+เพชรบูรณ์!L218+แพร่!L218+แม่ฮ่องสอน!L218+ลำปาง!L218+ลำพูน!L218+สุโขทัย!L218+อุตรดิตถ์!L218+อุทัยธานี!L218</f>
        <v>772800</v>
      </c>
      <c r="M218" s="54">
        <f>กำแพงเพชร!M218+เชียงราย!M218+เชียงใหม่!M218+ตาก!M218+นครสวรรค์!M218+น่าน!M218+พะเยา!M218+พิจิตร!M218+พิษณุโลก!M218+เพชรบูรณ์!M218+แพร่!M218+แม่ฮ่องสอน!M218+ลำปาง!M218+ลำพูน!M218+สุโขทัย!M218+อุตรดิตถ์!M218+อุทัยธานี!M218</f>
        <v>35510.75</v>
      </c>
      <c r="N218" s="53">
        <f t="shared" ca="1" si="20"/>
        <v>4.595076345755694</v>
      </c>
    </row>
    <row r="219" spans="1:14" ht="21.75" customHeight="1" x14ac:dyDescent="0.4">
      <c r="A219" s="55"/>
      <c r="B219" s="56"/>
      <c r="C219" s="43" t="s">
        <v>17</v>
      </c>
      <c r="D219" s="57" t="s">
        <v>25</v>
      </c>
      <c r="E219" s="58"/>
      <c r="F219" s="58"/>
      <c r="G219" s="59"/>
      <c r="H219" s="60"/>
      <c r="I219" s="48"/>
      <c r="J219" s="48"/>
      <c r="K219" s="49"/>
      <c r="L219" s="61"/>
      <c r="M219" s="61"/>
      <c r="N219" s="61"/>
    </row>
    <row r="220" spans="1:14" ht="21.75" customHeight="1" x14ac:dyDescent="0.4">
      <c r="A220" s="55"/>
      <c r="B220" s="56"/>
      <c r="C220" s="56"/>
      <c r="D220" s="62">
        <v>1</v>
      </c>
      <c r="E220" s="63" t="s">
        <v>26</v>
      </c>
      <c r="F220" s="64"/>
      <c r="G220" s="65"/>
      <c r="H220" s="66"/>
      <c r="I220" s="67"/>
      <c r="J220" s="68">
        <f>กำแพงเพชร!J220+เชียงราย!J220+เชียงใหม่!J220+ตาก!J220+นครสวรรค์!J220+น่าน!J220+พะเยา!J220+พิจิตร!J220+พิษณุโลก!J220+เพชรบูรณ์!J220+แพร่!J220+แม่ฮ่องสอน!J220+ลำปาง!J220+ลำพูน!J220+สุโขทัย!J220+อุตรดิตถ์!J220+อุทัยธานี!J220</f>
        <v>0</v>
      </c>
      <c r="K220" s="49"/>
      <c r="L220" s="61"/>
      <c r="M220" s="61"/>
      <c r="N220" s="61"/>
    </row>
    <row r="221" spans="1:14" ht="21.75" customHeight="1" x14ac:dyDescent="0.4">
      <c r="A221" s="55"/>
      <c r="B221" s="56"/>
      <c r="C221" s="56"/>
      <c r="D221" s="69">
        <v>2</v>
      </c>
      <c r="E221" s="70" t="s">
        <v>27</v>
      </c>
      <c r="F221" s="71"/>
      <c r="G221" s="72"/>
      <c r="H221" s="66"/>
      <c r="I221" s="67"/>
      <c r="J221" s="68">
        <f>กำแพงเพชร!J221+เชียงราย!J221+เชียงใหม่!J221+ตาก!J221+นครสวรรค์!J221+น่าน!J221+พะเยา!J221+พิจิตร!J221+พิษณุโลก!J221+เพชรบูรณ์!J221+แพร่!J221+แม่ฮ่องสอน!J221+ลำปาง!J221+ลำพูน!J221+สุโขทัย!J221+อุตรดิตถ์!J221+อุทัยธานี!J221</f>
        <v>1</v>
      </c>
      <c r="K221" s="49"/>
      <c r="L221" s="61" t="s">
        <v>21</v>
      </c>
      <c r="M221" s="61" t="s">
        <v>21</v>
      </c>
      <c r="N221" s="61"/>
    </row>
    <row r="222" spans="1:14" ht="21.75" customHeight="1" x14ac:dyDescent="0.4">
      <c r="A222" s="55"/>
      <c r="B222" s="56"/>
      <c r="C222" s="56"/>
      <c r="D222" s="73"/>
      <c r="E222" s="74" t="s">
        <v>28</v>
      </c>
      <c r="F222" s="75"/>
      <c r="G222" s="76"/>
      <c r="H222" s="66"/>
      <c r="I222" s="67"/>
      <c r="J222" s="68">
        <f>กำแพงเพชร!J222+เชียงราย!J222+เชียงใหม่!J222+ตาก!J222+นครสวรรค์!J222+น่าน!J222+พะเยา!J222+พิจิตร!J222+พิษณุโลก!J222+เพชรบูรณ์!J222+แพร่!J222+แม่ฮ่องสอน!J222+ลำปาง!J222+ลำพูน!J222+สุโขทัย!J222+อุตรดิตถ์!J222+อุทัยธานี!J222</f>
        <v>1</v>
      </c>
      <c r="K222" s="49"/>
      <c r="L222" s="61"/>
      <c r="M222" s="61"/>
      <c r="N222" s="61"/>
    </row>
    <row r="223" spans="1:14" ht="21.75" customHeight="1" x14ac:dyDescent="0.4">
      <c r="A223" s="55"/>
      <c r="B223" s="56"/>
      <c r="C223" s="56"/>
      <c r="D223" s="73"/>
      <c r="E223" s="74" t="s">
        <v>29</v>
      </c>
      <c r="F223" s="75"/>
      <c r="G223" s="76"/>
      <c r="H223" s="66"/>
      <c r="I223" s="67"/>
      <c r="J223" s="68">
        <f>กำแพงเพชร!J223+เชียงราย!J223+เชียงใหม่!J223+ตาก!J223+นครสวรรค์!J223+น่าน!J223+พะเยา!J223+พิจิตร!J223+พิษณุโลก!J223+เพชรบูรณ์!J223+แพร่!J223+แม่ฮ่องสอน!J223+ลำปาง!J223+ลำพูน!J223+สุโขทัย!J223+อุตรดิตถ์!J223+อุทัยธานี!J223</f>
        <v>1</v>
      </c>
      <c r="K223" s="49"/>
      <c r="L223" s="61"/>
      <c r="M223" s="61"/>
      <c r="N223" s="61"/>
    </row>
    <row r="224" spans="1:14" ht="21.75" customHeight="1" x14ac:dyDescent="0.4">
      <c r="A224" s="55"/>
      <c r="B224" s="56"/>
      <c r="C224" s="56"/>
      <c r="D224" s="73"/>
      <c r="E224" s="77"/>
      <c r="F224" s="74" t="s">
        <v>98</v>
      </c>
      <c r="G224" s="76"/>
      <c r="H224" s="66" t="s">
        <v>97</v>
      </c>
      <c r="I224" s="67">
        <f ca="1">กำแพงเพชร!I224+เชียงราย!I224+เชียงใหม่!I224+ตาก!I224+นครสวรรค์!I224+น่าน!I224+พะเยา!I224+พิจิตร!I224+พิษณุโลก!I224+เพชรบูรณ์!I224+แพร่!I224+แม่ฮ่องสอน!I224+ลำปาง!I224+ลำพูน!I224+สุโขทัย!I224+อุตรดิตถ์!I224+อุทัยธานี!I224</f>
        <v>8</v>
      </c>
      <c r="J224" s="68">
        <f>กำแพงเพชร!J224+เชียงราย!J224+เชียงใหม่!J224+ตาก!J224+นครสวรรค์!J224+น่าน!J224+พะเยา!J224+พิจิตร!J224+พิษณุโลก!J224+เพชรบูรณ์!J224+แพร่!J224+แม่ฮ่องสอน!J224+ลำปาง!J224+ลำพูน!J224+สุโขทัย!J224+อุตรดิตถ์!J224+อุทัยธานี!J224</f>
        <v>0</v>
      </c>
      <c r="K224" s="49">
        <f ca="1">IF(I224&gt;0,J224*100/I224,0)</f>
        <v>0</v>
      </c>
      <c r="L224" s="61"/>
      <c r="M224" s="61"/>
      <c r="N224" s="61"/>
    </row>
    <row r="225" spans="1:14" ht="21.75" customHeight="1" x14ac:dyDescent="0.4">
      <c r="A225" s="55"/>
      <c r="B225" s="56"/>
      <c r="C225" s="56"/>
      <c r="D225" s="73"/>
      <c r="E225" s="74" t="s">
        <v>35</v>
      </c>
      <c r="F225" s="75"/>
      <c r="G225" s="76"/>
      <c r="H225" s="66"/>
      <c r="I225" s="67"/>
      <c r="J225" s="68">
        <f>กำแพงเพชร!J225+เชียงราย!J225+เชียงใหม่!J225+ตาก!J225+นครสวรรค์!J225+น่าน!J225+พะเยา!J225+พิจิตร!J225+พิษณุโลก!J225+เพชรบูรณ์!J225+แพร่!J225+แม่ฮ่องสอน!J225+ลำปาง!J225+ลำพูน!J225+สุโขทัย!J225+อุตรดิตถ์!J225+อุทัยธานี!J225</f>
        <v>0</v>
      </c>
      <c r="K225" s="49"/>
      <c r="L225" s="61"/>
      <c r="M225" s="61"/>
      <c r="N225" s="61"/>
    </row>
    <row r="226" spans="1:14" ht="21.75" customHeight="1" x14ac:dyDescent="0.4">
      <c r="A226" s="55"/>
      <c r="B226" s="56"/>
      <c r="C226" s="56"/>
      <c r="D226" s="81">
        <v>3</v>
      </c>
      <c r="E226" s="82" t="s">
        <v>36</v>
      </c>
      <c r="F226" s="83"/>
      <c r="G226" s="84"/>
      <c r="H226" s="66"/>
      <c r="I226" s="67"/>
      <c r="J226" s="85">
        <f>กำแพงเพชร!J226+เชียงราย!J226+เชียงใหม่!J226+ตาก!J226+นครสวรรค์!J226+น่าน!J226+พะเยา!J226+พิจิตร!J226+พิษณุโลก!J226+เพชรบูรณ์!J226+แพร่!J226+แม่ฮ่องสอน!J226+ลำปาง!J226+ลำพูน!J226+สุโขทัย!J226+อุตรดิตถ์!J226+อุทัยธานี!J226</f>
        <v>0</v>
      </c>
      <c r="K226" s="49"/>
      <c r="L226" s="61"/>
      <c r="M226" s="61"/>
      <c r="N226" s="61"/>
    </row>
    <row r="227" spans="1:14" ht="21.75" customHeight="1" x14ac:dyDescent="0.4">
      <c r="A227" s="166" t="s">
        <v>99</v>
      </c>
      <c r="B227" s="167"/>
      <c r="C227" s="167"/>
      <c r="D227" s="168"/>
      <c r="E227" s="167"/>
      <c r="F227" s="167"/>
      <c r="G227" s="181"/>
      <c r="H227" s="170"/>
      <c r="I227" s="171"/>
      <c r="J227" s="171"/>
      <c r="K227" s="172"/>
      <c r="L227" s="172"/>
      <c r="M227" s="172"/>
      <c r="N227" s="173"/>
    </row>
    <row r="228" spans="1:14" ht="21.75" customHeight="1" x14ac:dyDescent="0.4">
      <c r="A228" s="174"/>
      <c r="B228" s="175" t="s">
        <v>100</v>
      </c>
      <c r="C228" s="187"/>
      <c r="D228" s="175"/>
      <c r="E228" s="175"/>
      <c r="F228" s="175"/>
      <c r="G228" s="176"/>
      <c r="H228" s="177" t="s">
        <v>16</v>
      </c>
      <c r="I228" s="198">
        <f ca="1">กำแพงเพชร!I228+เชียงราย!I228+เชียงใหม่!I228+ตาก!I228+นครสวรรค์!I228+น่าน!I228+พะเยา!I228+พิจิตร!I228+พิษณุโลก!I228+เพชรบูรณ์!I228+แพร่!I228+แม่ฮ่องสอน!I228+ลำปาง!I228+ลำพูน!I228+สุโขทัย!I228+อุตรดิตถ์!I228+อุทัยธานี!I228</f>
        <v>6310</v>
      </c>
      <c r="J228" s="198">
        <f ca="1">กำแพงเพชร!J228+เชียงราย!J228+เชียงใหม่!J228+ตาก!J228+นครสวรรค์!J228+น่าน!J228+พะเยา!J228+พิจิตร!J228+พิษณุโลก!J228+เพชรบูรณ์!J228+แพร่!J228+แม่ฮ่องสอน!J228+ลำปาง!J228+ลำพูน!J228+สุโขทัย!J228+อุตรดิตถ์!J228+อุทัยธานี!J228</f>
        <v>220</v>
      </c>
      <c r="K228" s="179">
        <f ca="1">IF(I228&gt;0,J228*100/I228,0)</f>
        <v>3.4865293185419968</v>
      </c>
      <c r="L228" s="180">
        <f ca="1">กำแพงเพชร!L228+เชียงราย!L228+เชียงใหม่!L228+ตาก!L228+นครสวรรค์!L228+น่าน!L228+พะเยา!L228+พิจิตร!L228+พิษณุโลก!L228+เพชรบูรณ์!L228+แพร่!L228+แม่ฮ่องสอน!L228+ลำปาง!L228+ลำพูน!L228+สุโขทัย!L228+อุตรดิตถ์!L228+อุทัยธานี!L228</f>
        <v>16835290</v>
      </c>
      <c r="M228" s="180">
        <f>กำแพงเพชร!M228+เชียงราย!M228+เชียงใหม่!M228+ตาก!M228+นครสวรรค์!M228+น่าน!M228+พะเยา!M228+พิจิตร!M228+พิษณุโลก!M228+เพชรบูรณ์!M228+แพร่!M228+แม่ฮ่องสอน!M228+ลำปาง!M228+ลำพูน!M228+สุโขทัย!M228+อุตรดิตถ์!M228+อุทัยธานี!M228</f>
        <v>1215948.98</v>
      </c>
      <c r="N228" s="179">
        <f ca="1">IF(L228&gt;0,M228*100/L228,0)</f>
        <v>7.2226197469719855</v>
      </c>
    </row>
    <row r="229" spans="1:14" ht="21.75" customHeight="1" x14ac:dyDescent="0.4">
      <c r="A229" s="42"/>
      <c r="B229" s="43"/>
      <c r="C229" s="43" t="s">
        <v>17</v>
      </c>
      <c r="D229" s="44" t="s">
        <v>18</v>
      </c>
      <c r="E229" s="45"/>
      <c r="F229" s="45"/>
      <c r="G229" s="46" t="s">
        <v>19</v>
      </c>
      <c r="H229" s="47" t="s">
        <v>20</v>
      </c>
      <c r="I229" s="48" t="s">
        <v>21</v>
      </c>
      <c r="J229" s="48"/>
      <c r="K229" s="49"/>
      <c r="L229" s="50">
        <f>กำแพงเพชร!L229+เชียงราย!L229+เชียงใหม่!L229+ตาก!L229+นครสวรรค์!L229+น่าน!L229+พะเยา!L229+พิจิตร!L229+พิษณุโลก!L229+เพชรบูรณ์!L229+แพร่!L229+แม่ฮ่องสอน!L229+ลำปาง!L229+ลำพูน!L229+สุโขทัย!L229+อุตรดิตถ์!L229+อุทัยธานี!L229</f>
        <v>0</v>
      </c>
      <c r="M229" s="53">
        <f>กำแพงเพชร!M229+เชียงราย!M229+เชียงใหม่!M229+ตาก!M229+นครสวรรค์!M229+น่าน!M229+พะเยา!M229+พิจิตร!M229+พิษณุโลก!M229+เพชรบูรณ์!M229+แพร่!M229+แม่ฮ่องสอน!M229+ลำปาง!M229+ลำพูน!M229+สุโขทัย!M229+อุตรดิตถ์!M229+อุทัยธานี!M229</f>
        <v>0</v>
      </c>
      <c r="N229" s="53">
        <f t="shared" ref="N229:N232" si="21">+IF(L229&gt;0,M229*100/L229,0)</f>
        <v>0</v>
      </c>
    </row>
    <row r="230" spans="1:14" ht="21.75" customHeight="1" x14ac:dyDescent="0.4">
      <c r="A230" s="42"/>
      <c r="B230" s="43"/>
      <c r="C230" s="43"/>
      <c r="D230" s="51"/>
      <c r="E230" s="45"/>
      <c r="F230" s="45" t="s">
        <v>21</v>
      </c>
      <c r="G230" s="46" t="s">
        <v>22</v>
      </c>
      <c r="H230" s="47" t="s">
        <v>20</v>
      </c>
      <c r="I230" s="48"/>
      <c r="J230" s="48"/>
      <c r="K230" s="49"/>
      <c r="L230" s="50">
        <f ca="1">กำแพงเพชร!L230+เชียงราย!L230+เชียงใหม่!L230+ตาก!L230+นครสวรรค์!L230+น่าน!L230+พะเยา!L230+พิจิตร!L230+พิษณุโลก!L230+เพชรบูรณ์!L230+แพร่!L230+แม่ฮ่องสอน!L230+ลำปาง!L230+ลำพูน!L230+สุโขทัย!L230+อุตรดิตถ์!L230+อุทัยธานี!L230</f>
        <v>16835290</v>
      </c>
      <c r="M230" s="53">
        <f>กำแพงเพชร!M230+เชียงราย!M230+เชียงใหม่!M230+ตาก!M230+นครสวรรค์!M230+น่าน!M230+พะเยา!M230+พิจิตร!M230+พิษณุโลก!M230+เพชรบูรณ์!M230+แพร่!M230+แม่ฮ่องสอน!M230+ลำปาง!M230+ลำพูน!M230+สุโขทัย!M230+อุตรดิตถ์!M230+อุทัยธานี!M230</f>
        <v>1215948.98</v>
      </c>
      <c r="N230" s="53">
        <f t="shared" ca="1" si="21"/>
        <v>7.2226197469719855</v>
      </c>
    </row>
    <row r="231" spans="1:14" ht="21.75" customHeight="1" x14ac:dyDescent="0.4">
      <c r="A231" s="42"/>
      <c r="B231" s="43"/>
      <c r="C231" s="43"/>
      <c r="D231" s="51"/>
      <c r="E231" s="45"/>
      <c r="F231" s="45"/>
      <c r="G231" s="52" t="s">
        <v>23</v>
      </c>
      <c r="H231" s="47" t="s">
        <v>20</v>
      </c>
      <c r="I231" s="48"/>
      <c r="J231" s="48"/>
      <c r="K231" s="49"/>
      <c r="L231" s="53">
        <f ca="1">กำแพงเพชร!L231+เชียงราย!L231+เชียงใหม่!L231+ตาก!L231+นครสวรรค์!L231+น่าน!L231+พะเยา!L231+พิจิตร!L231+พิษณุโลก!L231+เพชรบูรณ์!L231+แพร่!L231+แม่ฮ่องสอน!L231+ลำปาง!L231+ลำพูน!L231+สุโขทัย!L231+อุตรดิตถ์!L231+อุทัยธานี!L231</f>
        <v>8633300</v>
      </c>
      <c r="M231" s="54">
        <f>กำแพงเพชร!M231+เชียงราย!M231+เชียงใหม่!M231+ตาก!M231+นครสวรรค์!M231+น่าน!M231+พะเยา!M231+พิจิตร!M231+พิษณุโลก!M231+เพชรบูรณ์!M231+แพร่!M231+แม่ฮ่องสอน!M231+ลำปาง!M231+ลำพูน!M231+สุโขทัย!M231+อุตรดิตถ์!M231+อุทัยธานี!M231</f>
        <v>616886.97</v>
      </c>
      <c r="N231" s="53">
        <f t="shared" ca="1" si="21"/>
        <v>7.1454365074768624</v>
      </c>
    </row>
    <row r="232" spans="1:14" ht="21.75" customHeight="1" x14ac:dyDescent="0.4">
      <c r="A232" s="42"/>
      <c r="B232" s="43"/>
      <c r="C232" s="43"/>
      <c r="D232" s="51"/>
      <c r="E232" s="45"/>
      <c r="F232" s="45"/>
      <c r="G232" s="52" t="s">
        <v>24</v>
      </c>
      <c r="H232" s="47" t="s">
        <v>20</v>
      </c>
      <c r="I232" s="48"/>
      <c r="J232" s="48"/>
      <c r="K232" s="49"/>
      <c r="L232" s="53">
        <f ca="1">กำแพงเพชร!L232+เชียงราย!L232+เชียงใหม่!L232+ตาก!L232+นครสวรรค์!L232+น่าน!L232+พะเยา!L232+พิจิตร!L232+พิษณุโลก!L232+เพชรบูรณ์!L232+แพร่!L232+แม่ฮ่องสอน!L232+ลำปาง!L232+ลำพูน!L232+สุโขทัย!L232+อุตรดิตถ์!L232+อุทัยธานี!L232</f>
        <v>8201990</v>
      </c>
      <c r="M232" s="54">
        <f>กำแพงเพชร!M232+เชียงราย!M232+เชียงใหม่!M232+ตาก!M232+นครสวรรค์!M232+น่าน!M232+พะเยา!M232+พิจิตร!M232+พิษณุโลก!M232+เพชรบูรณ์!M232+แพร่!M232+แม่ฮ่องสอน!M232+ลำปาง!M232+ลำพูน!M232+สุโขทัย!M232+อุตรดิตถ์!M232+อุทัยธานี!M232</f>
        <v>599062.00999999989</v>
      </c>
      <c r="N232" s="53">
        <f t="shared" ca="1" si="21"/>
        <v>7.303861745747068</v>
      </c>
    </row>
    <row r="233" spans="1:14" ht="21.75" customHeight="1" x14ac:dyDescent="0.4">
      <c r="A233" s="55"/>
      <c r="B233" s="155"/>
      <c r="C233" s="199" t="s">
        <v>101</v>
      </c>
      <c r="D233" s="75"/>
      <c r="E233" s="75"/>
      <c r="F233" s="75"/>
      <c r="G233" s="76"/>
      <c r="H233" s="60"/>
      <c r="I233" s="200"/>
      <c r="J233" s="200"/>
      <c r="K233" s="201"/>
      <c r="L233" s="61"/>
      <c r="M233" s="61"/>
      <c r="N233" s="202"/>
    </row>
    <row r="234" spans="1:14" ht="21.75" customHeight="1" x14ac:dyDescent="0.4">
      <c r="A234" s="55"/>
      <c r="B234" s="155"/>
      <c r="C234" s="56"/>
      <c r="D234" s="75"/>
      <c r="E234" s="74" t="s">
        <v>102</v>
      </c>
      <c r="F234" s="75"/>
      <c r="G234" s="76"/>
      <c r="H234" s="60" t="s">
        <v>16</v>
      </c>
      <c r="I234" s="200">
        <f>กำแพงเพชร!I234+เชียงราย!I234+เชียงใหม่!I234+ตาก!I234+นครสวรรค์!I234+น่าน!I234+พะเยา!I234+พิจิตร!I234+พิษณุโลก!I234+เพชรบูรณ์!I234+แพร่!I234+แม่ฮ่องสอน!I234+ลำปาง!I234+ลำพูน!I234+สุโขทัย!I234+อุตรดิตถ์!I234+อุทัยธานี!I234</f>
        <v>0</v>
      </c>
      <c r="J234" s="67">
        <f ca="1">กำแพงเพชร!J234+เชียงราย!J234+เชียงใหม่!J234+ตาก!J234+นครสวรรค์!J234+น่าน!J234+พะเยา!J234+พิจิตร!J234+พิษณุโลก!J234+เพชรบูรณ์!J234+แพร่!J234+แม่ฮ่องสอน!J234+ลำปาง!J234+ลำพูน!J234+สุโขทัย!J234+อุตรดิตถ์!J234+อุทัยธานี!J234</f>
        <v>410</v>
      </c>
      <c r="K234" s="201">
        <f t="shared" ref="K234:K241" si="22">IF(I234&gt;0,J234*100/I234,0)</f>
        <v>0</v>
      </c>
      <c r="L234" s="61"/>
      <c r="M234" s="61"/>
      <c r="N234" s="202"/>
    </row>
    <row r="235" spans="1:14" ht="21.75" customHeight="1" x14ac:dyDescent="0.4">
      <c r="A235" s="55"/>
      <c r="B235" s="155"/>
      <c r="C235" s="56"/>
      <c r="D235" s="75"/>
      <c r="E235" s="75"/>
      <c r="F235" s="75"/>
      <c r="G235" s="76"/>
      <c r="H235" s="60" t="s">
        <v>103</v>
      </c>
      <c r="I235" s="200">
        <f ca="1">กำแพงเพชร!I235+เชียงราย!I235+เชียงใหม่!I235+ตาก!I235+นครสวรรค์!I235+น่าน!I235+พะเยา!I235+พิจิตร!I235+พิษณุโลก!I235+เพชรบูรณ์!I235+แพร่!I235+แม่ฮ่องสอน!I235+ลำปาง!I235+ลำพูน!I235+สุโขทัย!I235+อุตรดิตถ์!I235+อุทัยธานี!I235</f>
        <v>41170</v>
      </c>
      <c r="J235" s="67">
        <f ca="1">กำแพงเพชร!J235+เชียงราย!J235+เชียงใหม่!J235+ตาก!J235+นครสวรรค์!J235+น่าน!J235+พะเยา!J235+พิจิตร!J235+พิษณุโลก!J235+เพชรบูรณ์!J235+แพร่!J235+แม่ฮ่องสอน!J235+ลำปาง!J235+ลำพูน!J235+สุโขทัย!J235+อุตรดิตถ์!J235+อุทัยธานี!J235</f>
        <v>2965.3099999999977</v>
      </c>
      <c r="K235" s="201">
        <f t="shared" ca="1" si="22"/>
        <v>7.2025989798396832</v>
      </c>
      <c r="L235" s="61"/>
      <c r="M235" s="61"/>
      <c r="N235" s="202"/>
    </row>
    <row r="236" spans="1:14" ht="21.75" customHeight="1" x14ac:dyDescent="0.4">
      <c r="A236" s="55"/>
      <c r="B236" s="155"/>
      <c r="C236" s="56"/>
      <c r="D236" s="75"/>
      <c r="E236" s="74" t="s">
        <v>104</v>
      </c>
      <c r="F236" s="75"/>
      <c r="G236" s="76"/>
      <c r="H236" s="60" t="s">
        <v>16</v>
      </c>
      <c r="I236" s="200">
        <f ca="1">กำแพงเพชร!I236+เชียงราย!I236+เชียงใหม่!I236+ตาก!I236+นครสวรรค์!I236+น่าน!I236+พะเยา!I236+พิจิตร!I236+พิษณุโลก!I236+เพชรบูรณ์!I236+แพร่!I236+แม่ฮ่องสอน!I236+ลำปาง!I236+ลำพูน!I236+สุโขทัย!I236+อุตรดิตถ์!I236+อุทัยธานี!I236</f>
        <v>6310</v>
      </c>
      <c r="J236" s="67">
        <f ca="1">กำแพงเพชร!J236+เชียงราย!J236+เชียงใหม่!J236+ตาก!J236+นครสวรรค์!J236+น่าน!J236+พะเยา!J236+พิจิตร!J236+พิษณุโลก!J236+เพชรบูรณ์!J236+แพร่!J236+แม่ฮ่องสอน!J236+ลำปาง!J236+ลำพูน!J236+สุโขทัย!J236+อุตรดิตถ์!J236+อุทัยธานี!J236</f>
        <v>439</v>
      </c>
      <c r="K236" s="201">
        <f t="shared" ca="1" si="22"/>
        <v>6.9572107765451667</v>
      </c>
      <c r="L236" s="61"/>
      <c r="M236" s="61"/>
      <c r="N236" s="202"/>
    </row>
    <row r="237" spans="1:14" ht="21.75" customHeight="1" x14ac:dyDescent="0.4">
      <c r="A237" s="55"/>
      <c r="B237" s="155"/>
      <c r="C237" s="56"/>
      <c r="D237" s="75"/>
      <c r="E237" s="75"/>
      <c r="F237" s="75"/>
      <c r="G237" s="76"/>
      <c r="H237" s="60" t="s">
        <v>103</v>
      </c>
      <c r="I237" s="200">
        <f>กำแพงเพชร!I237+เชียงราย!I237+เชียงใหม่!I237+ตาก!I237+นครสวรรค์!I237+น่าน!I237+พะเยา!I237+พิจิตร!I237+พิษณุโลก!I237+เพชรบูรณ์!I237+แพร่!I237+แม่ฮ่องสอน!I237+ลำปาง!I237+ลำพูน!I237+สุโขทัย!I237+อุตรดิตถ์!I237+อุทัยธานี!I237</f>
        <v>0</v>
      </c>
      <c r="J237" s="67">
        <f ca="1">กำแพงเพชร!J237+เชียงราย!J237+เชียงใหม่!J237+ตาก!J237+นครสวรรค์!J237+น่าน!J237+พะเยา!J237+พิจิตร!J237+พิษณุโลก!J237+เพชรบูรณ์!J237+แพร่!J237+แม่ฮ่องสอน!J237+ลำปาง!J237+ลำพูน!J237+สุโขทัย!J237+อุตรดิตถ์!J237+อุทัยธานี!J237</f>
        <v>4013.63</v>
      </c>
      <c r="K237" s="201">
        <f t="shared" si="22"/>
        <v>0</v>
      </c>
      <c r="L237" s="61"/>
      <c r="M237" s="61"/>
      <c r="N237" s="202"/>
    </row>
    <row r="238" spans="1:14" ht="21.75" customHeight="1" x14ac:dyDescent="0.4">
      <c r="A238" s="55"/>
      <c r="B238" s="155"/>
      <c r="C238" s="56"/>
      <c r="D238" s="75"/>
      <c r="E238" s="74" t="s">
        <v>105</v>
      </c>
      <c r="F238" s="75"/>
      <c r="G238" s="76"/>
      <c r="H238" s="60" t="s">
        <v>16</v>
      </c>
      <c r="I238" s="200">
        <f ca="1">กำแพงเพชร!I238+เชียงราย!I238+เชียงใหม่!I238+ตาก!I238+นครสวรรค์!I238+น่าน!I238+พะเยา!I238+พิจิตร!I238+พิษณุโลก!I238+เพชรบูรณ์!I238+แพร่!I238+แม่ฮ่องสอน!I238+ลำปาง!I238+ลำพูน!I238+สุโขทัย!I238+อุตรดิตถ์!I238+อุทัยธานี!I238</f>
        <v>6310</v>
      </c>
      <c r="J238" s="67">
        <f ca="1">กำแพงเพชร!J238+เชียงราย!J238+เชียงใหม่!J238+ตาก!J238+นครสวรรค์!J238+น่าน!J238+พะเยา!J238+พิจิตร!J238+พิษณุโลก!J238+เพชรบูรณ์!J238+แพร่!J238+แม่ฮ่องสอน!J238+ลำปาง!J238+ลำพูน!J238+สุโขทัย!J238+อุตรดิตถ์!J238+อุทัยธานี!J238</f>
        <v>6</v>
      </c>
      <c r="K238" s="201">
        <f t="shared" ca="1" si="22"/>
        <v>9.5087163232963554E-2</v>
      </c>
      <c r="L238" s="61"/>
      <c r="M238" s="61"/>
      <c r="N238" s="202"/>
    </row>
    <row r="239" spans="1:14" ht="21.75" customHeight="1" x14ac:dyDescent="0.4">
      <c r="A239" s="55"/>
      <c r="B239" s="155"/>
      <c r="C239" s="56"/>
      <c r="D239" s="75"/>
      <c r="E239" s="75"/>
      <c r="F239" s="75"/>
      <c r="G239" s="76"/>
      <c r="H239" s="60" t="s">
        <v>103</v>
      </c>
      <c r="I239" s="200">
        <f>กำแพงเพชร!I239+เชียงราย!I239+เชียงใหม่!I239+ตาก!I239+นครสวรรค์!I239+น่าน!I239+พะเยา!I239+พิจิตร!I239+พิษณุโลก!I239+เพชรบูรณ์!I239+แพร่!I239+แม่ฮ่องสอน!I239+ลำปาง!I239+ลำพูน!I239+สุโขทัย!I239+อุตรดิตถ์!I239+อุทัยธานี!I239</f>
        <v>0</v>
      </c>
      <c r="J239" s="67">
        <f ca="1">กำแพงเพชร!J239+เชียงราย!J239+เชียงใหม่!J239+ตาก!J239+นครสวรรค์!J239+น่าน!J239+พะเยา!J239+พิจิตร!J239+พิษณุโลก!J239+เพชรบูรณ์!J239+แพร่!J239+แม่ฮ่องสอน!J239+ลำปาง!J239+ลำพูน!J239+สุโขทัย!J239+อุตรดิตถ์!J239+อุทัยธานี!J239</f>
        <v>34.57</v>
      </c>
      <c r="K239" s="201">
        <f t="shared" si="22"/>
        <v>0</v>
      </c>
      <c r="L239" s="61"/>
      <c r="M239" s="61"/>
      <c r="N239" s="202"/>
    </row>
    <row r="240" spans="1:14" ht="21.75" customHeight="1" x14ac:dyDescent="0.4">
      <c r="A240" s="55"/>
      <c r="B240" s="155"/>
      <c r="C240" s="56"/>
      <c r="D240" s="75"/>
      <c r="E240" s="74" t="s">
        <v>106</v>
      </c>
      <c r="F240" s="75"/>
      <c r="G240" s="76"/>
      <c r="H240" s="60" t="s">
        <v>16</v>
      </c>
      <c r="I240" s="200">
        <f ca="1">กำแพงเพชร!I240+เชียงราย!I240+เชียงใหม่!I240+ตาก!I240+นครสวรรค์!I240+น่าน!I240+พะเยา!I240+พิจิตร!I240+พิษณุโลก!I240+เพชรบูรณ์!I240+แพร่!I240+แม่ฮ่องสอน!I240+ลำปาง!I240+ลำพูน!I240+สุโขทัย!I240+อุตรดิตถ์!I240+อุทัยธานี!I240</f>
        <v>6310</v>
      </c>
      <c r="J240" s="67">
        <f ca="1">กำแพงเพชร!J240+เชียงราย!J240+เชียงใหม่!J240+ตาก!J240+นครสวรรค์!J240+น่าน!J240+พะเยา!J240+พิจิตร!J240+พิษณุโลก!J240+เพชรบูรณ์!J240+แพร่!J240+แม่ฮ่องสอน!J240+ลำปาง!J240+ลำพูน!J240+สุโขทัย!J240+อุตรดิตถ์!J240+อุทัยธานี!J240</f>
        <v>220</v>
      </c>
      <c r="K240" s="201">
        <f t="shared" ca="1" si="22"/>
        <v>3.4865293185419968</v>
      </c>
      <c r="L240" s="61"/>
      <c r="M240" s="61"/>
      <c r="N240" s="202"/>
    </row>
    <row r="241" spans="1:14" ht="21.75" customHeight="1" x14ac:dyDescent="0.4">
      <c r="A241" s="105"/>
      <c r="B241" s="203"/>
      <c r="C241" s="106"/>
      <c r="D241" s="203"/>
      <c r="E241" s="204"/>
      <c r="F241" s="204"/>
      <c r="G241" s="205"/>
      <c r="H241" s="206" t="s">
        <v>103</v>
      </c>
      <c r="I241" s="207">
        <f>กำแพงเพชร!I241+เชียงราย!I241+เชียงใหม่!I241+ตาก!I241+นครสวรรค์!I241+น่าน!I241+พะเยา!I241+พิจิตร!I241+พิษณุโลก!I241+เพชรบูรณ์!I241+แพร่!I241+แม่ฮ่องสอน!I241+ลำปาง!I241+ลำพูน!I241+สุโขทัย!I241+อุตรดิตถ์!I241+อุทัยธานี!I241</f>
        <v>0</v>
      </c>
      <c r="J241" s="112">
        <f ca="1">กำแพงเพชร!J241+เชียงราย!J241+เชียงใหม่!J241+ตาก!J241+นครสวรรค์!J241+น่าน!J241+พะเยา!J241+พิจิตร!J241+พิษณุโลก!J241+เพชรบูรณ์!J241+แพร่!J241+แม่ฮ่องสอน!J241+ลำปาง!J241+ลำพูน!J241+สุโขทัย!J241+อุตรดิตถ์!J241+อุทัยธานี!J241</f>
        <v>2254.2400000000002</v>
      </c>
      <c r="K241" s="201">
        <f t="shared" si="22"/>
        <v>0</v>
      </c>
      <c r="L241" s="115"/>
      <c r="M241" s="115"/>
      <c r="N241" s="208"/>
    </row>
    <row r="242" spans="1:14" ht="21.75" customHeight="1" x14ac:dyDescent="0.4">
      <c r="A242" s="209" t="s">
        <v>107</v>
      </c>
      <c r="B242" s="210"/>
      <c r="C242" s="210"/>
      <c r="D242" s="210"/>
      <c r="E242" s="210"/>
      <c r="F242" s="210"/>
      <c r="G242" s="211"/>
      <c r="H242" s="212"/>
      <c r="I242" s="213"/>
      <c r="J242" s="213"/>
      <c r="K242" s="214"/>
      <c r="L242" s="214">
        <f ca="1">กำแพงเพชร!L242+เชียงราย!L242+เชียงใหม่!L242+ตาก!L242+นครสวรรค์!L242+น่าน!L242+พะเยา!L242+พิจิตร!L242+พิษณุโลก!L242+เพชรบูรณ์!L242+แพร่!L242+แม่ฮ่องสอน!L242+ลำปาง!L242+ลำพูน!L242+สุโขทัย!L242+อุตรดิตถ์!L242+อุทัยธานี!L242</f>
        <v>39708784</v>
      </c>
      <c r="M242" s="214">
        <f>กำแพงเพชร!M242+เชียงราย!M242+เชียงใหม่!M242+ตาก!M242+นครสวรรค์!M242+น่าน!M242+พะเยา!M242+พิจิตร!M242+พิษณุโลก!M242+เพชรบูรณ์!M242+แพร่!M242+แม่ฮ่องสอน!M242+ลำปาง!M242+ลำพูน!M242+สุโขทัย!M242+อุตรดิตถ์!M242+อุทัยธานี!M242</f>
        <v>1245492.0999999999</v>
      </c>
      <c r="N242" s="214">
        <f ca="1">+IF(L242&gt;0,M242*100/L242,0)</f>
        <v>3.1365657029437108</v>
      </c>
    </row>
    <row r="243" spans="1:14" ht="21.75" customHeight="1" x14ac:dyDescent="0.4">
      <c r="A243" s="215" t="s">
        <v>108</v>
      </c>
      <c r="B243" s="216"/>
      <c r="C243" s="216"/>
      <c r="D243" s="216"/>
      <c r="E243" s="216"/>
      <c r="F243" s="216"/>
      <c r="G243" s="217"/>
      <c r="H243" s="218"/>
      <c r="I243" s="219"/>
      <c r="J243" s="219"/>
      <c r="K243" s="220"/>
      <c r="L243" s="220"/>
      <c r="M243" s="220"/>
      <c r="N243" s="221"/>
    </row>
    <row r="244" spans="1:14" ht="21.75" customHeight="1" x14ac:dyDescent="0.4">
      <c r="A244" s="222"/>
      <c r="B244" s="223">
        <v>1</v>
      </c>
      <c r="C244" s="224" t="s">
        <v>109</v>
      </c>
      <c r="D244" s="224"/>
      <c r="E244" s="224"/>
      <c r="F244" s="224"/>
      <c r="G244" s="225"/>
      <c r="H244" s="226" t="s">
        <v>103</v>
      </c>
      <c r="I244" s="227">
        <f ca="1">กำแพงเพชร!I244+เชียงราย!I244+เชียงใหม่!I244+ตาก!I244+นครสวรรค์!I244+น่าน!I244+พะเยา!I244+พิจิตร!I244+พิษณุโลก!I244+เพชรบูรณ์!I244+แพร่!I244+แม่ฮ่องสอน!I244+ลำปาง!I244+ลำพูน!I244+สุโขทัย!I244+อุตรดิตถ์!I244+อุทัยธานี!I244</f>
        <v>1850</v>
      </c>
      <c r="J244" s="227">
        <f>กำแพงเพชร!J244+เชียงราย!J244+เชียงใหม่!J244+ตาก!J244+นครสวรรค์!J244+น่าน!J244+พะเยา!J244+พิจิตร!J244+พิษณุโลก!J244+เพชรบูรณ์!J244+แพร่!J244+แม่ฮ่องสอน!J244+ลำปาง!J244+ลำพูน!J244+สุโขทัย!J244+อุตรดิตถ์!J244+อุทัยธานี!J244</f>
        <v>0</v>
      </c>
      <c r="K244" s="228">
        <f t="shared" ref="K244:K245" ca="1" si="23">IF(I244&gt;0,J244*100/I244,0)</f>
        <v>0</v>
      </c>
      <c r="L244" s="229">
        <f ca="1">กำแพงเพชร!L244+เชียงราย!L244+เชียงใหม่!L244+ตาก!L244+นครสวรรค์!L244+น่าน!L244+พะเยา!L244+พิจิตร!L244+พิษณุโลก!L244+เพชรบูรณ์!L244+แพร่!L244+แม่ฮ่องสอน!L244+ลำปาง!L244+ลำพูน!L244+สุโขทัย!L244+อุตรดิตถ์!L244+อุทัยธานี!L244</f>
        <v>5304900</v>
      </c>
      <c r="M244" s="229">
        <f>กำแพงเพชร!M244+เชียงราย!M244+เชียงใหม่!M244+ตาก!M244+นครสวรรค์!M244+น่าน!M244+พะเยา!M244+พิจิตร!M244+พิษณุโลก!M244+เพชรบูรณ์!M244+แพร่!M244+แม่ฮ่องสอน!M244+ลำปาง!M244+ลำพูน!M244+สุโขทัย!M244+อุตรดิตถ์!M244+อุทัยธานี!M244</f>
        <v>367938.98000000004</v>
      </c>
      <c r="N244" s="229">
        <f ca="1">+IF(L244&gt;0,M244*100/L244,0)</f>
        <v>6.9358325321872245</v>
      </c>
    </row>
    <row r="245" spans="1:14" ht="21.75" customHeight="1" x14ac:dyDescent="0.4">
      <c r="A245" s="222"/>
      <c r="B245" s="223"/>
      <c r="C245" s="224"/>
      <c r="D245" s="224"/>
      <c r="E245" s="224"/>
      <c r="F245" s="224"/>
      <c r="G245" s="225"/>
      <c r="H245" s="226" t="s">
        <v>16</v>
      </c>
      <c r="I245" s="227">
        <f ca="1">กำแพงเพชร!I245+เชียงราย!I245+เชียงใหม่!I245+ตาก!I245+นครสวรรค์!I245+น่าน!I245+พะเยา!I245+พิจิตร!I245+พิษณุโลก!I245+เพชรบูรณ์!I245+แพร่!I245+แม่ฮ่องสอน!I245+ลำปาง!I245+ลำพูน!I245+สุโขทัย!I245+อุตรดิตถ์!I245+อุทัยธานี!I245</f>
        <v>790</v>
      </c>
      <c r="J245" s="227">
        <f>กำแพงเพชร!J245+เชียงราย!J245+เชียงใหม่!J245+ตาก!J245+นครสวรรค์!J245+น่าน!J245+พะเยา!J245+พิจิตร!J245+พิษณุโลก!J245+เพชรบูรณ์!J245+แพร่!J245+แม่ฮ่องสอน!J245+ลำปาง!J245+ลำพูน!J245+สุโขทัย!J245+อุตรดิตถ์!J245+อุทัยธานี!J245</f>
        <v>0</v>
      </c>
      <c r="K245" s="228">
        <f t="shared" ca="1" si="23"/>
        <v>0</v>
      </c>
      <c r="L245" s="229"/>
      <c r="M245" s="229"/>
      <c r="N245" s="229"/>
    </row>
    <row r="246" spans="1:14" ht="21.75" customHeight="1" x14ac:dyDescent="0.4">
      <c r="A246" s="42"/>
      <c r="B246" s="43"/>
      <c r="C246" s="43" t="s">
        <v>17</v>
      </c>
      <c r="D246" s="44" t="s">
        <v>18</v>
      </c>
      <c r="E246" s="45"/>
      <c r="F246" s="45"/>
      <c r="G246" s="46" t="s">
        <v>19</v>
      </c>
      <c r="H246" s="47" t="s">
        <v>20</v>
      </c>
      <c r="I246" s="48" t="s">
        <v>21</v>
      </c>
      <c r="J246" s="48"/>
      <c r="K246" s="49"/>
      <c r="L246" s="50">
        <f>กำแพงเพชร!L246+เชียงราย!L246+เชียงใหม่!L246+ตาก!L246+นครสวรรค์!L246+น่าน!L246+พะเยา!L246+พิจิตร!L246+พิษณุโลก!L246+เพชรบูรณ์!L246+แพร่!L246+แม่ฮ่องสอน!L246+ลำปาง!L246+ลำพูน!L246+สุโขทัย!L246+อุตรดิตถ์!L246+อุทัยธานี!L246</f>
        <v>0</v>
      </c>
      <c r="M246" s="50">
        <f>กำแพงเพชร!M246+เชียงราย!M246+เชียงใหม่!M246+ตาก!M246+นครสวรรค์!M246+น่าน!M246+พะเยา!M246+พิจิตร!M246+พิษณุโลก!M246+เพชรบูรณ์!M246+แพร่!M246+แม่ฮ่องสอน!M246+ลำปาง!M246+ลำพูน!M246+สุโขทัย!M246+อุตรดิตถ์!M246+อุทัยธานี!M246</f>
        <v>0</v>
      </c>
      <c r="N246" s="50">
        <f t="shared" ref="N246:N249" si="24">+IF(L246&gt;0,M246*100/L246,0)</f>
        <v>0</v>
      </c>
    </row>
    <row r="247" spans="1:14" ht="21.75" customHeight="1" x14ac:dyDescent="0.4">
      <c r="A247" s="42"/>
      <c r="B247" s="43"/>
      <c r="C247" s="43"/>
      <c r="D247" s="51"/>
      <c r="E247" s="45"/>
      <c r="F247" s="45" t="s">
        <v>21</v>
      </c>
      <c r="G247" s="46" t="s">
        <v>22</v>
      </c>
      <c r="H247" s="47" t="s">
        <v>20</v>
      </c>
      <c r="I247" s="48"/>
      <c r="J247" s="48"/>
      <c r="K247" s="49"/>
      <c r="L247" s="50">
        <f ca="1">กำแพงเพชร!L247+เชียงราย!L247+เชียงใหม่!L247+ตาก!L247+นครสวรรค์!L247+น่าน!L247+พะเยา!L247+พิจิตร!L247+พิษณุโลก!L247+เพชรบูรณ์!L247+แพร่!L247+แม่ฮ่องสอน!L247+ลำปาง!L247+ลำพูน!L247+สุโขทัย!L247+อุตรดิตถ์!L247+อุทัยธานี!L247</f>
        <v>5304900</v>
      </c>
      <c r="M247" s="50">
        <f>กำแพงเพชร!M247+เชียงราย!M247+เชียงใหม่!M247+ตาก!M247+นครสวรรค์!M247+น่าน!M247+พะเยา!M247+พิจิตร!M247+พิษณุโลก!M247+เพชรบูรณ์!M247+แพร่!M247+แม่ฮ่องสอน!M247+ลำปาง!M247+ลำพูน!M247+สุโขทัย!M247+อุตรดิตถ์!M247+อุทัยธานี!M247</f>
        <v>367938.98000000004</v>
      </c>
      <c r="N247" s="50">
        <f t="shared" ca="1" si="24"/>
        <v>6.9358325321872245</v>
      </c>
    </row>
    <row r="248" spans="1:14" ht="21.75" customHeight="1" x14ac:dyDescent="0.4">
      <c r="A248" s="42"/>
      <c r="B248" s="43"/>
      <c r="C248" s="43"/>
      <c r="D248" s="51"/>
      <c r="E248" s="45"/>
      <c r="F248" s="45"/>
      <c r="G248" s="52" t="s">
        <v>110</v>
      </c>
      <c r="H248" s="47" t="s">
        <v>20</v>
      </c>
      <c r="I248" s="48"/>
      <c r="J248" s="48"/>
      <c r="K248" s="49"/>
      <c r="L248" s="53">
        <f ca="1">กำแพงเพชร!L248+เชียงราย!L248+เชียงใหม่!L248+ตาก!L248+นครสวรรค์!L248+น่าน!L248+พะเยา!L248+พิจิตร!L248+พิษณุโลก!L248+เพชรบูรณ์!L248+แพร่!L248+แม่ฮ่องสอน!L248+ลำปาง!L248+ลำพูน!L248+สุโขทัย!L248+อุตรดิตถ์!L248+อุทัยธานี!L248</f>
        <v>0</v>
      </c>
      <c r="M248" s="53">
        <f>กำแพงเพชร!M248+เชียงราย!M248+เชียงใหม่!M248+ตาก!M248+นครสวรรค์!M248+น่าน!M248+พะเยา!M248+พิจิตร!M248+พิษณุโลก!M248+เพชรบูรณ์!M248+แพร่!M248+แม่ฮ่องสอน!M248+ลำปาง!M248+ลำพูน!M248+สุโขทัย!M248+อุตรดิตถ์!M248+อุทัยธานี!M248</f>
        <v>0</v>
      </c>
      <c r="N248" s="53">
        <f t="shared" ca="1" si="24"/>
        <v>0</v>
      </c>
    </row>
    <row r="249" spans="1:14" ht="21.75" customHeight="1" x14ac:dyDescent="0.4">
      <c r="A249" s="42"/>
      <c r="B249" s="43"/>
      <c r="C249" s="43"/>
      <c r="D249" s="51"/>
      <c r="E249" s="45"/>
      <c r="F249" s="45"/>
      <c r="G249" s="52" t="s">
        <v>111</v>
      </c>
      <c r="H249" s="47" t="s">
        <v>20</v>
      </c>
      <c r="I249" s="48"/>
      <c r="J249" s="48"/>
      <c r="K249" s="49"/>
      <c r="L249" s="53">
        <f ca="1">กำแพงเพชร!L249+เชียงราย!L249+เชียงใหม่!L249+ตาก!L249+นครสวรรค์!L249+น่าน!L249+พะเยา!L249+พิจิตร!L249+พิษณุโลก!L249+เพชรบูรณ์!L249+แพร่!L249+แม่ฮ่องสอน!L249+ลำปาง!L249+ลำพูน!L249+สุโขทัย!L249+อุตรดิตถ์!L249+อุทัยธานี!L249</f>
        <v>5304900</v>
      </c>
      <c r="M249" s="53">
        <f>กำแพงเพชร!M249+เชียงราย!M249+เชียงใหม่!M249+ตาก!M249+นครสวรรค์!M249+น่าน!M249+พะเยา!M249+พิจิตร!M249+พิษณุโลก!M249+เพชรบูรณ์!M249+แพร่!M249+แม่ฮ่องสอน!M249+ลำปาง!M249+ลำพูน!M249+สุโขทัย!M249+อุตรดิตถ์!M249+อุทัยธานี!M249</f>
        <v>367938.98000000004</v>
      </c>
      <c r="N249" s="53">
        <f t="shared" ca="1" si="24"/>
        <v>6.9358325321872245</v>
      </c>
    </row>
    <row r="250" spans="1:14" ht="21.75" customHeight="1" x14ac:dyDescent="0.4">
      <c r="A250" s="230"/>
      <c r="B250" s="231"/>
      <c r="C250" s="43"/>
      <c r="D250" s="232"/>
      <c r="E250" s="45"/>
      <c r="F250" s="45"/>
      <c r="G250" s="46" t="s">
        <v>112</v>
      </c>
      <c r="H250" s="47" t="s">
        <v>20</v>
      </c>
      <c r="I250" s="67"/>
      <c r="J250" s="67"/>
      <c r="K250" s="233"/>
      <c r="L250" s="53"/>
      <c r="M250" s="54">
        <f>กำแพงเพชร!M250+เชียงราย!M250+เชียงใหม่!M250+ตาก!M250+นครสวรรค์!M250+น่าน!M250+พะเยา!M250+พิจิตร!M250+พิษณุโลก!M250+เพชรบูรณ์!M250+แพร่!M250+แม่ฮ่องสอน!M250+ลำปาง!M250+ลำพูน!M250+สุโขทัย!M250+อุตรดิตถ์!M250+อุทัยธานี!M250</f>
        <v>197202</v>
      </c>
      <c r="N250" s="53"/>
    </row>
    <row r="251" spans="1:14" ht="21.75" customHeight="1" x14ac:dyDescent="0.4">
      <c r="A251" s="230"/>
      <c r="B251" s="231"/>
      <c r="C251" s="43"/>
      <c r="D251" s="232"/>
      <c r="E251" s="45"/>
      <c r="F251" s="45"/>
      <c r="G251" s="46" t="s">
        <v>113</v>
      </c>
      <c r="H251" s="47" t="s">
        <v>20</v>
      </c>
      <c r="I251" s="67"/>
      <c r="J251" s="67"/>
      <c r="K251" s="233"/>
      <c r="L251" s="53"/>
      <c r="M251" s="54">
        <f>กำแพงเพชร!M251+เชียงราย!M251+เชียงใหม่!M251+ตาก!M251+นครสวรรค์!M251+น่าน!M251+พะเยา!M251+พิจิตร!M251+พิษณุโลก!M251+เพชรบูรณ์!M251+แพร่!M251+แม่ฮ่องสอน!M251+ลำปาง!M251+ลำพูน!M251+สุโขทัย!M251+อุตรดิตถ์!M251+อุทัยธานี!M251</f>
        <v>0</v>
      </c>
      <c r="N251" s="53"/>
    </row>
    <row r="252" spans="1:14" ht="21.75" customHeight="1" x14ac:dyDescent="0.4">
      <c r="A252" s="230"/>
      <c r="B252" s="231"/>
      <c r="C252" s="43"/>
      <c r="D252" s="232"/>
      <c r="E252" s="45"/>
      <c r="F252" s="45"/>
      <c r="G252" s="46" t="s">
        <v>114</v>
      </c>
      <c r="H252" s="47" t="s">
        <v>20</v>
      </c>
      <c r="I252" s="67"/>
      <c r="J252" s="67"/>
      <c r="K252" s="233"/>
      <c r="L252" s="53"/>
      <c r="M252" s="54">
        <f>กำแพงเพชร!M252+เชียงราย!M252+เชียงใหม่!M252+ตาก!M252+นครสวรรค์!M252+น่าน!M252+พะเยา!M252+พิจิตร!M252+พิษณุโลก!M252+เพชรบูรณ์!M252+แพร่!M252+แม่ฮ่องสอน!M252+ลำปาง!M252+ลำพูน!M252+สุโขทัย!M252+อุตรดิตถ์!M252+อุทัยธานี!M252</f>
        <v>155636.98000000001</v>
      </c>
      <c r="N252" s="53"/>
    </row>
    <row r="253" spans="1:14" ht="21.75" customHeight="1" x14ac:dyDescent="0.4">
      <c r="A253" s="230"/>
      <c r="B253" s="231"/>
      <c r="C253" s="43"/>
      <c r="D253" s="232"/>
      <c r="E253" s="45"/>
      <c r="F253" s="45"/>
      <c r="G253" s="46" t="s">
        <v>115</v>
      </c>
      <c r="H253" s="47" t="s">
        <v>20</v>
      </c>
      <c r="I253" s="67"/>
      <c r="J253" s="67"/>
      <c r="K253" s="233"/>
      <c r="L253" s="53"/>
      <c r="M253" s="54">
        <f>กำแพงเพชร!M253+เชียงราย!M253+เชียงใหม่!M253+ตาก!M253+นครสวรรค์!M253+น่าน!M253+พะเยา!M253+พิจิตร!M253+พิษณุโลก!M253+เพชรบูรณ์!M253+แพร่!M253+แม่ฮ่องสอน!M253+ลำปาง!M253+ลำพูน!M253+สุโขทัย!M253+อุตรดิตถ์!M253+อุทัยธานี!M253</f>
        <v>15100</v>
      </c>
      <c r="N253" s="53"/>
    </row>
    <row r="254" spans="1:14" ht="21.75" customHeight="1" x14ac:dyDescent="0.4">
      <c r="A254" s="55"/>
      <c r="B254" s="56"/>
      <c r="C254" s="43" t="s">
        <v>17</v>
      </c>
      <c r="D254" s="57" t="s">
        <v>25</v>
      </c>
      <c r="E254" s="58"/>
      <c r="F254" s="58"/>
      <c r="G254" s="59"/>
      <c r="H254" s="60"/>
      <c r="I254" s="48"/>
      <c r="J254" s="48"/>
      <c r="K254" s="49"/>
      <c r="L254" s="61"/>
      <c r="M254" s="61"/>
      <c r="N254" s="61"/>
    </row>
    <row r="255" spans="1:14" ht="21.75" customHeight="1" x14ac:dyDescent="0.4">
      <c r="A255" s="55"/>
      <c r="B255" s="56"/>
      <c r="C255" s="56"/>
      <c r="D255" s="62">
        <v>1</v>
      </c>
      <c r="E255" s="63" t="s">
        <v>26</v>
      </c>
      <c r="F255" s="64"/>
      <c r="G255" s="65"/>
      <c r="H255" s="66"/>
      <c r="I255" s="67"/>
      <c r="J255" s="68">
        <f>กำแพงเพชร!J255+เชียงราย!J255+เชียงใหม่!J255+ตาก!J255+นครสวรรค์!J255+น่าน!J255+พะเยา!J255+พิจิตร!J255+พิษณุโลก!J255+เพชรบูรณ์!J255+แพร่!J255+แม่ฮ่องสอน!J255+ลำปาง!J255+ลำพูน!J255+สุโขทัย!J255+อุตรดิตถ์!J255+อุทัยธานี!J255</f>
        <v>0</v>
      </c>
      <c r="K255" s="49"/>
      <c r="L255" s="61"/>
      <c r="M255" s="61"/>
      <c r="N255" s="61"/>
    </row>
    <row r="256" spans="1:14" ht="21.75" customHeight="1" x14ac:dyDescent="0.4">
      <c r="A256" s="55"/>
      <c r="B256" s="56"/>
      <c r="C256" s="56"/>
      <c r="D256" s="69">
        <v>2</v>
      </c>
      <c r="E256" s="70" t="s">
        <v>27</v>
      </c>
      <c r="F256" s="71"/>
      <c r="G256" s="72"/>
      <c r="H256" s="66"/>
      <c r="I256" s="67"/>
      <c r="J256" s="68">
        <f>กำแพงเพชร!J256+เชียงราย!J256+เชียงใหม่!J256+ตาก!J256+นครสวรรค์!J256+น่าน!J256+พะเยา!J256+พิจิตร!J256+พิษณุโลก!J256+เพชรบูรณ์!J256+แพร่!J256+แม่ฮ่องสอน!J256+ลำปาง!J256+ลำพูน!J256+สุโขทัย!J256+อุตรดิตถ์!J256+อุทัยธานี!J256</f>
        <v>12</v>
      </c>
      <c r="K256" s="49"/>
      <c r="L256" s="61" t="s">
        <v>21</v>
      </c>
      <c r="M256" s="61" t="s">
        <v>21</v>
      </c>
      <c r="N256" s="61"/>
    </row>
    <row r="257" spans="1:14" ht="21.75" customHeight="1" x14ac:dyDescent="0.4">
      <c r="A257" s="55"/>
      <c r="B257" s="56"/>
      <c r="C257" s="56"/>
      <c r="D257" s="73"/>
      <c r="E257" s="74" t="s">
        <v>28</v>
      </c>
      <c r="F257" s="75"/>
      <c r="G257" s="76"/>
      <c r="H257" s="66"/>
      <c r="I257" s="67"/>
      <c r="J257" s="68">
        <f>กำแพงเพชร!J257+เชียงราย!J257+เชียงใหม่!J257+ตาก!J257+นครสวรรค์!J257+น่าน!J257+พะเยา!J257+พิจิตร!J257+พิษณุโลก!J257+เพชรบูรณ์!J257+แพร่!J257+แม่ฮ่องสอน!J257+ลำปาง!J257+ลำพูน!J257+สุโขทัย!J257+อุตรดิตถ์!J257+อุทัยธานี!J257</f>
        <v>11</v>
      </c>
      <c r="K257" s="49"/>
      <c r="L257" s="61"/>
      <c r="M257" s="61"/>
      <c r="N257" s="61"/>
    </row>
    <row r="258" spans="1:14" ht="21.75" customHeight="1" x14ac:dyDescent="0.4">
      <c r="A258" s="55"/>
      <c r="B258" s="56"/>
      <c r="C258" s="56"/>
      <c r="D258" s="73"/>
      <c r="E258" s="74" t="s">
        <v>29</v>
      </c>
      <c r="F258" s="75"/>
      <c r="G258" s="76"/>
      <c r="H258" s="66"/>
      <c r="I258" s="67"/>
      <c r="J258" s="68">
        <f>กำแพงเพชร!J258+เชียงราย!J258+เชียงใหม่!J258+ตาก!J258+นครสวรรค์!J258+น่าน!J258+พะเยา!J258+พิจิตร!J258+พิษณุโลก!J258+เพชรบูรณ์!J258+แพร่!J258+แม่ฮ่องสอน!J258+ลำปาง!J258+ลำพูน!J258+สุโขทัย!J258+อุตรดิตถ์!J258+อุทัยธานี!J258</f>
        <v>6</v>
      </c>
      <c r="K258" s="49"/>
      <c r="L258" s="61"/>
      <c r="M258" s="61"/>
      <c r="N258" s="61"/>
    </row>
    <row r="259" spans="1:14" ht="21.75" customHeight="1" x14ac:dyDescent="0.4">
      <c r="A259" s="55"/>
      <c r="B259" s="56"/>
      <c r="C259" s="56"/>
      <c r="D259" s="73"/>
      <c r="E259" s="77"/>
      <c r="F259" s="74" t="s">
        <v>50</v>
      </c>
      <c r="G259" s="76"/>
      <c r="H259" s="60"/>
      <c r="I259" s="67"/>
      <c r="J259" s="67">
        <f>กำแพงเพชร!J259+เชียงราย!J259+เชียงใหม่!J259+ตาก!J259+นครสวรรค์!J259+น่าน!J259+พะเยา!J259+พิจิตร!J259+พิษณุโลก!J259+เพชรบูรณ์!J259+แพร่!J259+แม่ฮ่องสอน!J259+ลำปาง!J259+ลำพูน!J259+สุโขทัย!J259+อุตรดิตถ์!J259+อุทัยธานี!J259</f>
        <v>0</v>
      </c>
      <c r="K259" s="49"/>
      <c r="L259" s="61"/>
      <c r="M259" s="61"/>
      <c r="N259" s="61"/>
    </row>
    <row r="260" spans="1:14" ht="21.75" hidden="1" customHeight="1" x14ac:dyDescent="0.4">
      <c r="A260" s="55"/>
      <c r="B260" s="56"/>
      <c r="C260" s="56"/>
      <c r="D260" s="73"/>
      <c r="E260" s="77"/>
      <c r="F260" s="75"/>
      <c r="G260" s="99" t="s">
        <v>116</v>
      </c>
      <c r="H260" s="60" t="s">
        <v>16</v>
      </c>
      <c r="I260" s="67">
        <f ca="1">กำแพงเพชร!I260+เชียงราย!I260+เชียงใหม่!I260+ตาก!I260+นครสวรรค์!I260+น่าน!I260+พะเยา!I260+พิจิตร!I260+พิษณุโลก!I260+เพชรบูรณ์!I260+แพร่!I260+แม่ฮ่องสอน!I260+ลำปาง!I260+ลำพูน!I260+สุโขทัย!I260+อุตรดิตถ์!I260+อุทัยธานี!I260</f>
        <v>0</v>
      </c>
      <c r="J260" s="68">
        <f>กำแพงเพชร!J260+เชียงราย!J260+เชียงใหม่!J260+ตาก!J260+นครสวรรค์!J260+น่าน!J260+พะเยา!J260+พิจิตร!J260+พิษณุโลก!J260+เพชรบูรณ์!J260+แพร่!J260+แม่ฮ่องสอน!J260+ลำปาง!J260+ลำพูน!J260+สุโขทัย!J260+อุตรดิตถ์!J260+อุทัยธานี!J260</f>
        <v>0</v>
      </c>
      <c r="K260" s="49">
        <f ca="1">IF(I260&gt;0,J260*100/I260,0)</f>
        <v>0</v>
      </c>
      <c r="L260" s="61"/>
      <c r="M260" s="61"/>
      <c r="N260" s="61"/>
    </row>
    <row r="261" spans="1:14" ht="21.75" hidden="1" customHeight="1" x14ac:dyDescent="0.4">
      <c r="A261" s="55"/>
      <c r="B261" s="56"/>
      <c r="C261" s="56"/>
      <c r="D261" s="73"/>
      <c r="E261" s="77"/>
      <c r="F261" s="75"/>
      <c r="G261" s="76" t="s">
        <v>117</v>
      </c>
      <c r="H261" s="60"/>
      <c r="I261" s="48"/>
      <c r="J261" s="67"/>
      <c r="K261" s="49"/>
      <c r="L261" s="61"/>
      <c r="M261" s="61"/>
      <c r="N261" s="61"/>
    </row>
    <row r="262" spans="1:14" ht="21.75" hidden="1" customHeight="1" x14ac:dyDescent="0.4">
      <c r="A262" s="55"/>
      <c r="B262" s="56"/>
      <c r="C262" s="56"/>
      <c r="D262" s="73"/>
      <c r="E262" s="77"/>
      <c r="F262" s="75"/>
      <c r="G262" s="99" t="s">
        <v>118</v>
      </c>
      <c r="H262" s="66" t="s">
        <v>103</v>
      </c>
      <c r="I262" s="67">
        <f ca="1">กำแพงเพชร!I262+เชียงราย!I262+เชียงใหม่!I262+ตาก!I262+นครสวรรค์!I262+น่าน!I262+พะเยา!I262+พิจิตร!I262+พิษณุโลก!I262+เพชรบูรณ์!I262+แพร่!I262+แม่ฮ่องสอน!I262+ลำปาง!I262+ลำพูน!I262+สุโขทัย!I262+อุตรดิตถ์!I262+อุทัยธานี!I262</f>
        <v>1850</v>
      </c>
      <c r="J262" s="67">
        <f>กำแพงเพชร!J262+เชียงราย!J262+เชียงใหม่!J262+ตาก!J262+นครสวรรค์!J262+น่าน!J262+พะเยา!J262+พิจิตร!J262+พิษณุโลก!J262+เพชรบูรณ์!J262+แพร่!J262+แม่ฮ่องสอน!J262+ลำปาง!J262+ลำพูน!J262+สุโขทัย!J262+อุตรดิตถ์!J262+อุทัยธานี!J262</f>
        <v>0</v>
      </c>
      <c r="K262" s="49">
        <f t="shared" ref="K262:K268" ca="1" si="25">IF(I262&gt;0,J262*100/I262,0)</f>
        <v>0</v>
      </c>
      <c r="L262" s="61"/>
      <c r="M262" s="61"/>
      <c r="N262" s="61"/>
    </row>
    <row r="263" spans="1:14" ht="21.75" customHeight="1" x14ac:dyDescent="0.4">
      <c r="A263" s="55"/>
      <c r="B263" s="56"/>
      <c r="C263" s="56"/>
      <c r="D263" s="73"/>
      <c r="E263" s="77"/>
      <c r="F263" s="99" t="s">
        <v>119</v>
      </c>
      <c r="G263" s="76"/>
      <c r="H263" s="66" t="s">
        <v>16</v>
      </c>
      <c r="I263" s="67">
        <f ca="1">กำแพงเพชร!I263+เชียงราย!I263+เชียงใหม่!I263+ตาก!I263+นครสวรรค์!I263+น่าน!I263+พะเยา!I263+พิจิตร!I263+พิษณุโลก!I263+เพชรบูรณ์!I263+แพร่!I263+แม่ฮ่องสอน!I263+ลำปาง!I263+ลำพูน!I263+สุโขทัย!I263+อุตรดิตถ์!I263+อุทัยธานี!I263</f>
        <v>790</v>
      </c>
      <c r="J263" s="67">
        <f>กำแพงเพชร!J263+เชียงราย!J263+เชียงใหม่!J263+ตาก!J263+นครสวรรค์!J263+น่าน!J263+พะเยา!J263+พิจิตร!J263+พิษณุโลก!J263+เพชรบูรณ์!J263+แพร่!J263+แม่ฮ่องสอน!J263+ลำปาง!J263+ลำพูน!J263+สุโขทัย!J263+อุตรดิตถ์!J263+อุทัยธานี!J263</f>
        <v>0</v>
      </c>
      <c r="K263" s="49">
        <f t="shared" ca="1" si="25"/>
        <v>0</v>
      </c>
      <c r="L263" s="61"/>
      <c r="M263" s="61"/>
      <c r="N263" s="61"/>
    </row>
    <row r="264" spans="1:14" ht="21.75" hidden="1" customHeight="1" x14ac:dyDescent="0.4">
      <c r="A264" s="55"/>
      <c r="B264" s="56"/>
      <c r="C264" s="56"/>
      <c r="D264" s="73"/>
      <c r="E264" s="77"/>
      <c r="F264" s="75"/>
      <c r="H264" s="60" t="s">
        <v>103</v>
      </c>
      <c r="I264" s="48">
        <f ca="1">กำแพงเพชร!I264+เชียงราย!I264+เชียงใหม่!I264+ตาก!I264+นครสวรรค์!I264+น่าน!I264+พะเยา!I264+พิจิตร!I264+พิษณุโลก!I264+เพชรบูรณ์!I264+แพร่!I264+แม่ฮ่องสอน!I264+ลำปาง!I264+ลำพูน!I264+สุโขทัย!I264+อุตรดิตถ์!I264+อุทัยธานี!I264</f>
        <v>1082</v>
      </c>
      <c r="J264" s="68">
        <f>กำแพงเพชร!J264+เชียงราย!J264+เชียงใหม่!J264+ตาก!J264+นครสวรรค์!J264+น่าน!J264+พะเยา!J264+พิจิตร!J264+พิษณุโลก!J264+เพชรบูรณ์!J264+แพร่!J264+แม่ฮ่องสอน!J264+ลำปาง!J264+ลำพูน!J264+สุโขทัย!J264+อุตรดิตถ์!J264+อุทัยธานี!J264</f>
        <v>0</v>
      </c>
      <c r="K264" s="49">
        <f t="shared" ca="1" si="25"/>
        <v>0</v>
      </c>
      <c r="L264" s="61"/>
      <c r="M264" s="61"/>
      <c r="N264" s="61"/>
    </row>
    <row r="265" spans="1:14" ht="21.75" customHeight="1" x14ac:dyDescent="0.4">
      <c r="A265" s="55"/>
      <c r="B265" s="56"/>
      <c r="C265" s="56"/>
      <c r="D265" s="73"/>
      <c r="E265" s="77"/>
      <c r="F265" s="75"/>
      <c r="G265" s="76" t="s">
        <v>120</v>
      </c>
      <c r="H265" s="60" t="s">
        <v>16</v>
      </c>
      <c r="I265" s="48">
        <f ca="1">กำแพงเพชร!I265+เชียงราย!I265+เชียงใหม่!I265+ตาก!I265+นครสวรรค์!I265+น่าน!I265+พะเยา!I265+พิจิตร!I265+พิษณุโลก!I265+เพชรบูรณ์!I265+แพร่!I265+แม่ฮ่องสอน!I265+ลำปาง!I265+ลำพูน!I265+สุโขทัย!I265+อุตรดิตถ์!I265+อุทัยธานี!I265</f>
        <v>790</v>
      </c>
      <c r="J265" s="68">
        <f>กำแพงเพชร!J265+เชียงราย!J265+เชียงใหม่!J265+ตาก!J265+นครสวรรค์!J265+น่าน!J265+พะเยา!J265+พิจิตร!J265+พิษณุโลก!J265+เพชรบูรณ์!J265+แพร่!J265+แม่ฮ่องสอน!J265+ลำปาง!J265+ลำพูน!J265+สุโขทัย!J265+อุตรดิตถ์!J265+อุทัยธานี!J265</f>
        <v>85</v>
      </c>
      <c r="K265" s="49">
        <f t="shared" ca="1" si="25"/>
        <v>10.759493670886076</v>
      </c>
      <c r="L265" s="61"/>
      <c r="M265" s="61"/>
      <c r="N265" s="61"/>
    </row>
    <row r="266" spans="1:14" ht="21.75" hidden="1" customHeight="1" x14ac:dyDescent="0.4">
      <c r="A266" s="55"/>
      <c r="B266" s="56"/>
      <c r="C266" s="56"/>
      <c r="D266" s="73"/>
      <c r="E266" s="77"/>
      <c r="F266" s="75"/>
      <c r="H266" s="60" t="s">
        <v>103</v>
      </c>
      <c r="I266" s="48">
        <f ca="1">กำแพงเพชร!I266+เชียงราย!I266+เชียงใหม่!I266+ตาก!I266+นครสวรรค์!I266+น่าน!I266+พะเยา!I266+พิจิตร!I266+พิษณุโลก!I266+เพชรบูรณ์!I266+แพร่!I266+แม่ฮ่องสอน!I266+ลำปาง!I266+ลำพูน!I266+สุโขทัย!I266+อุตรดิตถ์!I266+อุทัยธานี!I266</f>
        <v>768</v>
      </c>
      <c r="J266" s="68">
        <f>กำแพงเพชร!J266+เชียงราย!J266+เชียงใหม่!J266+ตาก!J266+นครสวรรค์!J266+น่าน!J266+พะเยา!J266+พิจิตร!J266+พิษณุโลก!J266+เพชรบูรณ์!J266+แพร่!J266+แม่ฮ่องสอน!J266+ลำปาง!J266+ลำพูน!J266+สุโขทัย!J266+อุตรดิตถ์!J266+อุทัยธานี!J266</f>
        <v>0</v>
      </c>
      <c r="K266" s="49">
        <f t="shared" ca="1" si="25"/>
        <v>0</v>
      </c>
      <c r="L266" s="61"/>
      <c r="M266" s="61"/>
      <c r="N266" s="61"/>
    </row>
    <row r="267" spans="1:14" ht="21.75" customHeight="1" x14ac:dyDescent="0.4">
      <c r="A267" s="55"/>
      <c r="B267" s="56"/>
      <c r="C267" s="56"/>
      <c r="D267" s="73"/>
      <c r="E267" s="77"/>
      <c r="F267" s="75"/>
      <c r="G267" s="76" t="s">
        <v>121</v>
      </c>
      <c r="H267" s="60" t="s">
        <v>16</v>
      </c>
      <c r="I267" s="48">
        <f ca="1">กำแพงเพชร!I267+เชียงราย!I267+เชียงใหม่!I267+ตาก!I267+นครสวรรค์!I267+น่าน!I267+พะเยา!I267+พิจิตร!I267+พิษณุโลก!I267+เพชรบูรณ์!I267+แพร่!I267+แม่ฮ่องสอน!I267+ลำปาง!I267+ลำพูน!I267+สุโขทัย!I267+อุตรดิตถ์!I267+อุทัยธานี!I267</f>
        <v>790</v>
      </c>
      <c r="J267" s="68">
        <f>กำแพงเพชร!J267+เชียงราย!J267+เชียงใหม่!J267+ตาก!J267+นครสวรรค์!J267+น่าน!J267+พะเยา!J267+พิจิตร!J267+พิษณุโลก!J267+เพชรบูรณ์!J267+แพร่!J267+แม่ฮ่องสอน!J267+ลำปาง!J267+ลำพูน!J267+สุโขทัย!J267+อุตรดิตถ์!J267+อุทัยธานี!J267</f>
        <v>0</v>
      </c>
      <c r="K267" s="49">
        <f t="shared" ca="1" si="25"/>
        <v>0</v>
      </c>
      <c r="L267" s="61"/>
      <c r="M267" s="61"/>
      <c r="N267" s="61"/>
    </row>
    <row r="268" spans="1:14" ht="21.75" hidden="1" customHeight="1" x14ac:dyDescent="0.4">
      <c r="A268" s="55"/>
      <c r="B268" s="56"/>
      <c r="C268" s="56"/>
      <c r="D268" s="73"/>
      <c r="E268" s="77"/>
      <c r="F268" s="75"/>
      <c r="G268" s="99" t="s">
        <v>122</v>
      </c>
      <c r="H268" s="60" t="s">
        <v>16</v>
      </c>
      <c r="I268" s="67">
        <f ca="1">กำแพงเพชร!I268+เชียงราย!I268+เชียงใหม่!I268+ตาก!I268+นครสวรรค์!I268+น่าน!I268+พะเยา!I268+พิจิตร!I268+พิษณุโลก!I268+เพชรบูรณ์!I268+แพร่!I268+แม่ฮ่องสอน!I268+ลำปาง!I268+ลำพูน!I268+สุโขทัย!I268+อุตรดิตถ์!I268+อุทัยธานี!I268</f>
        <v>0</v>
      </c>
      <c r="J268" s="68">
        <f>กำแพงเพชร!J268+เชียงราย!J268+เชียงใหม่!J268+ตาก!J268+นครสวรรค์!J268+น่าน!J268+พะเยา!J268+พิจิตร!J268+พิษณุโลก!J268+เพชรบูรณ์!J268+แพร่!J268+แม่ฮ่องสอน!J268+ลำปาง!J268+ลำพูน!J268+สุโขทัย!J268+อุตรดิตถ์!J268+อุทัยธานี!J268</f>
        <v>0</v>
      </c>
      <c r="K268" s="49">
        <f t="shared" ca="1" si="25"/>
        <v>0</v>
      </c>
      <c r="L268" s="61"/>
      <c r="M268" s="61"/>
      <c r="N268" s="61"/>
    </row>
    <row r="269" spans="1:14" ht="21.75" hidden="1" customHeight="1" x14ac:dyDescent="0.4">
      <c r="A269" s="55"/>
      <c r="B269" s="56"/>
      <c r="C269" s="56"/>
      <c r="D269" s="73"/>
      <c r="E269" s="77"/>
      <c r="F269" s="75"/>
      <c r="G269" s="76" t="s">
        <v>123</v>
      </c>
      <c r="H269" s="60"/>
      <c r="I269" s="48"/>
      <c r="J269" s="67"/>
      <c r="K269" s="49"/>
      <c r="L269" s="61"/>
      <c r="M269" s="61"/>
      <c r="N269" s="61"/>
    </row>
    <row r="270" spans="1:14" ht="21.75" customHeight="1" x14ac:dyDescent="0.4">
      <c r="A270" s="55"/>
      <c r="B270" s="56"/>
      <c r="C270" s="56"/>
      <c r="D270" s="73"/>
      <c r="E270" s="75"/>
      <c r="F270" s="74" t="s">
        <v>34</v>
      </c>
      <c r="G270" s="76"/>
      <c r="H270" s="66" t="s">
        <v>103</v>
      </c>
      <c r="I270" s="67">
        <f ca="1">กำแพงเพชร!I270+เชียงราย!I270+เชียงใหม่!I270+ตาก!I270+นครสวรรค์!I270+น่าน!I270+พะเยา!I270+พิจิตร!I270+พิษณุโลก!I270+เพชรบูรณ์!I270+แพร่!I270+แม่ฮ่องสอน!I270+ลำปาง!I270+ลำพูน!I270+สุโขทัย!I270+อุตรดิตถ์!I270+อุทัยธานี!I270</f>
        <v>1850</v>
      </c>
      <c r="J270" s="67">
        <f>กำแพงเพชร!J270+เชียงราย!J270+เชียงใหม่!J270+ตาก!J270+นครสวรรค์!J270+น่าน!J270+พะเยา!J270+พิจิตร!J270+พิษณุโลก!J270+เพชรบูรณ์!J270+แพร่!J270+แม่ฮ่องสอน!J270+ลำปาง!J270+ลำพูน!J270+สุโขทัย!J270+อุตรดิตถ์!J270+อุทัยธานี!J270</f>
        <v>0</v>
      </c>
      <c r="K270" s="49">
        <f t="shared" ref="K270:K272" ca="1" si="26">IF(I270&gt;0,J270*100/I270,0)</f>
        <v>0</v>
      </c>
      <c r="L270" s="61"/>
      <c r="M270" s="61"/>
      <c r="N270" s="61"/>
    </row>
    <row r="271" spans="1:14" ht="21.75" customHeight="1" x14ac:dyDescent="0.4">
      <c r="A271" s="55"/>
      <c r="B271" s="56"/>
      <c r="C271" s="56"/>
      <c r="D271" s="73"/>
      <c r="E271" s="75"/>
      <c r="F271" s="75"/>
      <c r="G271" s="76" t="s">
        <v>124</v>
      </c>
      <c r="H271" s="66" t="s">
        <v>103</v>
      </c>
      <c r="I271" s="67">
        <f ca="1">กำแพงเพชร!I271+เชียงราย!I271+เชียงใหม่!I271+ตาก!I271+นครสวรรค์!I271+น่าน!I271+พะเยา!I271+พิจิตร!I271+พิษณุโลก!I271+เพชรบูรณ์!I271+แพร่!I271+แม่ฮ่องสอน!I271+ลำปาง!I271+ลำพูน!I271+สุโขทัย!I271+อุตรดิตถ์!I271+อุทัยธานี!I271</f>
        <v>768</v>
      </c>
      <c r="J271" s="68">
        <f>กำแพงเพชร!J271+เชียงราย!J271+เชียงใหม่!J271+ตาก!J271+นครสวรรค์!J271+น่าน!J271+พะเยา!J271+พิจิตร!J271+พิษณุโลก!J271+เพชรบูรณ์!J271+แพร่!J271+แม่ฮ่องสอน!J271+ลำปาง!J271+ลำพูน!J271+สุโขทัย!J271+อุตรดิตถ์!J271+อุทัยธานี!J271</f>
        <v>0</v>
      </c>
      <c r="K271" s="49">
        <f t="shared" ca="1" si="26"/>
        <v>0</v>
      </c>
      <c r="L271" s="61"/>
      <c r="M271" s="61"/>
      <c r="N271" s="61"/>
    </row>
    <row r="272" spans="1:14" ht="21.75" customHeight="1" x14ac:dyDescent="0.4">
      <c r="A272" s="55"/>
      <c r="B272" s="56"/>
      <c r="C272" s="56"/>
      <c r="D272" s="73"/>
      <c r="E272" s="75"/>
      <c r="F272" s="75"/>
      <c r="G272" s="76" t="s">
        <v>125</v>
      </c>
      <c r="H272" s="66" t="s">
        <v>103</v>
      </c>
      <c r="I272" s="67">
        <f ca="1">กำแพงเพชร!I272+เชียงราย!I272+เชียงใหม่!I272+ตาก!I272+นครสวรรค์!I272+น่าน!I272+พะเยา!I272+พิจิตร!I272+พิษณุโลก!I272+เพชรบูรณ์!I272+แพร่!I272+แม่ฮ่องสอน!I272+ลำปาง!I272+ลำพูน!I272+สุโขทัย!I272+อุตรดิตถ์!I272+อุทัยธานี!I272</f>
        <v>1082</v>
      </c>
      <c r="J272" s="68">
        <f>กำแพงเพชร!J272+เชียงราย!J272+เชียงใหม่!J272+ตาก!J272+นครสวรรค์!J272+น่าน!J272+พะเยา!J272+พิจิตร!J272+พิษณุโลก!J272+เพชรบูรณ์!J272+แพร่!J272+แม่ฮ่องสอน!J272+ลำปาง!J272+ลำพูน!J272+สุโขทัย!J272+อุตรดิตถ์!J272+อุทัยธานี!J272</f>
        <v>0</v>
      </c>
      <c r="K272" s="49">
        <f t="shared" ca="1" si="26"/>
        <v>0</v>
      </c>
      <c r="L272" s="61"/>
      <c r="M272" s="61"/>
      <c r="N272" s="61"/>
    </row>
    <row r="273" spans="1:14" ht="21.75" customHeight="1" x14ac:dyDescent="0.4">
      <c r="A273" s="55"/>
      <c r="B273" s="56"/>
      <c r="C273" s="56"/>
      <c r="D273" s="73"/>
      <c r="E273" s="74" t="s">
        <v>35</v>
      </c>
      <c r="F273" s="75"/>
      <c r="G273" s="76"/>
      <c r="H273" s="66"/>
      <c r="I273" s="67"/>
      <c r="J273" s="68">
        <f>กำแพงเพชร!J273+เชียงราย!J273+เชียงใหม่!J273+ตาก!J273+นครสวรรค์!J273+น่าน!J273+พะเยา!J273+พิจิตร!J273+พิษณุโลก!J273+เพชรบูรณ์!J273+แพร่!J273+แม่ฮ่องสอน!J273+ลำปาง!J273+ลำพูน!J273+สุโขทัย!J273+อุตรดิตถ์!J273+อุทัยธานี!J273</f>
        <v>0</v>
      </c>
      <c r="K273" s="49"/>
      <c r="L273" s="61"/>
      <c r="M273" s="61"/>
      <c r="N273" s="61"/>
    </row>
    <row r="274" spans="1:14" ht="21.75" customHeight="1" x14ac:dyDescent="0.4">
      <c r="A274" s="55"/>
      <c r="B274" s="56"/>
      <c r="C274" s="56"/>
      <c r="D274" s="81">
        <v>3</v>
      </c>
      <c r="E274" s="82" t="s">
        <v>36</v>
      </c>
      <c r="F274" s="83"/>
      <c r="G274" s="84"/>
      <c r="H274" s="66"/>
      <c r="I274" s="67"/>
      <c r="J274" s="85">
        <f>กำแพงเพชร!J274+เชียงราย!J274+เชียงใหม่!J274+ตาก!J274+นครสวรรค์!J274+น่าน!J274+พะเยา!J274+พิจิตร!J274+พิษณุโลก!J274+เพชรบูรณ์!J274+แพร่!J274+แม่ฮ่องสอน!J274+ลำปาง!J274+ลำพูน!J274+สุโขทัย!J274+อุตรดิตถ์!J274+อุทัยธานี!J274</f>
        <v>0</v>
      </c>
      <c r="K274" s="49"/>
      <c r="L274" s="61"/>
      <c r="M274" s="61"/>
      <c r="N274" s="61"/>
    </row>
    <row r="275" spans="1:14" ht="21.75" customHeight="1" x14ac:dyDescent="0.4">
      <c r="A275" s="222"/>
      <c r="B275" s="223">
        <v>2</v>
      </c>
      <c r="C275" s="224" t="s">
        <v>126</v>
      </c>
      <c r="D275" s="224"/>
      <c r="E275" s="234"/>
      <c r="F275" s="234"/>
      <c r="G275" s="235"/>
      <c r="H275" s="226" t="s">
        <v>103</v>
      </c>
      <c r="I275" s="227">
        <f ca="1">กำแพงเพชร!I275+เชียงราย!I275+เชียงใหม่!I275+ตาก!I275+นครสวรรค์!I275+น่าน!I275+พะเยา!I275+พิจิตร!I275+พิษณุโลก!I275+เพชรบูรณ์!I275+แพร่!I275+แม่ฮ่องสอน!I275+ลำปาง!I275+ลำพูน!I275+สุโขทัย!I275+อุตรดิตถ์!I275+อุทัยธานี!I275</f>
        <v>13500</v>
      </c>
      <c r="J275" s="227">
        <f>กำแพงเพชร!J275+เชียงราย!J275+เชียงใหม่!J275+ตาก!J275+นครสวรรค์!J275+น่าน!J275+พะเยา!J275+พิจิตร!J275+พิษณุโลก!J275+เพชรบูรณ์!J275+แพร่!J275+แม่ฮ่องสอน!J275+ลำปาง!J275+ลำพูน!J275+สุโขทัย!J275+อุตรดิตถ์!J275+อุทัยธานี!J275</f>
        <v>0</v>
      </c>
      <c r="K275" s="228">
        <f t="shared" ref="K275:K276" ca="1" si="27">IF(I275&gt;0,J275*100/I275,0)</f>
        <v>0</v>
      </c>
      <c r="L275" s="229">
        <f ca="1">กำแพงเพชร!L275+เชียงราย!L275+เชียงใหม่!L275+ตาก!L275+นครสวรรค์!L275+น่าน!L275+พะเยา!L275+พิจิตร!L275+พิษณุโลก!L275+เพชรบูรณ์!L275+แพร่!L275+แม่ฮ่องสอน!L275+ลำปาง!L275+ลำพูน!L275+สุโขทัย!L275+อุตรดิตถ์!L275+อุทัยธานี!L275</f>
        <v>13805300</v>
      </c>
      <c r="M275" s="229">
        <f>กำแพงเพชร!M275+เชียงราย!M275+เชียงใหม่!M275+ตาก!M275+นครสวรรค์!M275+น่าน!M275+พะเยา!M275+พิจิตร!M275+พิษณุโลก!M275+เพชรบูรณ์!M275+แพร่!M275+แม่ฮ่องสอน!M275+ลำปาง!M275+ลำพูน!M275+สุโขทัย!M275+อุตรดิตถ์!M275+อุทัยธานี!M275</f>
        <v>230631.37</v>
      </c>
      <c r="N275" s="229">
        <f ca="1">+IF(L275&gt;0,M275*100/L275,0)</f>
        <v>1.6706002042693748</v>
      </c>
    </row>
    <row r="276" spans="1:14" ht="21.75" customHeight="1" x14ac:dyDescent="0.4">
      <c r="A276" s="222"/>
      <c r="B276" s="223"/>
      <c r="C276" s="224"/>
      <c r="D276" s="236"/>
      <c r="E276" s="237"/>
      <c r="F276" s="237"/>
      <c r="G276" s="238"/>
      <c r="H276" s="226" t="s">
        <v>16</v>
      </c>
      <c r="I276" s="227">
        <f ca="1">กำแพงเพชร!I276+เชียงราย!I276+เชียงใหม่!I276+ตาก!I276+นครสวรรค์!I276+น่าน!I276+พะเยา!I276+พิจิตร!I276+พิษณุโลก!I276+เพชรบูรณ์!I276+แพร่!I276+แม่ฮ่องสอน!I276+ลำปาง!I276+ลำพูน!I276+สุโขทัย!I276+อุตรดิตถ์!I276+อุทัยธานี!I276</f>
        <v>1350</v>
      </c>
      <c r="J276" s="227">
        <f>กำแพงเพชร!J276+เชียงราย!J276+เชียงใหม่!J276+ตาก!J276+นครสวรรค์!J276+น่าน!J276+พะเยา!J276+พิจิตร!J276+พิษณุโลก!J276+เพชรบูรณ์!J276+แพร่!J276+แม่ฮ่องสอน!J276+ลำปาง!J276+ลำพูน!J276+สุโขทัย!J276+อุตรดิตถ์!J276+อุทัยธานี!J276</f>
        <v>0</v>
      </c>
      <c r="K276" s="228">
        <f t="shared" ca="1" si="27"/>
        <v>0</v>
      </c>
      <c r="L276" s="229"/>
      <c r="M276" s="229"/>
      <c r="N276" s="229"/>
    </row>
    <row r="277" spans="1:14" ht="21.75" customHeight="1" x14ac:dyDescent="0.4">
      <c r="A277" s="42"/>
      <c r="B277" s="43"/>
      <c r="C277" s="43" t="s">
        <v>17</v>
      </c>
      <c r="D277" s="44" t="s">
        <v>18</v>
      </c>
      <c r="E277" s="45"/>
      <c r="F277" s="45"/>
      <c r="G277" s="46" t="s">
        <v>19</v>
      </c>
      <c r="H277" s="47" t="s">
        <v>20</v>
      </c>
      <c r="I277" s="48" t="s">
        <v>21</v>
      </c>
      <c r="J277" s="48"/>
      <c r="K277" s="49"/>
      <c r="L277" s="50">
        <f>กำแพงเพชร!L277+เชียงราย!L277+เชียงใหม่!L277+ตาก!L277+นครสวรรค์!L277+น่าน!L277+พะเยา!L277+พิจิตร!L277+พิษณุโลก!L277+เพชรบูรณ์!L277+แพร่!L277+แม่ฮ่องสอน!L277+ลำปาง!L277+ลำพูน!L277+สุโขทัย!L277+อุตรดิตถ์!L277+อุทัยธานี!L277</f>
        <v>0</v>
      </c>
      <c r="M277" s="50">
        <f>กำแพงเพชร!M277+เชียงราย!M277+เชียงใหม่!M277+ตาก!M277+นครสวรรค์!M277+น่าน!M277+พะเยา!M277+พิจิตร!M277+พิษณุโลก!M277+เพชรบูรณ์!M277+แพร่!M277+แม่ฮ่องสอน!M277+ลำปาง!M277+ลำพูน!M277+สุโขทัย!M277+อุตรดิตถ์!M277+อุทัยธานี!M277</f>
        <v>0</v>
      </c>
      <c r="N277" s="50">
        <f t="shared" ref="N277:N280" si="28">+IF(L277&gt;0,M277*100/L277,0)</f>
        <v>0</v>
      </c>
    </row>
    <row r="278" spans="1:14" ht="21.75" customHeight="1" x14ac:dyDescent="0.4">
      <c r="A278" s="42"/>
      <c r="B278" s="43"/>
      <c r="C278" s="43"/>
      <c r="D278" s="51"/>
      <c r="E278" s="45"/>
      <c r="F278" s="45" t="s">
        <v>21</v>
      </c>
      <c r="G278" s="46" t="s">
        <v>22</v>
      </c>
      <c r="H278" s="47" t="s">
        <v>20</v>
      </c>
      <c r="I278" s="48"/>
      <c r="J278" s="48"/>
      <c r="K278" s="49"/>
      <c r="L278" s="50">
        <f ca="1">กำแพงเพชร!L278+เชียงราย!L278+เชียงใหม่!L278+ตาก!L278+นครสวรรค์!L278+น่าน!L278+พะเยา!L278+พิจิตร!L278+พิษณุโลก!L278+เพชรบูรณ์!L278+แพร่!L278+แม่ฮ่องสอน!L278+ลำปาง!L278+ลำพูน!L278+สุโขทัย!L278+อุตรดิตถ์!L278+อุทัยธานี!L278</f>
        <v>13805300</v>
      </c>
      <c r="M278" s="50">
        <f>กำแพงเพชร!M278+เชียงราย!M278+เชียงใหม่!M278+ตาก!M278+นครสวรรค์!M278+น่าน!M278+พะเยา!M278+พิจิตร!M278+พิษณุโลก!M278+เพชรบูรณ์!M278+แพร่!M278+แม่ฮ่องสอน!M278+ลำปาง!M278+ลำพูน!M278+สุโขทัย!M278+อุตรดิตถ์!M278+อุทัยธานี!M278</f>
        <v>230631.37</v>
      </c>
      <c r="N278" s="50">
        <f t="shared" ca="1" si="28"/>
        <v>1.6706002042693748</v>
      </c>
    </row>
    <row r="279" spans="1:14" ht="21.75" customHeight="1" x14ac:dyDescent="0.4">
      <c r="A279" s="42"/>
      <c r="B279" s="43"/>
      <c r="C279" s="43"/>
      <c r="D279" s="51"/>
      <c r="E279" s="45"/>
      <c r="F279" s="45"/>
      <c r="G279" s="52" t="s">
        <v>110</v>
      </c>
      <c r="H279" s="47" t="s">
        <v>20</v>
      </c>
      <c r="I279" s="48"/>
      <c r="J279" s="48"/>
      <c r="K279" s="49"/>
      <c r="L279" s="53">
        <f ca="1">กำแพงเพชร!L279+เชียงราย!L279+เชียงใหม่!L279+ตาก!L279+นครสวรรค์!L279+น่าน!L279+พะเยา!L279+พิจิตร!L279+พิษณุโลก!L279+เพชรบูรณ์!L279+แพร่!L279+แม่ฮ่องสอน!L279+ลำปาง!L279+ลำพูน!L279+สุโขทัย!L279+อุตรดิตถ์!L279+อุทัยธานี!L279</f>
        <v>0</v>
      </c>
      <c r="M279" s="53">
        <f>กำแพงเพชร!M279+เชียงราย!M279+เชียงใหม่!M279+ตาก!M279+นครสวรรค์!M279+น่าน!M279+พะเยา!M279+พิจิตร!M279+พิษณุโลก!M279+เพชรบูรณ์!M279+แพร่!M279+แม่ฮ่องสอน!M279+ลำปาง!M279+ลำพูน!M279+สุโขทัย!M279+อุตรดิตถ์!M279+อุทัยธานี!M279</f>
        <v>0</v>
      </c>
      <c r="N279" s="53">
        <f t="shared" ca="1" si="28"/>
        <v>0</v>
      </c>
    </row>
    <row r="280" spans="1:14" ht="21.75" customHeight="1" x14ac:dyDescent="0.4">
      <c r="A280" s="42"/>
      <c r="B280" s="43"/>
      <c r="C280" s="43"/>
      <c r="D280" s="51"/>
      <c r="E280" s="45"/>
      <c r="F280" s="45"/>
      <c r="G280" s="52" t="s">
        <v>111</v>
      </c>
      <c r="H280" s="47" t="s">
        <v>20</v>
      </c>
      <c r="I280" s="48"/>
      <c r="J280" s="48"/>
      <c r="K280" s="49"/>
      <c r="L280" s="53">
        <f ca="1">กำแพงเพชร!L280+เชียงราย!L280+เชียงใหม่!L280+ตาก!L280+นครสวรรค์!L280+น่าน!L280+พะเยา!L280+พิจิตร!L280+พิษณุโลก!L280+เพชรบูรณ์!L280+แพร่!L280+แม่ฮ่องสอน!L280+ลำปาง!L280+ลำพูน!L280+สุโขทัย!L280+อุตรดิตถ์!L280+อุทัยธานี!L280</f>
        <v>13805300</v>
      </c>
      <c r="M280" s="53">
        <f>กำแพงเพชร!M280+เชียงราย!M280+เชียงใหม่!M280+ตาก!M280+นครสวรรค์!M280+น่าน!M280+พะเยา!M280+พิจิตร!M280+พิษณุโลก!M280+เพชรบูรณ์!M280+แพร่!M280+แม่ฮ่องสอน!M280+ลำปาง!M280+ลำพูน!M280+สุโขทัย!M280+อุตรดิตถ์!M280+อุทัยธานี!M280</f>
        <v>230631.37</v>
      </c>
      <c r="N280" s="53">
        <f t="shared" ca="1" si="28"/>
        <v>1.6706002042693748</v>
      </c>
    </row>
    <row r="281" spans="1:14" ht="21.75" customHeight="1" x14ac:dyDescent="0.4">
      <c r="A281" s="230"/>
      <c r="B281" s="231"/>
      <c r="C281" s="43"/>
      <c r="D281" s="232"/>
      <c r="E281" s="45"/>
      <c r="F281" s="45"/>
      <c r="G281" s="46" t="s">
        <v>112</v>
      </c>
      <c r="H281" s="47" t="s">
        <v>20</v>
      </c>
      <c r="I281" s="67"/>
      <c r="J281" s="67"/>
      <c r="K281" s="233"/>
      <c r="L281" s="53"/>
      <c r="M281" s="54">
        <f>กำแพงเพชร!M281+เชียงราย!M281+เชียงใหม่!M281+ตาก!M281+นครสวรรค์!M281+น่าน!M281+พะเยา!M281+พิจิตร!M281+พิษณุโลก!M281+เพชรบูรณ์!M281+แพร่!M281+แม่ฮ่องสอน!M281+ลำปาง!M281+ลำพูน!M281+สุโขทัย!M281+อุตรดิตถ์!M281+อุทัยธานี!M281</f>
        <v>63504.7</v>
      </c>
      <c r="N281" s="53"/>
    </row>
    <row r="282" spans="1:14" ht="21.75" customHeight="1" x14ac:dyDescent="0.4">
      <c r="A282" s="230"/>
      <c r="B282" s="231"/>
      <c r="C282" s="43"/>
      <c r="D282" s="232"/>
      <c r="E282" s="45"/>
      <c r="F282" s="45"/>
      <c r="G282" s="46" t="s">
        <v>113</v>
      </c>
      <c r="H282" s="47" t="s">
        <v>20</v>
      </c>
      <c r="I282" s="67"/>
      <c r="J282" s="67"/>
      <c r="K282" s="233"/>
      <c r="L282" s="53"/>
      <c r="M282" s="54">
        <f>กำแพงเพชร!M282+เชียงราย!M282+เชียงใหม่!M282+ตาก!M282+นครสวรรค์!M282+น่าน!M282+พะเยา!M282+พิจิตร!M282+พิษณุโลก!M282+เพชรบูรณ์!M282+แพร่!M282+แม่ฮ่องสอน!M282+ลำปาง!M282+ลำพูน!M282+สุโขทัย!M282+อุตรดิตถ์!M282+อุทัยธานี!M282</f>
        <v>0</v>
      </c>
      <c r="N282" s="53"/>
    </row>
    <row r="283" spans="1:14" ht="21.75" customHeight="1" x14ac:dyDescent="0.4">
      <c r="A283" s="230"/>
      <c r="B283" s="231"/>
      <c r="C283" s="43"/>
      <c r="D283" s="232"/>
      <c r="E283" s="45"/>
      <c r="F283" s="45"/>
      <c r="G283" s="46" t="s">
        <v>114</v>
      </c>
      <c r="H283" s="47" t="s">
        <v>20</v>
      </c>
      <c r="I283" s="67"/>
      <c r="J283" s="67"/>
      <c r="K283" s="233"/>
      <c r="L283" s="53"/>
      <c r="M283" s="54">
        <f>กำแพงเพชร!M283+เชียงราย!M283+เชียงใหม่!M283+ตาก!M283+นครสวรรค์!M283+น่าน!M283+พะเยา!M283+พิจิตร!M283+พิษณุโลก!M283+เพชรบูรณ์!M283+แพร่!M283+แม่ฮ่องสอน!M283+ลำปาง!M283+ลำพูน!M283+สุโขทัย!M283+อุตรดิตถ์!M283+อุทัยธานี!M283</f>
        <v>136511.66999999998</v>
      </c>
      <c r="N283" s="53"/>
    </row>
    <row r="284" spans="1:14" ht="21.75" customHeight="1" x14ac:dyDescent="0.4">
      <c r="A284" s="230"/>
      <c r="B284" s="231"/>
      <c r="C284" s="43"/>
      <c r="D284" s="232"/>
      <c r="E284" s="45"/>
      <c r="F284" s="45"/>
      <c r="G284" s="46" t="s">
        <v>115</v>
      </c>
      <c r="H284" s="47" t="s">
        <v>20</v>
      </c>
      <c r="I284" s="67"/>
      <c r="J284" s="67"/>
      <c r="K284" s="233"/>
      <c r="L284" s="53"/>
      <c r="M284" s="54">
        <f>กำแพงเพชร!M284+เชียงราย!M284+เชียงใหม่!M284+ตาก!M284+นครสวรรค์!M284+น่าน!M284+พะเยา!M284+พิจิตร!M284+พิษณุโลก!M284+เพชรบูรณ์!M284+แพร่!M284+แม่ฮ่องสอน!M284+ลำปาง!M284+ลำพูน!M284+สุโขทัย!M284+อุตรดิตถ์!M284+อุทัยธานี!M284</f>
        <v>30615</v>
      </c>
      <c r="N284" s="53"/>
    </row>
    <row r="285" spans="1:14" ht="21.75" customHeight="1" x14ac:dyDescent="0.4">
      <c r="A285" s="55"/>
      <c r="B285" s="56"/>
      <c r="C285" s="43" t="s">
        <v>17</v>
      </c>
      <c r="D285" s="57" t="s">
        <v>25</v>
      </c>
      <c r="E285" s="58"/>
      <c r="F285" s="58"/>
      <c r="G285" s="59"/>
      <c r="H285" s="60"/>
      <c r="I285" s="48"/>
      <c r="J285" s="48"/>
      <c r="K285" s="49"/>
      <c r="L285" s="61"/>
      <c r="M285" s="61"/>
      <c r="N285" s="61"/>
    </row>
    <row r="286" spans="1:14" ht="21.75" customHeight="1" x14ac:dyDescent="0.4">
      <c r="A286" s="55"/>
      <c r="B286" s="56"/>
      <c r="C286" s="56"/>
      <c r="D286" s="62">
        <v>1</v>
      </c>
      <c r="E286" s="63" t="s">
        <v>26</v>
      </c>
      <c r="F286" s="64"/>
      <c r="G286" s="65"/>
      <c r="H286" s="66"/>
      <c r="I286" s="67"/>
      <c r="J286" s="68">
        <f>กำแพงเพชร!J286+เชียงราย!J286+เชียงใหม่!J286+ตาก!J286+นครสวรรค์!J286+น่าน!J286+พะเยา!J286+พิจิตร!J286+พิษณุโลก!J286+เพชรบูรณ์!J286+แพร่!J286+แม่ฮ่องสอน!J286+ลำปาง!J286+ลำพูน!J286+สุโขทัย!J286+อุตรดิตถ์!J286+อุทัยธานี!J286</f>
        <v>1</v>
      </c>
      <c r="K286" s="49"/>
      <c r="L286" s="61"/>
      <c r="M286" s="61"/>
      <c r="N286" s="61"/>
    </row>
    <row r="287" spans="1:14" ht="21.75" customHeight="1" x14ac:dyDescent="0.4">
      <c r="A287" s="55"/>
      <c r="B287" s="56"/>
      <c r="C287" s="56"/>
      <c r="D287" s="69">
        <v>2</v>
      </c>
      <c r="E287" s="70" t="s">
        <v>27</v>
      </c>
      <c r="F287" s="71"/>
      <c r="G287" s="72"/>
      <c r="H287" s="66"/>
      <c r="I287" s="67"/>
      <c r="J287" s="68">
        <f>กำแพงเพชร!J287+เชียงราย!J287+เชียงใหม่!J287+ตาก!J287+นครสวรรค์!J287+น่าน!J287+พะเยา!J287+พิจิตร!J287+พิษณุโลก!J287+เพชรบูรณ์!J287+แพร่!J287+แม่ฮ่องสอน!J287+ลำปาง!J287+ลำพูน!J287+สุโขทัย!J287+อุตรดิตถ์!J287+อุทัยธานี!J287</f>
        <v>14</v>
      </c>
      <c r="K287" s="49"/>
      <c r="L287" s="61" t="s">
        <v>21</v>
      </c>
      <c r="M287" s="61" t="s">
        <v>21</v>
      </c>
      <c r="N287" s="61"/>
    </row>
    <row r="288" spans="1:14" ht="21.75" customHeight="1" x14ac:dyDescent="0.4">
      <c r="A288" s="55"/>
      <c r="B288" s="56"/>
      <c r="C288" s="56"/>
      <c r="D288" s="73"/>
      <c r="E288" s="74" t="s">
        <v>28</v>
      </c>
      <c r="F288" s="75"/>
      <c r="G288" s="76"/>
      <c r="H288" s="66"/>
      <c r="I288" s="67"/>
      <c r="J288" s="68">
        <f>กำแพงเพชร!J288+เชียงราย!J288+เชียงใหม่!J288+ตาก!J288+นครสวรรค์!J288+น่าน!J288+พะเยา!J288+พิจิตร!J288+พิษณุโลก!J288+เพชรบูรณ์!J288+แพร่!J288+แม่ฮ่องสอน!J288+ลำปาง!J288+ลำพูน!J288+สุโขทัย!J288+อุตรดิตถ์!J288+อุทัยธานี!J288</f>
        <v>13</v>
      </c>
      <c r="K288" s="49"/>
      <c r="L288" s="61"/>
      <c r="M288" s="61"/>
      <c r="N288" s="61"/>
    </row>
    <row r="289" spans="1:14" ht="21.75" customHeight="1" x14ac:dyDescent="0.4">
      <c r="A289" s="55"/>
      <c r="B289" s="56"/>
      <c r="C289" s="56"/>
      <c r="D289" s="73"/>
      <c r="E289" s="74" t="s">
        <v>29</v>
      </c>
      <c r="F289" s="75"/>
      <c r="G289" s="76"/>
      <c r="H289" s="66"/>
      <c r="I289" s="67"/>
      <c r="J289" s="68">
        <f>กำแพงเพชร!J289+เชียงราย!J289+เชียงใหม่!J289+ตาก!J289+นครสวรรค์!J289+น่าน!J289+พะเยา!J289+พิจิตร!J289+พิษณุโลก!J289+เพชรบูรณ์!J289+แพร่!J289+แม่ฮ่องสอน!J289+ลำปาง!J289+ลำพูน!J289+สุโขทัย!J289+อุตรดิตถ์!J289+อุทัยธานี!J289</f>
        <v>5</v>
      </c>
      <c r="K289" s="49"/>
      <c r="L289" s="61"/>
      <c r="M289" s="61"/>
      <c r="N289" s="61"/>
    </row>
    <row r="290" spans="1:14" ht="21.75" customHeight="1" x14ac:dyDescent="0.4">
      <c r="A290" s="55"/>
      <c r="B290" s="56"/>
      <c r="C290" s="56"/>
      <c r="D290" s="73"/>
      <c r="E290" s="77"/>
      <c r="F290" s="74" t="s">
        <v>127</v>
      </c>
      <c r="G290" s="75"/>
      <c r="H290" s="66"/>
      <c r="I290" s="67"/>
      <c r="J290" s="67"/>
      <c r="K290" s="49"/>
      <c r="L290" s="61"/>
      <c r="M290" s="61"/>
      <c r="N290" s="61"/>
    </row>
    <row r="291" spans="1:14" ht="21.75" customHeight="1" x14ac:dyDescent="0.4">
      <c r="A291" s="55"/>
      <c r="B291" s="56"/>
      <c r="C291" s="56"/>
      <c r="D291" s="73"/>
      <c r="E291" s="77"/>
      <c r="F291" s="75"/>
      <c r="G291" s="99" t="s">
        <v>50</v>
      </c>
      <c r="H291" s="66" t="s">
        <v>16</v>
      </c>
      <c r="I291" s="67">
        <f ca="1">กำแพงเพชร!I291+เชียงราย!I291+เชียงใหม่!I291+ตาก!I291+นครสวรรค์!I291+น่าน!I291+พะเยา!I291+พิจิตร!I291+พิษณุโลก!I291+เพชรบูรณ์!I291+แพร่!I291+แม่ฮ่องสอน!I291+ลำปาง!I291+ลำพูน!I291+สุโขทัย!I291+อุตรดิตถ์!I291+อุทัยธานี!I291</f>
        <v>1350</v>
      </c>
      <c r="J291" s="68">
        <f>กำแพงเพชร!J291+เชียงราย!J291+เชียงใหม่!J291+ตาก!J291+นครสวรรค์!J291+น่าน!J291+พะเยา!J291+พิจิตร!J291+พิษณุโลก!J291+เพชรบูรณ์!J291+แพร่!J291+แม่ฮ่องสอน!J291+ลำปาง!J291+ลำพูน!J291+สุโขทัย!J291+อุตรดิตถ์!J291+อุทัยธานี!J291</f>
        <v>0</v>
      </c>
      <c r="K291" s="49">
        <f t="shared" ref="K291:K293" ca="1" si="29">IF(I291&gt;0,J291*100/I291,0)</f>
        <v>0</v>
      </c>
      <c r="L291" s="61"/>
      <c r="M291" s="61"/>
      <c r="N291" s="61"/>
    </row>
    <row r="292" spans="1:14" ht="21.75" customHeight="1" x14ac:dyDescent="0.4">
      <c r="A292" s="55"/>
      <c r="B292" s="56"/>
      <c r="C292" s="56"/>
      <c r="D292" s="73"/>
      <c r="E292" s="77"/>
      <c r="F292" s="75"/>
      <c r="G292" s="76" t="s">
        <v>34</v>
      </c>
      <c r="H292" s="66" t="s">
        <v>103</v>
      </c>
      <c r="I292" s="67">
        <f ca="1">กำแพงเพชร!I292+เชียงราย!I292+เชียงใหม่!I292+ตาก!I292+นครสวรรค์!I292+น่าน!I292+พะเยา!I292+พิจิตร!I292+พิษณุโลก!I292+เพชรบูรณ์!I292+แพร่!I292+แม่ฮ่องสอน!I292+ลำปาง!I292+ลำพูน!I292+สุโขทัย!I292+อุตรดิตถ์!I292+อุทัยธานี!I292</f>
        <v>13500</v>
      </c>
      <c r="J292" s="68">
        <f>กำแพงเพชร!J292+เชียงราย!J292+เชียงใหม่!J292+ตาก!J292+นครสวรรค์!J292+น่าน!J292+พะเยา!J292+พิจิตร!J292+พิษณุโลก!J292+เพชรบูรณ์!J292+แพร่!J292+แม่ฮ่องสอน!J292+ลำปาง!J292+ลำพูน!J292+สุโขทัย!J292+อุตรดิตถ์!J292+อุทัยธานี!J292</f>
        <v>0</v>
      </c>
      <c r="K292" s="49">
        <f t="shared" ca="1" si="29"/>
        <v>0</v>
      </c>
      <c r="L292" s="61"/>
      <c r="M292" s="61"/>
      <c r="N292" s="61"/>
    </row>
    <row r="293" spans="1:14" ht="21.75" customHeight="1" x14ac:dyDescent="0.4">
      <c r="A293" s="55"/>
      <c r="B293" s="56"/>
      <c r="C293" s="56"/>
      <c r="D293" s="73"/>
      <c r="E293" s="77"/>
      <c r="F293" s="75"/>
      <c r="G293" s="76"/>
      <c r="H293" s="66" t="s">
        <v>16</v>
      </c>
      <c r="I293" s="67">
        <f ca="1">กำแพงเพชร!I293+เชียงราย!I293+เชียงใหม่!I293+ตาก!I293+นครสวรรค์!I293+น่าน!I293+พะเยา!I293+พิจิตร!I293+พิษณุโลก!I293+เพชรบูรณ์!I293+แพร่!I293+แม่ฮ่องสอน!I293+ลำปาง!I293+ลำพูน!I293+สุโขทัย!I293+อุตรดิตถ์!I293+อุทัยธานี!I293</f>
        <v>1350</v>
      </c>
      <c r="J293" s="68">
        <f>กำแพงเพชร!J293+เชียงราย!J293+เชียงใหม่!J293+ตาก!J293+นครสวรรค์!J293+น่าน!J293+พะเยา!J293+พิจิตร!J293+พิษณุโลก!J293+เพชรบูรณ์!J293+แพร่!J293+แม่ฮ่องสอน!J293+ลำปาง!J293+ลำพูน!J293+สุโขทัย!J293+อุตรดิตถ์!J293+อุทัยธานี!J293</f>
        <v>0</v>
      </c>
      <c r="K293" s="49">
        <f t="shared" ca="1" si="29"/>
        <v>0</v>
      </c>
      <c r="L293" s="61"/>
      <c r="M293" s="61"/>
      <c r="N293" s="61"/>
    </row>
    <row r="294" spans="1:14" ht="21.75" customHeight="1" x14ac:dyDescent="0.4">
      <c r="A294" s="55"/>
      <c r="B294" s="56"/>
      <c r="C294" s="56"/>
      <c r="D294" s="73"/>
      <c r="E294" s="74" t="s">
        <v>35</v>
      </c>
      <c r="F294" s="75"/>
      <c r="G294" s="76"/>
      <c r="H294" s="66"/>
      <c r="I294" s="67"/>
      <c r="J294" s="68">
        <f>กำแพงเพชร!J294+เชียงราย!J294+เชียงใหม่!J294+ตาก!J294+นครสวรรค์!J294+น่าน!J294+พะเยา!J294+พิจิตร!J294+พิษณุโลก!J294+เพชรบูรณ์!J294+แพร่!J294+แม่ฮ่องสอน!J294+ลำปาง!J294+ลำพูน!J294+สุโขทัย!J294+อุตรดิตถ์!J294+อุทัยธานี!J294</f>
        <v>0</v>
      </c>
      <c r="K294" s="49"/>
      <c r="L294" s="61"/>
      <c r="M294" s="61"/>
      <c r="N294" s="61"/>
    </row>
    <row r="295" spans="1:14" ht="21.75" customHeight="1" x14ac:dyDescent="0.4">
      <c r="A295" s="55"/>
      <c r="B295" s="56"/>
      <c r="C295" s="56"/>
      <c r="D295" s="81">
        <v>3</v>
      </c>
      <c r="E295" s="82" t="s">
        <v>36</v>
      </c>
      <c r="F295" s="83"/>
      <c r="G295" s="84"/>
      <c r="H295" s="66"/>
      <c r="I295" s="67"/>
      <c r="J295" s="85">
        <f>กำแพงเพชร!J295+เชียงราย!J295+เชียงใหม่!J295+ตาก!J295+นครสวรรค์!J295+น่าน!J295+พะเยา!J295+พิจิตร!J295+พิษณุโลก!J295+เพชรบูรณ์!J295+แพร่!J295+แม่ฮ่องสอน!J295+ลำปาง!J295+ลำพูน!J295+สุโขทัย!J295+อุตรดิตถ์!J295+อุทัยธานี!J295</f>
        <v>0</v>
      </c>
      <c r="K295" s="49"/>
      <c r="L295" s="61"/>
      <c r="M295" s="61"/>
      <c r="N295" s="61"/>
    </row>
    <row r="296" spans="1:14" ht="21.75" customHeight="1" x14ac:dyDescent="0.4">
      <c r="A296" s="222"/>
      <c r="B296" s="223">
        <v>3</v>
      </c>
      <c r="C296" s="223" t="s">
        <v>128</v>
      </c>
      <c r="D296" s="224"/>
      <c r="E296" s="224"/>
      <c r="F296" s="224"/>
      <c r="G296" s="225"/>
      <c r="H296" s="226" t="s">
        <v>103</v>
      </c>
      <c r="I296" s="227">
        <f ca="1">กำแพงเพชร!I296+เชียงราย!I296+เชียงใหม่!I296+ตาก!I296+นครสวรรค์!I296+น่าน!I296+พะเยา!I296+พิจิตร!I296+พิษณุโลก!I296+เพชรบูรณ์!I296+แพร่!I296+แม่ฮ่องสอน!I296+ลำปาง!I296+ลำพูน!I296+สุโขทัย!I296+อุตรดิตถ์!I296+อุทัยธานี!I296</f>
        <v>2871</v>
      </c>
      <c r="J296" s="227">
        <f>กำแพงเพชร!J296+เชียงราย!J296+เชียงใหม่!J296+ตาก!J296+นครสวรรค์!J296+น่าน!J296+พะเยา!J296+พิจิตร!J296+พิษณุโลก!J296+เพชรบูรณ์!J296+แพร่!J296+แม่ฮ่องสอน!J296+ลำปาง!J296+ลำพูน!J296+สุโขทัย!J296+อุตรดิตถ์!J296+อุทัยธานี!J296</f>
        <v>30</v>
      </c>
      <c r="K296" s="228">
        <f t="shared" ref="K296:K297" ca="1" si="30">IF(I296&gt;0,J296*100/I296,0)</f>
        <v>1.044932079414838</v>
      </c>
      <c r="L296" s="229">
        <f ca="1">กำแพงเพชร!L296+เชียงราย!L296+เชียงใหม่!L296+ตาก!L296+นครสวรรค์!L296+น่าน!L296+พะเยา!L296+พิจิตร!L296+พิษณุโลก!L296+เพชรบูรณ์!L296+แพร่!L296+แม่ฮ่องสอน!L296+ลำปาง!L296+ลำพูน!L296+สุโขทัย!L296+อุตรดิตถ์!L296+อุทัยธานี!L296</f>
        <v>3226520</v>
      </c>
      <c r="M296" s="229">
        <f>กำแพงเพชร!M296+เชียงราย!M296+เชียงใหม่!M296+ตาก!M296+นครสวรรค์!M296+น่าน!M296+พะเยา!M296+พิจิตร!M296+พิษณุโลก!M296+เพชรบูรณ์!M296+แพร่!M296+แม่ฮ่องสอน!M296+ลำปาง!M296+ลำพูน!M296+สุโขทัย!M296+อุตรดิตถ์!M296+อุทัยธานี!M296</f>
        <v>28940</v>
      </c>
      <c r="N296" s="229">
        <f ca="1">+IF(L296&gt;0,M296*100/L296,0)</f>
        <v>0.89694159651885008</v>
      </c>
    </row>
    <row r="297" spans="1:14" ht="21.75" customHeight="1" x14ac:dyDescent="0.4">
      <c r="A297" s="222"/>
      <c r="B297" s="223"/>
      <c r="C297" s="223"/>
      <c r="D297" s="236"/>
      <c r="E297" s="236"/>
      <c r="F297" s="236"/>
      <c r="G297" s="239"/>
      <c r="H297" s="226" t="s">
        <v>16</v>
      </c>
      <c r="I297" s="227">
        <f ca="1">กำแพงเพชร!I297+เชียงราย!I297+เชียงใหม่!I297+ตาก!I297+นครสวรรค์!I297+น่าน!I297+พะเยา!I297+พิจิตร!I297+พิษณุโลก!I297+เพชรบูรณ์!I297+แพร่!I297+แม่ฮ่องสอน!I297+ลำปาง!I297+ลำพูน!I297+สุโขทัย!I297+อุตรดิตถ์!I297+อุทัยธานี!I297</f>
        <v>957</v>
      </c>
      <c r="J297" s="227">
        <f ca="1">กำแพงเพชร!J297+เชียงราย!J297+เชียงใหม่!J297+ตาก!J297+นครสวรรค์!J297+น่าน!J297+พะเยา!J297+พิจิตร!J297+พิษณุโลก!J297+เพชรบูรณ์!J297+แพร่!J297+แม่ฮ่องสอน!J297+ลำปาง!J297+ลำพูน!J297+สุโขทัย!J297+อุตรดิตถ์!J297+อุทัยธานี!J297</f>
        <v>20</v>
      </c>
      <c r="K297" s="228">
        <f t="shared" ca="1" si="30"/>
        <v>2.089864158829676</v>
      </c>
      <c r="L297" s="229"/>
      <c r="M297" s="229"/>
      <c r="N297" s="229"/>
    </row>
    <row r="298" spans="1:14" ht="21.75" customHeight="1" x14ac:dyDescent="0.4">
      <c r="A298" s="42"/>
      <c r="B298" s="43"/>
      <c r="C298" s="43" t="s">
        <v>17</v>
      </c>
      <c r="D298" s="44" t="s">
        <v>18</v>
      </c>
      <c r="E298" s="45"/>
      <c r="F298" s="45"/>
      <c r="G298" s="46" t="s">
        <v>19</v>
      </c>
      <c r="H298" s="47" t="s">
        <v>20</v>
      </c>
      <c r="I298" s="48" t="s">
        <v>21</v>
      </c>
      <c r="J298" s="48"/>
      <c r="K298" s="49"/>
      <c r="L298" s="50">
        <f>กำแพงเพชร!L298+เชียงราย!L298+เชียงใหม่!L298+ตาก!L298+นครสวรรค์!L298+น่าน!L298+พะเยา!L298+พิจิตร!L298+พิษณุโลก!L298+เพชรบูรณ์!L298+แพร่!L298+แม่ฮ่องสอน!L298+ลำปาง!L298+ลำพูน!L298+สุโขทัย!L298+อุตรดิตถ์!L298+อุทัยธานี!L298</f>
        <v>0</v>
      </c>
      <c r="M298" s="53">
        <f>กำแพงเพชร!M298+เชียงราย!M298+เชียงใหม่!M298+ตาก!M298+นครสวรรค์!M298+น่าน!M298+พะเยา!M298+พิจิตร!M298+พิษณุโลก!M298+เพชรบูรณ์!M298+แพร่!M298+แม่ฮ่องสอน!M298+ลำปาง!M298+ลำพูน!M298+สุโขทัย!M298+อุตรดิตถ์!M298+อุทัยธานี!M298</f>
        <v>0</v>
      </c>
      <c r="N298" s="53">
        <f t="shared" ref="N298:N301" si="31">+IF(L298&gt;0,M298*100/L298,0)</f>
        <v>0</v>
      </c>
    </row>
    <row r="299" spans="1:14" ht="21.75" customHeight="1" x14ac:dyDescent="0.4">
      <c r="A299" s="42"/>
      <c r="B299" s="43"/>
      <c r="C299" s="43"/>
      <c r="D299" s="51"/>
      <c r="E299" s="45"/>
      <c r="F299" s="45" t="s">
        <v>21</v>
      </c>
      <c r="G299" s="46" t="s">
        <v>22</v>
      </c>
      <c r="H299" s="47" t="s">
        <v>20</v>
      </c>
      <c r="I299" s="48"/>
      <c r="J299" s="48"/>
      <c r="K299" s="49"/>
      <c r="L299" s="50">
        <f ca="1">กำแพงเพชร!L299+เชียงราย!L299+เชียงใหม่!L299+ตาก!L299+นครสวรรค์!L299+น่าน!L299+พะเยา!L299+พิจิตร!L299+พิษณุโลก!L299+เพชรบูรณ์!L299+แพร่!L299+แม่ฮ่องสอน!L299+ลำปาง!L299+ลำพูน!L299+สุโขทัย!L299+อุตรดิตถ์!L299+อุทัยธานี!L299</f>
        <v>3226520</v>
      </c>
      <c r="M299" s="53">
        <f>กำแพงเพชร!M299+เชียงราย!M299+เชียงใหม่!M299+ตาก!M299+นครสวรรค์!M299+น่าน!M299+พะเยา!M299+พิจิตร!M299+พิษณุโลก!M299+เพชรบูรณ์!M299+แพร่!M299+แม่ฮ่องสอน!M299+ลำปาง!M299+ลำพูน!M299+สุโขทัย!M299+อุตรดิตถ์!M299+อุทัยธานี!M299</f>
        <v>28940</v>
      </c>
      <c r="N299" s="53">
        <f t="shared" ca="1" si="31"/>
        <v>0.89694159651885008</v>
      </c>
    </row>
    <row r="300" spans="1:14" ht="21.75" customHeight="1" x14ac:dyDescent="0.4">
      <c r="A300" s="42"/>
      <c r="B300" s="43"/>
      <c r="C300" s="43"/>
      <c r="D300" s="51"/>
      <c r="E300" s="45"/>
      <c r="F300" s="45"/>
      <c r="G300" s="52" t="s">
        <v>110</v>
      </c>
      <c r="H300" s="47" t="s">
        <v>20</v>
      </c>
      <c r="I300" s="48"/>
      <c r="J300" s="48"/>
      <c r="K300" s="49"/>
      <c r="L300" s="53">
        <f ca="1">กำแพงเพชร!L300+เชียงราย!L300+เชียงใหม่!L300+ตาก!L300+นครสวรรค์!L300+น่าน!L300+พะเยา!L300+พิจิตร!L300+พิษณุโลก!L300+เพชรบูรณ์!L300+แพร่!L300+แม่ฮ่องสอน!L300+ลำปาง!L300+ลำพูน!L300+สุโขทัย!L300+อุตรดิตถ์!L300+อุทัยธานี!L300</f>
        <v>0</v>
      </c>
      <c r="M300" s="53">
        <f>กำแพงเพชร!M300+เชียงราย!M300+เชียงใหม่!M300+ตาก!M300+นครสวรรค์!M300+น่าน!M300+พะเยา!M300+พิจิตร!M300+พิษณุโลก!M300+เพชรบูรณ์!M300+แพร่!M300+แม่ฮ่องสอน!M300+ลำปาง!M300+ลำพูน!M300+สุโขทัย!M300+อุตรดิตถ์!M300+อุทัยธานี!M300</f>
        <v>0</v>
      </c>
      <c r="N300" s="53">
        <f t="shared" ca="1" si="31"/>
        <v>0</v>
      </c>
    </row>
    <row r="301" spans="1:14" ht="21.75" customHeight="1" x14ac:dyDescent="0.4">
      <c r="A301" s="42"/>
      <c r="B301" s="43"/>
      <c r="C301" s="43"/>
      <c r="D301" s="51"/>
      <c r="E301" s="45"/>
      <c r="F301" s="45"/>
      <c r="G301" s="52" t="s">
        <v>111</v>
      </c>
      <c r="H301" s="47" t="s">
        <v>20</v>
      </c>
      <c r="I301" s="48"/>
      <c r="J301" s="48"/>
      <c r="K301" s="49"/>
      <c r="L301" s="53">
        <f ca="1">กำแพงเพชร!L301+เชียงราย!L301+เชียงใหม่!L301+ตาก!L301+นครสวรรค์!L301+น่าน!L301+พะเยา!L301+พิจิตร!L301+พิษณุโลก!L301+เพชรบูรณ์!L301+แพร่!L301+แม่ฮ่องสอน!L301+ลำปาง!L301+ลำพูน!L301+สุโขทัย!L301+อุตรดิตถ์!L301+อุทัยธานี!L301</f>
        <v>3226520</v>
      </c>
      <c r="M301" s="53">
        <f>กำแพงเพชร!M301+เชียงราย!M301+เชียงใหม่!M301+ตาก!M301+นครสวรรค์!M301+น่าน!M301+พะเยา!M301+พิจิตร!M301+พิษณุโลก!M301+เพชรบูรณ์!M301+แพร่!M301+แม่ฮ่องสอน!M301+ลำปาง!M301+ลำพูน!M301+สุโขทัย!M301+อุตรดิตถ์!M301+อุทัยธานี!M301</f>
        <v>28940</v>
      </c>
      <c r="N301" s="53">
        <f t="shared" ca="1" si="31"/>
        <v>0.89694159651885008</v>
      </c>
    </row>
    <row r="302" spans="1:14" ht="21.75" customHeight="1" x14ac:dyDescent="0.4">
      <c r="A302" s="230"/>
      <c r="B302" s="231"/>
      <c r="C302" s="43"/>
      <c r="D302" s="232"/>
      <c r="E302" s="45"/>
      <c r="F302" s="45"/>
      <c r="G302" s="46" t="s">
        <v>112</v>
      </c>
      <c r="H302" s="47" t="s">
        <v>20</v>
      </c>
      <c r="I302" s="67"/>
      <c r="J302" s="67"/>
      <c r="K302" s="233"/>
      <c r="L302" s="53"/>
      <c r="M302" s="54">
        <f>กำแพงเพชร!M302+เชียงราย!M302+เชียงใหม่!M302+ตาก!M302+นครสวรรค์!M302+น่าน!M302+พะเยา!M302+พิจิตร!M302+พิษณุโลก!M302+เพชรบูรณ์!M302+แพร่!M302+แม่ฮ่องสอน!M302+ลำปาง!M302+ลำพูน!M302+สุโขทัย!M302+อุตรดิตถ์!M302+อุทัยธานี!M302</f>
        <v>3950</v>
      </c>
      <c r="N302" s="53"/>
    </row>
    <row r="303" spans="1:14" ht="21.75" customHeight="1" x14ac:dyDescent="0.4">
      <c r="A303" s="230"/>
      <c r="B303" s="231"/>
      <c r="C303" s="43"/>
      <c r="D303" s="232"/>
      <c r="E303" s="45"/>
      <c r="F303" s="45"/>
      <c r="G303" s="46" t="s">
        <v>113</v>
      </c>
      <c r="H303" s="47" t="s">
        <v>20</v>
      </c>
      <c r="I303" s="67"/>
      <c r="J303" s="67"/>
      <c r="K303" s="233"/>
      <c r="L303" s="53"/>
      <c r="M303" s="54">
        <f>กำแพงเพชร!M303+เชียงราย!M303+เชียงใหม่!M303+ตาก!M303+นครสวรรค์!M303+น่าน!M303+พะเยา!M303+พิจิตร!M303+พิษณุโลก!M303+เพชรบูรณ์!M303+แพร่!M303+แม่ฮ่องสอน!M303+ลำปาง!M303+ลำพูน!M303+สุโขทัย!M303+อุตรดิตถ์!M303+อุทัยธานี!M303</f>
        <v>0</v>
      </c>
      <c r="N303" s="53"/>
    </row>
    <row r="304" spans="1:14" ht="21.75" customHeight="1" x14ac:dyDescent="0.4">
      <c r="A304" s="230"/>
      <c r="B304" s="231"/>
      <c r="C304" s="43"/>
      <c r="D304" s="232"/>
      <c r="E304" s="45"/>
      <c r="F304" s="45"/>
      <c r="G304" s="46" t="s">
        <v>114</v>
      </c>
      <c r="H304" s="47" t="s">
        <v>20</v>
      </c>
      <c r="I304" s="67"/>
      <c r="J304" s="67"/>
      <c r="K304" s="233"/>
      <c r="L304" s="53"/>
      <c r="M304" s="54">
        <f>กำแพงเพชร!M304+เชียงราย!M304+เชียงใหม่!M304+ตาก!M304+นครสวรรค์!M304+น่าน!M304+พะเยา!M304+พิจิตร!M304+พิษณุโลก!M304+เพชรบูรณ์!M304+แพร่!M304+แม่ฮ่องสอน!M304+ลำปาง!M304+ลำพูน!M304+สุโขทัย!M304+อุตรดิตถ์!M304+อุทัยธานี!M304</f>
        <v>15000</v>
      </c>
      <c r="N304" s="53"/>
    </row>
    <row r="305" spans="1:14" ht="21.75" customHeight="1" x14ac:dyDescent="0.4">
      <c r="A305" s="230"/>
      <c r="B305" s="231"/>
      <c r="C305" s="43"/>
      <c r="D305" s="232"/>
      <c r="E305" s="45"/>
      <c r="F305" s="45"/>
      <c r="G305" s="46" t="s">
        <v>115</v>
      </c>
      <c r="H305" s="47" t="s">
        <v>20</v>
      </c>
      <c r="I305" s="67"/>
      <c r="J305" s="67"/>
      <c r="K305" s="233"/>
      <c r="L305" s="53"/>
      <c r="M305" s="54">
        <f>กำแพงเพชร!M305+เชียงราย!M305+เชียงใหม่!M305+ตาก!M305+นครสวรรค์!M305+น่าน!M305+พะเยา!M305+พิจิตร!M305+พิษณุโลก!M305+เพชรบูรณ์!M305+แพร่!M305+แม่ฮ่องสอน!M305+ลำปาง!M305+ลำพูน!M305+สุโขทัย!M305+อุตรดิตถ์!M305+อุทัยธานี!M305</f>
        <v>9990</v>
      </c>
      <c r="N305" s="53"/>
    </row>
    <row r="306" spans="1:14" ht="21.75" customHeight="1" x14ac:dyDescent="0.4">
      <c r="A306" s="55"/>
      <c r="B306" s="56"/>
      <c r="C306" s="43" t="s">
        <v>17</v>
      </c>
      <c r="D306" s="57" t="s">
        <v>25</v>
      </c>
      <c r="E306" s="58"/>
      <c r="F306" s="58"/>
      <c r="G306" s="59"/>
      <c r="H306" s="60"/>
      <c r="I306" s="48"/>
      <c r="J306" s="48"/>
      <c r="K306" s="49"/>
      <c r="L306" s="61"/>
      <c r="M306" s="61"/>
      <c r="N306" s="61"/>
    </row>
    <row r="307" spans="1:14" ht="21.75" customHeight="1" x14ac:dyDescent="0.4">
      <c r="A307" s="55"/>
      <c r="B307" s="56"/>
      <c r="C307" s="56"/>
      <c r="D307" s="62">
        <v>1</v>
      </c>
      <c r="E307" s="63" t="s">
        <v>26</v>
      </c>
      <c r="F307" s="64"/>
      <c r="G307" s="65"/>
      <c r="H307" s="66"/>
      <c r="I307" s="67"/>
      <c r="J307" s="68">
        <f>กำแพงเพชร!J307+เชียงราย!J307+เชียงใหม่!J307+ตาก!J307+นครสวรรค์!J307+น่าน!J307+พะเยา!J307+พิจิตร!J307+พิษณุโลก!J307+เพชรบูรณ์!J307+แพร่!J307+แม่ฮ่องสอน!J307+ลำปาง!J307+ลำพูน!J307+สุโขทัย!J307+อุตรดิตถ์!J307+อุทัยธานี!J307</f>
        <v>3</v>
      </c>
      <c r="K307" s="49"/>
      <c r="L307" s="61"/>
      <c r="M307" s="61"/>
      <c r="N307" s="61"/>
    </row>
    <row r="308" spans="1:14" ht="21.75" customHeight="1" x14ac:dyDescent="0.4">
      <c r="A308" s="55"/>
      <c r="B308" s="56"/>
      <c r="C308" s="56"/>
      <c r="D308" s="69">
        <v>2</v>
      </c>
      <c r="E308" s="70" t="s">
        <v>27</v>
      </c>
      <c r="F308" s="71"/>
      <c r="G308" s="72"/>
      <c r="H308" s="66"/>
      <c r="I308" s="67"/>
      <c r="J308" s="68">
        <f>กำแพงเพชร!J308+เชียงราย!J308+เชียงใหม่!J308+ตาก!J308+นครสวรรค์!J308+น่าน!J308+พะเยา!J308+พิจิตร!J308+พิษณุโลก!J308+เพชรบูรณ์!J308+แพร่!J308+แม่ฮ่องสอน!J308+ลำปาง!J308+ลำพูน!J308+สุโขทัย!J308+อุตรดิตถ์!J308+อุทัยธานี!J308</f>
        <v>12</v>
      </c>
      <c r="K308" s="49"/>
      <c r="L308" s="61" t="s">
        <v>21</v>
      </c>
      <c r="M308" s="61" t="s">
        <v>21</v>
      </c>
      <c r="N308" s="61"/>
    </row>
    <row r="309" spans="1:14" ht="21.75" customHeight="1" x14ac:dyDescent="0.4">
      <c r="A309" s="55"/>
      <c r="B309" s="56"/>
      <c r="C309" s="56"/>
      <c r="D309" s="73"/>
      <c r="E309" s="74" t="s">
        <v>28</v>
      </c>
      <c r="F309" s="75"/>
      <c r="G309" s="76"/>
      <c r="H309" s="66"/>
      <c r="I309" s="67"/>
      <c r="J309" s="68">
        <f>กำแพงเพชร!J309+เชียงราย!J309+เชียงใหม่!J309+ตาก!J309+นครสวรรค์!J309+น่าน!J309+พะเยา!J309+พิจิตร!J309+พิษณุโลก!J309+เพชรบูรณ์!J309+แพร่!J309+แม่ฮ่องสอน!J309+ลำปาง!J309+ลำพูน!J309+สุโขทัย!J309+อุตรดิตถ์!J309+อุทัยธานี!J309</f>
        <v>10</v>
      </c>
      <c r="K309" s="49"/>
      <c r="L309" s="61"/>
      <c r="M309" s="61"/>
      <c r="N309" s="61"/>
    </row>
    <row r="310" spans="1:14" ht="21.75" customHeight="1" x14ac:dyDescent="0.4">
      <c r="A310" s="55"/>
      <c r="B310" s="56"/>
      <c r="C310" s="56"/>
      <c r="D310" s="73"/>
      <c r="E310" s="74" t="s">
        <v>29</v>
      </c>
      <c r="F310" s="75"/>
      <c r="G310" s="76"/>
      <c r="H310" s="66"/>
      <c r="I310" s="67"/>
      <c r="J310" s="68">
        <f>กำแพงเพชร!J310+เชียงราย!J310+เชียงใหม่!J310+ตาก!J310+นครสวรรค์!J310+น่าน!J310+พะเยา!J310+พิจิตร!J310+พิษณุโลก!J310+เพชรบูรณ์!J310+แพร่!J310+แม่ฮ่องสอน!J310+ลำปาง!J310+ลำพูน!J310+สุโขทัย!J310+อุตรดิตถ์!J310+อุทัยธานี!J310</f>
        <v>5</v>
      </c>
      <c r="K310" s="49"/>
      <c r="L310" s="61"/>
      <c r="M310" s="61"/>
      <c r="N310" s="61"/>
    </row>
    <row r="311" spans="1:14" ht="21.75" customHeight="1" x14ac:dyDescent="0.4">
      <c r="A311" s="55"/>
      <c r="B311" s="56"/>
      <c r="C311" s="56"/>
      <c r="D311" s="73"/>
      <c r="E311" s="77"/>
      <c r="F311" s="74" t="s">
        <v>50</v>
      </c>
      <c r="G311" s="240"/>
      <c r="H311" s="241" t="s">
        <v>16</v>
      </c>
      <c r="I311" s="79">
        <f ca="1">กำแพงเพชร!I311+เชียงราย!I311+เชียงใหม่!I311+ตาก!I311+นครสวรรค์!I311+น่าน!I311+พะเยา!I311+พิจิตร!I311+พิษณุโลก!I311+เพชรบูรณ์!I311+แพร่!I311+แม่ฮ่องสอน!I311+ลำปาง!I311+ลำพูน!I311+สุโขทัย!I311+อุตรดิตถ์!I311+อุทัยธานี!I311</f>
        <v>957</v>
      </c>
      <c r="J311" s="79">
        <f ca="1">กำแพงเพชร!J311+เชียงราย!J311+เชียงใหม่!J311+ตาก!J311+นครสวรรค์!J311+น่าน!J311+พะเยา!J311+พิจิตร!J311+พิษณุโลก!J311+เพชรบูรณ์!J311+แพร่!J311+แม่ฮ่องสอน!J311+ลำปาง!J311+ลำพูน!J311+สุโขทัย!J311+อุตรดิตถ์!J311+อุทัยธานี!J311</f>
        <v>20</v>
      </c>
      <c r="K311" s="80">
        <f t="shared" ref="K311:K327" ca="1" si="32">IF(I311&gt;0,J311*100/I311,0)</f>
        <v>2.089864158829676</v>
      </c>
      <c r="L311" s="61"/>
      <c r="M311" s="61"/>
      <c r="N311" s="61"/>
    </row>
    <row r="312" spans="1:14" ht="21.75" customHeight="1" x14ac:dyDescent="0.4">
      <c r="A312" s="55"/>
      <c r="B312" s="56"/>
      <c r="C312" s="56"/>
      <c r="D312" s="73"/>
      <c r="E312" s="77"/>
      <c r="F312" s="242" t="s">
        <v>129</v>
      </c>
      <c r="G312" s="76"/>
      <c r="H312" s="78" t="s">
        <v>16</v>
      </c>
      <c r="I312" s="243">
        <f ca="1">กำแพงเพชร!I312+เชียงราย!I312+เชียงใหม่!I312+ตาก!I312+นครสวรรค์!I312+น่าน!I312+พะเยา!I312+พิจิตร!I312+พิษณุโลก!I312+เพชรบูรณ์!I312+แพร่!I312+แม่ฮ่องสอน!I312+ลำปาง!I312+ลำพูน!I312+สุโขทัย!I312+อุตรดิตถ์!I312+อุทัยธานี!I312</f>
        <v>200</v>
      </c>
      <c r="J312" s="154">
        <f ca="1">กำแพงเพชร!J312+เชียงราย!J312+เชียงใหม่!J312+ตาก!J312+นครสวรรค์!J312+น่าน!J312+พะเยา!J312+พิจิตร!J312+พิษณุโลก!J312+เพชรบูรณ์!J312+แพร่!J312+แม่ฮ่องสอน!J312+ลำปาง!J312+ลำพูน!J312+สุโขทัย!J312+อุตรดิตถ์!J312+อุทัยธานี!J312</f>
        <v>20</v>
      </c>
      <c r="K312" s="80">
        <f t="shared" ca="1" si="32"/>
        <v>10</v>
      </c>
      <c r="L312" s="61"/>
      <c r="M312" s="61"/>
      <c r="N312" s="61"/>
    </row>
    <row r="313" spans="1:14" ht="21.75" customHeight="1" x14ac:dyDescent="0.4">
      <c r="A313" s="55"/>
      <c r="B313" s="56"/>
      <c r="C313" s="56"/>
      <c r="D313" s="73"/>
      <c r="E313" s="77"/>
      <c r="F313" s="75"/>
      <c r="G313" s="76"/>
      <c r="H313" s="78" t="s">
        <v>103</v>
      </c>
      <c r="I313" s="243">
        <f ca="1">กำแพงเพชร!I313+เชียงราย!I313+เชียงใหม่!I313+ตาก!I313+นครสวรรค์!I313+น่าน!I313+พะเยา!I313+พิจิตร!I313+พิษณุโลก!I313+เพชรบูรณ์!I313+แพร่!I313+แม่ฮ่องสอน!I313+ลำปาง!I313+ลำพูน!I313+สุโขทัย!I313+อุตรดิตถ์!I313+อุทัยธานี!I313</f>
        <v>600</v>
      </c>
      <c r="J313" s="154">
        <f>กำแพงเพชร!J313+เชียงราย!J313+เชียงใหม่!J313+ตาก!J313+นครสวรรค์!J313+น่าน!J313+พะเยา!J313+พิจิตร!J313+พิษณุโลก!J313+เพชรบูรณ์!J313+แพร่!J313+แม่ฮ่องสอน!J313+ลำปาง!J313+ลำพูน!J313+สุโขทัย!J313+อุตรดิตถ์!J313+อุทัยธานี!J313</f>
        <v>30</v>
      </c>
      <c r="K313" s="80">
        <f t="shared" ca="1" si="32"/>
        <v>5</v>
      </c>
      <c r="L313" s="61"/>
      <c r="M313" s="61"/>
      <c r="N313" s="61"/>
    </row>
    <row r="314" spans="1:14" ht="21.75" customHeight="1" x14ac:dyDescent="0.4">
      <c r="A314" s="55"/>
      <c r="B314" s="56"/>
      <c r="C314" s="56"/>
      <c r="D314" s="73"/>
      <c r="E314" s="77"/>
      <c r="F314" s="75"/>
      <c r="G314" s="99" t="s">
        <v>130</v>
      </c>
      <c r="H314" s="60" t="s">
        <v>16</v>
      </c>
      <c r="I314" s="200">
        <f ca="1">กำแพงเพชร!I314+เชียงราย!I314+เชียงใหม่!I314+ตาก!I314+นครสวรรค์!I314+น่าน!I314+พะเยา!I314+พิจิตร!I314+พิษณุโลก!I314+เพชรบูรณ์!I314+แพร่!I314+แม่ฮ่องสอน!I314+ลำปาง!I314+ลำพูน!I314+สุโขทัย!I314+อุตรดิตถ์!I314+อุทัยธานี!I314</f>
        <v>200</v>
      </c>
      <c r="J314" s="68">
        <f>กำแพงเพชร!J314+เชียงราย!J314+เชียงใหม่!J314+ตาก!J314+นครสวรรค์!J314+น่าน!J314+พะเยา!J314+พิจิตร!J314+พิษณุโลก!J314+เพชรบูรณ์!J314+แพร่!J314+แม่ฮ่องสอน!J314+ลำปาง!J314+ลำพูน!J314+สุโขทัย!J314+อุตรดิตถ์!J314+อุทัยธานี!J314</f>
        <v>20</v>
      </c>
      <c r="K314" s="49">
        <f t="shared" ca="1" si="32"/>
        <v>10</v>
      </c>
      <c r="L314" s="61"/>
      <c r="M314" s="61"/>
      <c r="N314" s="61"/>
    </row>
    <row r="315" spans="1:14" ht="21.75" customHeight="1" x14ac:dyDescent="0.4">
      <c r="A315" s="105"/>
      <c r="B315" s="106"/>
      <c r="C315" s="106"/>
      <c r="D315" s="244"/>
      <c r="E315" s="245"/>
      <c r="F315" s="204"/>
      <c r="G315" s="246" t="s">
        <v>131</v>
      </c>
      <c r="H315" s="206" t="s">
        <v>16</v>
      </c>
      <c r="I315" s="207">
        <f ca="1">กำแพงเพชร!I315+เชียงราย!I315+เชียงใหม่!I315+ตาก!I315+นครสวรรค์!I315+น่าน!I315+พะเยา!I315+พิจิตร!I315+พิษณุโลก!I315+เพชรบูรณ์!I315+แพร่!I315+แม่ฮ่องสอน!I315+ลำปาง!I315+ลำพูน!I315+สุโขทัย!I315+อุตรดิตถ์!I315+อุทัยธานี!I315</f>
        <v>200</v>
      </c>
      <c r="J315" s="247">
        <f>กำแพงเพชร!J315+เชียงราย!J315+เชียงใหม่!J315+ตาก!J315+นครสวรรค์!J315+น่าน!J315+พะเยา!J315+พิจิตร!J315+พิษณุโลก!J315+เพชรบูรณ์!J315+แพร่!J315+แม่ฮ่องสอน!J315+ลำปาง!J315+ลำพูน!J315+สุโขทัย!J315+อุตรดิตถ์!J315+อุทัยธานี!J315</f>
        <v>20</v>
      </c>
      <c r="K315" s="114">
        <f t="shared" ca="1" si="32"/>
        <v>10</v>
      </c>
      <c r="L315" s="115"/>
      <c r="M315" s="115"/>
      <c r="N315" s="115"/>
    </row>
    <row r="316" spans="1:14" ht="21.75" customHeight="1" x14ac:dyDescent="0.4">
      <c r="A316" s="55"/>
      <c r="B316" s="56"/>
      <c r="C316" s="56"/>
      <c r="D316" s="73"/>
      <c r="E316" s="77"/>
      <c r="F316" s="242" t="s">
        <v>132</v>
      </c>
      <c r="G316" s="76"/>
      <c r="H316" s="78" t="s">
        <v>16</v>
      </c>
      <c r="I316" s="243">
        <f ca="1">กำแพงเพชร!I316+เชียงราย!I316+เชียงใหม่!I316+ตาก!I316+นครสวรรค์!I316+น่าน!I316+พะเยา!I316+พิจิตร!I316+พิษณุโลก!I316+เพชรบูรณ์!I316+แพร่!I316+แม่ฮ่องสอน!I316+ลำปาง!I316+ลำพูน!I316+สุโขทัย!I316+อุตรดิตถ์!I316+อุทัยธานี!I316</f>
        <v>574</v>
      </c>
      <c r="J316" s="154">
        <f ca="1">กำแพงเพชร!J316+เชียงราย!J316+เชียงใหม่!J316+ตาก!J316+นครสวรรค์!J316+น่าน!J316+พะเยา!J316+พิจิตร!J316+พิษณุโลก!J316+เพชรบูรณ์!J316+แพร่!J316+แม่ฮ่องสอน!J316+ลำปาง!J316+ลำพูน!J316+สุโขทัย!J316+อุตรดิตถ์!J316+อุทัยธานี!J316</f>
        <v>0</v>
      </c>
      <c r="K316" s="80">
        <f t="shared" ca="1" si="32"/>
        <v>0</v>
      </c>
      <c r="L316" s="61"/>
      <c r="M316" s="61"/>
      <c r="N316" s="61"/>
    </row>
    <row r="317" spans="1:14" ht="21.75" customHeight="1" x14ac:dyDescent="0.4">
      <c r="A317" s="55"/>
      <c r="B317" s="56"/>
      <c r="C317" s="56"/>
      <c r="D317" s="73"/>
      <c r="E317" s="77"/>
      <c r="F317" s="75"/>
      <c r="G317" s="76"/>
      <c r="H317" s="78" t="s">
        <v>103</v>
      </c>
      <c r="I317" s="243">
        <f ca="1">กำแพงเพชร!I317+เชียงราย!I317+เชียงใหม่!I317+ตาก!I317+นครสวรรค์!I317+น่าน!I317+พะเยา!I317+พิจิตร!I317+พิษณุโลก!I317+เพชรบูรณ์!I317+แพร่!I317+แม่ฮ่องสอน!I317+ลำปาง!I317+ลำพูน!I317+สุโขทัย!I317+อุตรดิตถ์!I317+อุทัยธานี!I317</f>
        <v>1722</v>
      </c>
      <c r="J317" s="154">
        <f>กำแพงเพชร!J317+เชียงราย!J317+เชียงใหม่!J317+ตาก!J317+นครสวรรค์!J317+น่าน!J317+พะเยา!J317+พิจิตร!J317+พิษณุโลก!J317+เพชรบูรณ์!J317+แพร่!J317+แม่ฮ่องสอน!J317+ลำปาง!J317+ลำพูน!J317+สุโขทัย!J317+อุตรดิตถ์!J317+อุทัยธานี!J317</f>
        <v>0</v>
      </c>
      <c r="K317" s="80">
        <f t="shared" ca="1" si="32"/>
        <v>0</v>
      </c>
      <c r="L317" s="61"/>
      <c r="M317" s="61"/>
      <c r="N317" s="61"/>
    </row>
    <row r="318" spans="1:14" ht="21.75" customHeight="1" x14ac:dyDescent="0.4">
      <c r="A318" s="55"/>
      <c r="B318" s="56"/>
      <c r="C318" s="56"/>
      <c r="D318" s="73"/>
      <c r="E318" s="77"/>
      <c r="F318" s="75"/>
      <c r="G318" s="99" t="s">
        <v>133</v>
      </c>
      <c r="H318" s="60" t="s">
        <v>16</v>
      </c>
      <c r="I318" s="200">
        <f ca="1">กำแพงเพชร!I318+เชียงราย!I318+เชียงใหม่!I318+ตาก!I318+นครสวรรค์!I318+น่าน!I318+พะเยา!I318+พิจิตร!I318+พิษณุโลก!I318+เพชรบูรณ์!I318+แพร่!I318+แม่ฮ่องสอน!I318+ลำปาง!I318+ลำพูน!I318+สุโขทัย!I318+อุตรดิตถ์!I318+อุทัยธานี!I318</f>
        <v>574</v>
      </c>
      <c r="J318" s="68">
        <f>กำแพงเพชร!J318+เชียงราย!J318+เชียงใหม่!J318+ตาก!J318+นครสวรรค์!J318+น่าน!J318+พะเยา!J318+พิจิตร!J318+พิษณุโลก!J318+เพชรบูรณ์!J318+แพร่!J318+แม่ฮ่องสอน!J318+ลำปาง!J318+ลำพูน!J318+สุโขทัย!J318+อุตรดิตถ์!J318+อุทัยธานี!J318</f>
        <v>0</v>
      </c>
      <c r="K318" s="49">
        <f t="shared" ca="1" si="32"/>
        <v>0</v>
      </c>
      <c r="L318" s="61"/>
      <c r="M318" s="61"/>
      <c r="N318" s="61"/>
    </row>
    <row r="319" spans="1:14" ht="21.75" customHeight="1" x14ac:dyDescent="0.4">
      <c r="A319" s="55"/>
      <c r="B319" s="56"/>
      <c r="C319" s="56"/>
      <c r="D319" s="73"/>
      <c r="E319" s="77"/>
      <c r="F319" s="75"/>
      <c r="G319" s="99" t="s">
        <v>134</v>
      </c>
      <c r="H319" s="60" t="s">
        <v>16</v>
      </c>
      <c r="I319" s="200">
        <f ca="1">กำแพงเพชร!I319+เชียงราย!I319+เชียงใหม่!I319+ตาก!I319+นครสวรรค์!I319+น่าน!I319+พะเยา!I319+พิจิตร!I319+พิษณุโลก!I319+เพชรบูรณ์!I319+แพร่!I319+แม่ฮ่องสอน!I319+ลำปาง!I319+ลำพูน!I319+สุโขทัย!I319+อุตรดิตถ์!I319+อุทัยธานี!I319</f>
        <v>574</v>
      </c>
      <c r="J319" s="68">
        <f>กำแพงเพชร!J319+เชียงราย!J319+เชียงใหม่!J319+ตาก!J319+นครสวรรค์!J319+น่าน!J319+พะเยา!J319+พิจิตร!J319+พิษณุโลก!J319+เพชรบูรณ์!J319+แพร่!J319+แม่ฮ่องสอน!J319+ลำปาง!J319+ลำพูน!J319+สุโขทัย!J319+อุตรดิตถ์!J319+อุทัยธานี!J319</f>
        <v>0</v>
      </c>
      <c r="K319" s="49">
        <f t="shared" ca="1" si="32"/>
        <v>0</v>
      </c>
      <c r="L319" s="61"/>
      <c r="M319" s="61"/>
      <c r="N319" s="61"/>
    </row>
    <row r="320" spans="1:14" ht="21.75" customHeight="1" x14ac:dyDescent="0.4">
      <c r="A320" s="55"/>
      <c r="B320" s="56"/>
      <c r="C320" s="56"/>
      <c r="D320" s="73"/>
      <c r="E320" s="77"/>
      <c r="F320" s="75"/>
      <c r="G320" s="99" t="s">
        <v>135</v>
      </c>
      <c r="H320" s="60" t="s">
        <v>16</v>
      </c>
      <c r="I320" s="200">
        <f ca="1">กำแพงเพชร!I320+เชียงราย!I320+เชียงใหม่!I320+ตาก!I320+นครสวรรค์!I320+น่าน!I320+พะเยา!I320+พิจิตร!I320+พิษณุโลก!I320+เพชรบูรณ์!I320+แพร่!I320+แม่ฮ่องสอน!I320+ลำปาง!I320+ลำพูน!I320+สุโขทัย!I320+อุตรดิตถ์!I320+อุทัยธานี!I320</f>
        <v>574</v>
      </c>
      <c r="J320" s="68">
        <f>กำแพงเพชร!J320+เชียงราย!J320+เชียงใหม่!J320+ตาก!J320+นครสวรรค์!J320+น่าน!J320+พะเยา!J320+พิจิตร!J320+พิษณุโลก!J320+เพชรบูรณ์!J320+แพร่!J320+แม่ฮ่องสอน!J320+ลำปาง!J320+ลำพูน!J320+สุโขทัย!J320+อุตรดิตถ์!J320+อุทัยธานี!J320</f>
        <v>0</v>
      </c>
      <c r="K320" s="49">
        <f t="shared" ca="1" si="32"/>
        <v>0</v>
      </c>
      <c r="L320" s="61"/>
      <c r="M320" s="61"/>
      <c r="N320" s="61"/>
    </row>
    <row r="321" spans="1:14" ht="21.75" customHeight="1" x14ac:dyDescent="0.4">
      <c r="A321" s="55"/>
      <c r="B321" s="56"/>
      <c r="C321" s="56"/>
      <c r="D321" s="73"/>
      <c r="E321" s="77"/>
      <c r="F321" s="242" t="s">
        <v>136</v>
      </c>
      <c r="G321" s="76"/>
      <c r="H321" s="78" t="s">
        <v>16</v>
      </c>
      <c r="I321" s="243">
        <f ca="1">กำแพงเพชร!I321+เชียงราย!I321+เชียงใหม่!I321+ตาก!I321+นครสวรรค์!I321+น่าน!I321+พะเยา!I321+พิจิตร!I321+พิษณุโลก!I321+เพชรบูรณ์!I321+แพร่!I321+แม่ฮ่องสอน!I321+ลำปาง!I321+ลำพูน!I321+สุโขทัย!I321+อุตรดิตถ์!I321+อุทัยธานี!I321</f>
        <v>183</v>
      </c>
      <c r="J321" s="154">
        <f ca="1">กำแพงเพชร!J321+เชียงราย!J321+เชียงใหม่!J321+ตาก!J321+นครสวรรค์!J321+น่าน!J321+พะเยา!J321+พิจิตร!J321+พิษณุโลก!J321+เพชรบูรณ์!J321+แพร่!J321+แม่ฮ่องสอน!J321+ลำปาง!J321+ลำพูน!J321+สุโขทัย!J321+อุตรดิตถ์!J321+อุทัยธานี!J321</f>
        <v>0</v>
      </c>
      <c r="K321" s="80">
        <f t="shared" ca="1" si="32"/>
        <v>0</v>
      </c>
      <c r="L321" s="61"/>
      <c r="M321" s="61"/>
      <c r="N321" s="61"/>
    </row>
    <row r="322" spans="1:14" ht="21.75" customHeight="1" x14ac:dyDescent="0.4">
      <c r="A322" s="55"/>
      <c r="B322" s="56"/>
      <c r="C322" s="56"/>
      <c r="D322" s="73"/>
      <c r="E322" s="77"/>
      <c r="F322" s="75"/>
      <c r="G322" s="76"/>
      <c r="H322" s="78" t="s">
        <v>103</v>
      </c>
      <c r="I322" s="243">
        <f ca="1">กำแพงเพชร!I322+เชียงราย!I322+เชียงใหม่!I322+ตาก!I322+นครสวรรค์!I322+น่าน!I322+พะเยา!I322+พิจิตร!I322+พิษณุโลก!I322+เพชรบูรณ์!I322+แพร่!I322+แม่ฮ่องสอน!I322+ลำปาง!I322+ลำพูน!I322+สุโขทัย!I322+อุตรดิตถ์!I322+อุทัยธานี!I322</f>
        <v>549</v>
      </c>
      <c r="J322" s="154">
        <f>กำแพงเพชร!J322+เชียงราย!J322+เชียงใหม่!J322+ตาก!J322+นครสวรรค์!J322+น่าน!J322+พะเยา!J322+พิจิตร!J322+พิษณุโลก!J322+เพชรบูรณ์!J322+แพร่!J322+แม่ฮ่องสอน!J322+ลำปาง!J322+ลำพูน!J322+สุโขทัย!J322+อุตรดิตถ์!J322+อุทัยธานี!J322</f>
        <v>0</v>
      </c>
      <c r="K322" s="80">
        <f t="shared" ca="1" si="32"/>
        <v>0</v>
      </c>
      <c r="L322" s="61"/>
      <c r="M322" s="61"/>
      <c r="N322" s="61"/>
    </row>
    <row r="323" spans="1:14" ht="21.75" customHeight="1" x14ac:dyDescent="0.4">
      <c r="A323" s="55"/>
      <c r="B323" s="56"/>
      <c r="C323" s="56"/>
      <c r="D323" s="73"/>
      <c r="E323" s="77"/>
      <c r="F323" s="75"/>
      <c r="G323" s="99" t="s">
        <v>137</v>
      </c>
      <c r="H323" s="60" t="s">
        <v>16</v>
      </c>
      <c r="I323" s="248">
        <f ca="1">กำแพงเพชร!I323+เชียงราย!I323+เชียงใหม่!I323+ตาก!I323+นครสวรรค์!I323+น่าน!I323+พะเยา!I323+พิจิตร!I323+พิษณุโลก!I323+เพชรบูรณ์!I323+แพร่!I323+แม่ฮ่องสอน!I323+ลำปาง!I323+ลำพูน!I323+สุโขทัย!I323+อุตรดิตถ์!I323+อุทัยธานี!I323</f>
        <v>183</v>
      </c>
      <c r="J323" s="68">
        <f>กำแพงเพชร!J323+เชียงราย!J323+เชียงใหม่!J323+ตาก!J323+นครสวรรค์!J323+น่าน!J323+พะเยา!J323+พิจิตร!J323+พิษณุโลก!J323+เพชรบูรณ์!J323+แพร่!J323+แม่ฮ่องสอน!J323+ลำปาง!J323+ลำพูน!J323+สุโขทัย!J323+อุตรดิตถ์!J323+อุทัยธานี!J323</f>
        <v>0</v>
      </c>
      <c r="K323" s="49">
        <f t="shared" ca="1" si="32"/>
        <v>0</v>
      </c>
      <c r="L323" s="61"/>
      <c r="M323" s="61"/>
      <c r="N323" s="61"/>
    </row>
    <row r="324" spans="1:14" ht="21.75" customHeight="1" x14ac:dyDescent="0.4">
      <c r="A324" s="55"/>
      <c r="B324" s="56"/>
      <c r="C324" s="56"/>
      <c r="D324" s="73"/>
      <c r="E324" s="77"/>
      <c r="F324" s="75"/>
      <c r="G324" s="99" t="s">
        <v>138</v>
      </c>
      <c r="H324" s="60" t="s">
        <v>16</v>
      </c>
      <c r="I324" s="248">
        <f ca="1">กำแพงเพชร!I324+เชียงราย!I324+เชียงใหม่!I324+ตาก!I324+นครสวรรค์!I324+น่าน!I324+พะเยา!I324+พิจิตร!I324+พิษณุโลก!I324+เพชรบูรณ์!I324+แพร่!I324+แม่ฮ่องสอน!I324+ลำปาง!I324+ลำพูน!I324+สุโขทัย!I324+อุตรดิตถ์!I324+อุทัยธานี!I324</f>
        <v>183</v>
      </c>
      <c r="J324" s="68">
        <f>กำแพงเพชร!J324+เชียงราย!J324+เชียงใหม่!J324+ตาก!J324+นครสวรรค์!J324+น่าน!J324+พะเยา!J324+พิจิตร!J324+พิษณุโลก!J324+เพชรบูรณ์!J324+แพร่!J324+แม่ฮ่องสอน!J324+ลำปาง!J324+ลำพูน!J324+สุโขทัย!J324+อุตรดิตถ์!J324+อุทัยธานี!J324</f>
        <v>0</v>
      </c>
      <c r="K324" s="49">
        <f t="shared" ca="1" si="32"/>
        <v>0</v>
      </c>
      <c r="L324" s="61"/>
      <c r="M324" s="61"/>
      <c r="N324" s="61"/>
    </row>
    <row r="325" spans="1:14" ht="21.75" customHeight="1" x14ac:dyDescent="0.4">
      <c r="A325" s="55"/>
      <c r="B325" s="56"/>
      <c r="C325" s="56"/>
      <c r="D325" s="73"/>
      <c r="E325" s="77"/>
      <c r="F325" s="74" t="s">
        <v>34</v>
      </c>
      <c r="G325" s="240"/>
      <c r="H325" s="241" t="s">
        <v>16</v>
      </c>
      <c r="I325" s="79">
        <f ca="1">กำแพงเพชร!I325+เชียงราย!I325+เชียงใหม่!I325+ตาก!I325+นครสวรรค์!I325+น่าน!I325+พะเยา!I325+พิจิตร!I325+พิษณุโลก!I325+เพชรบูรณ์!I325+แพร่!I325+แม่ฮ่องสอน!I325+ลำปาง!I325+ลำพูน!I325+สุโขทัย!I325+อุตรดิตถ์!I325+อุทัยธานี!I325</f>
        <v>774</v>
      </c>
      <c r="J325" s="79">
        <f ca="1">กำแพงเพชร!J325+เชียงราย!J325+เชียงใหม่!J325+ตาก!J325+นครสวรรค์!J325+น่าน!J325+พะเยา!J325+พิจิตร!J325+พิษณุโลก!J325+เพชรบูรณ์!J325+แพร่!J325+แม่ฮ่องสอน!J325+ลำปาง!J325+ลำพูน!J325+สุโขทัย!J325+อุตรดิตถ์!J325+อุทัยธานี!J325</f>
        <v>0</v>
      </c>
      <c r="K325" s="80">
        <f t="shared" ca="1" si="32"/>
        <v>0</v>
      </c>
      <c r="L325" s="61"/>
      <c r="M325" s="61"/>
      <c r="N325" s="61"/>
    </row>
    <row r="326" spans="1:14" ht="21.75" customHeight="1" x14ac:dyDescent="0.4">
      <c r="A326" s="249"/>
      <c r="B326" s="250"/>
      <c r="C326" s="250"/>
      <c r="D326" s="251"/>
      <c r="E326" s="77"/>
      <c r="F326" s="75"/>
      <c r="G326" s="99" t="s">
        <v>139</v>
      </c>
      <c r="H326" s="60" t="s">
        <v>16</v>
      </c>
      <c r="I326" s="248">
        <f ca="1">กำแพงเพชร!I326+เชียงราย!I326+เชียงใหม่!I326+ตาก!I326+นครสวรรค์!I326+น่าน!I326+พะเยา!I326+พิจิตร!I326+พิษณุโลก!I326+เพชรบูรณ์!I326+แพร่!I326+แม่ฮ่องสอน!I326+ลำปาง!I326+ลำพูน!I326+สุโขทัย!I326+อุตรดิตถ์!I326+อุทัยธานี!I326</f>
        <v>200</v>
      </c>
      <c r="J326" s="68">
        <f>กำแพงเพชร!J326+เชียงราย!J326+เชียงใหม่!J326+ตาก!J326+นครสวรรค์!J326+น่าน!J326+พะเยา!J326+พิจิตร!J326+พิษณุโลก!J326+เพชรบูรณ์!J326+แพร่!J326+แม่ฮ่องสอน!J326+ลำปาง!J326+ลำพูน!J326+สุโขทัย!J326+อุตรดิตถ์!J326+อุทัยธานี!J326</f>
        <v>10</v>
      </c>
      <c r="K326" s="49">
        <f t="shared" ca="1" si="32"/>
        <v>5</v>
      </c>
      <c r="L326" s="61"/>
      <c r="M326" s="61"/>
      <c r="N326" s="61"/>
    </row>
    <row r="327" spans="1:14" ht="21.75" customHeight="1" x14ac:dyDescent="0.4">
      <c r="A327" s="249"/>
      <c r="B327" s="250"/>
      <c r="C327" s="250"/>
      <c r="D327" s="251"/>
      <c r="E327" s="77"/>
      <c r="F327" s="75"/>
      <c r="G327" s="99" t="s">
        <v>140</v>
      </c>
      <c r="H327" s="60" t="s">
        <v>16</v>
      </c>
      <c r="I327" s="248">
        <f ca="1">กำแพงเพชร!I327+เชียงราย!I327+เชียงใหม่!I327+ตาก!I327+นครสวรรค์!I327+น่าน!I327+พะเยา!I327+พิจิตร!I327+พิษณุโลก!I327+เพชรบูรณ์!I327+แพร่!I327+แม่ฮ่องสอน!I327+ลำปาง!I327+ลำพูน!I327+สุโขทัย!I327+อุตรดิตถ์!I327+อุทัยธานี!I327</f>
        <v>574</v>
      </c>
      <c r="J327" s="68">
        <f>กำแพงเพชร!J327+เชียงราย!J327+เชียงใหม่!J327+ตาก!J327+นครสวรรค์!J327+น่าน!J327+พะเยา!J327+พิจิตร!J327+พิษณุโลก!J327+เพชรบูรณ์!J327+แพร่!J327+แม่ฮ่องสอน!J327+ลำปาง!J327+ลำพูน!J327+สุโขทัย!J327+อุตรดิตถ์!J327+อุทัยธานี!J327</f>
        <v>0</v>
      </c>
      <c r="K327" s="49">
        <f t="shared" ca="1" si="32"/>
        <v>0</v>
      </c>
      <c r="L327" s="61"/>
      <c r="M327" s="61"/>
      <c r="N327" s="61"/>
    </row>
    <row r="328" spans="1:14" ht="21.75" customHeight="1" x14ac:dyDescent="0.4">
      <c r="A328" s="55"/>
      <c r="B328" s="56"/>
      <c r="C328" s="56"/>
      <c r="D328" s="73"/>
      <c r="E328" s="74" t="s">
        <v>35</v>
      </c>
      <c r="F328" s="75"/>
      <c r="G328" s="76"/>
      <c r="H328" s="66"/>
      <c r="I328" s="67"/>
      <c r="J328" s="68">
        <f>กำแพงเพชร!J328+เชียงราย!J328+เชียงใหม่!J328+ตาก!J328+นครสวรรค์!J328+น่าน!J328+พะเยา!J328+พิจิตร!J328+พิษณุโลก!J328+เพชรบูรณ์!J328+แพร่!J328+แม่ฮ่องสอน!J328+ลำปาง!J328+ลำพูน!J328+สุโขทัย!J328+อุตรดิตถ์!J328+อุทัยธานี!J328</f>
        <v>0</v>
      </c>
      <c r="K328" s="49"/>
      <c r="L328" s="61"/>
      <c r="M328" s="61"/>
      <c r="N328" s="61"/>
    </row>
    <row r="329" spans="1:14" ht="21.75" customHeight="1" x14ac:dyDescent="0.4">
      <c r="A329" s="55"/>
      <c r="B329" s="56"/>
      <c r="C329" s="56"/>
      <c r="D329" s="81">
        <v>3</v>
      </c>
      <c r="E329" s="82" t="s">
        <v>36</v>
      </c>
      <c r="F329" s="83"/>
      <c r="G329" s="84"/>
      <c r="H329" s="66"/>
      <c r="I329" s="67"/>
      <c r="J329" s="85">
        <f>กำแพงเพชร!J329+เชียงราย!J329+เชียงใหม่!J329+ตาก!J329+นครสวรรค์!J329+น่าน!J329+พะเยา!J329+พิจิตร!J329+พิษณุโลก!J329+เพชรบูรณ์!J329+แพร่!J329+แม่ฮ่องสอน!J329+ลำปาง!J329+ลำพูน!J329+สุโขทัย!J329+อุตรดิตถ์!J329+อุทัยธานี!J329</f>
        <v>0</v>
      </c>
      <c r="K329" s="49"/>
      <c r="L329" s="61"/>
      <c r="M329" s="61"/>
      <c r="N329" s="61"/>
    </row>
    <row r="330" spans="1:14" ht="21.75" customHeight="1" x14ac:dyDescent="0.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กำแพงเพชร!I330+เชียงราย!I330+เชียงใหม่!I330+ตาก!I330+นครสวรรค์!I330+น่าน!I330+พะเยา!I330+พิจิตร!I330+พิษณุโลก!I330+เพชรบูรณ์!I330+แพร่!I330+แม่ฮ่องสอน!I330+ลำปาง!I330+ลำพูน!I330+สุโขทัย!I330+อุตรดิตถ์!I330+อุทัยธานี!I330</f>
        <v>489</v>
      </c>
      <c r="J330" s="257">
        <f>กำแพงเพชร!J330+เชียงราย!J330+เชียงใหม่!J330+ตาก!J330+นครสวรรค์!J330+น่าน!J330+พะเยา!J330+พิจิตร!J330+พิษณุโลก!J330+เพชรบูรณ์!J330+แพร่!J330+แม่ฮ่องสอน!J330+ลำปาง!J330+ลำพูน!J330+สุโขทัย!J330+อุตรดิตถ์!J330+อุทัยธานี!J330</f>
        <v>55</v>
      </c>
      <c r="K330" s="258">
        <f ca="1">IF(I330&gt;0,J330*100/I330,0)</f>
        <v>11.247443762781186</v>
      </c>
      <c r="L330" s="259">
        <f ca="1">กำแพงเพชร!L330+เชียงราย!L330+เชียงใหม่!L330+ตาก!L330+นครสวรรค์!L330+น่าน!L330+พะเยา!L330+พิจิตร!L330+พิษณุโลก!L330+เพชรบูรณ์!L330+แพร่!L330+แม่ฮ่องสอน!L330+ลำปาง!L330+ลำพูน!L330+สุโขทัย!L330+อุตรดิตถ์!L330+อุทัยธานี!L330</f>
        <v>1912200</v>
      </c>
      <c r="M330" s="259">
        <f>กำแพงเพชร!M330+เชียงราย!M330+เชียงใหม่!M330+ตาก!M330+นครสวรรค์!M330+น่าน!M330+พะเยา!M330+พิจิตร!M330+พิษณุโลก!M330+เพชรบูรณ์!M330+แพร่!M330+แม่ฮ่องสอน!M330+ลำปาง!M330+ลำพูน!M330+สุโขทัย!M330+อุตรดิตถ์!M330+อุทัยธานี!M330</f>
        <v>185608</v>
      </c>
      <c r="N330" s="259">
        <f t="shared" ref="N330:N334" ca="1" si="33">+IF(L330&gt;0,M330*100/L330,0)</f>
        <v>9.7065160548059826</v>
      </c>
    </row>
    <row r="331" spans="1:14" ht="21.75" customHeight="1" x14ac:dyDescent="0.4">
      <c r="A331" s="42"/>
      <c r="B331" s="43"/>
      <c r="C331" s="43" t="s">
        <v>17</v>
      </c>
      <c r="D331" s="44" t="s">
        <v>18</v>
      </c>
      <c r="E331" s="45"/>
      <c r="F331" s="45"/>
      <c r="G331" s="46" t="s">
        <v>19</v>
      </c>
      <c r="H331" s="47" t="s">
        <v>20</v>
      </c>
      <c r="I331" s="48" t="s">
        <v>21</v>
      </c>
      <c r="J331" s="48"/>
      <c r="K331" s="49"/>
      <c r="L331" s="50">
        <f>กำแพงเพชร!L331+เชียงราย!L331+เชียงใหม่!L331+ตาก!L331+นครสวรรค์!L331+น่าน!L331+พะเยา!L331+พิจิตร!L331+พิษณุโลก!L331+เพชรบูรณ์!L331+แพร่!L331+แม่ฮ่องสอน!L331+ลำปาง!L331+ลำพูน!L331+สุโขทัย!L331+อุตรดิตถ์!L331+อุทัยธานี!L331</f>
        <v>0</v>
      </c>
      <c r="M331" s="53">
        <f>กำแพงเพชร!M331+เชียงราย!M331+เชียงใหม่!M331+ตาก!M331+นครสวรรค์!M331+น่าน!M331+พะเยา!M331+พิจิตร!M331+พิษณุโลก!M331+เพชรบูรณ์!M331+แพร่!M331+แม่ฮ่องสอน!M331+ลำปาง!M331+ลำพูน!M331+สุโขทัย!M331+อุตรดิตถ์!M331+อุทัยธานี!M331</f>
        <v>0</v>
      </c>
      <c r="N331" s="53">
        <f t="shared" si="33"/>
        <v>0</v>
      </c>
    </row>
    <row r="332" spans="1:14" ht="21.75" customHeight="1" x14ac:dyDescent="0.4">
      <c r="A332" s="42"/>
      <c r="B332" s="43"/>
      <c r="C332" s="43"/>
      <c r="D332" s="51"/>
      <c r="E332" s="45"/>
      <c r="F332" s="45" t="s">
        <v>21</v>
      </c>
      <c r="G332" s="46" t="s">
        <v>22</v>
      </c>
      <c r="H332" s="47" t="s">
        <v>20</v>
      </c>
      <c r="I332" s="48"/>
      <c r="J332" s="48"/>
      <c r="K332" s="49"/>
      <c r="L332" s="50">
        <f ca="1">กำแพงเพชร!L332+เชียงราย!L332+เชียงใหม่!L332+ตาก!L332+นครสวรรค์!L332+น่าน!L332+พะเยา!L332+พิจิตร!L332+พิษณุโลก!L332+เพชรบูรณ์!L332+แพร่!L332+แม่ฮ่องสอน!L332+ลำปาง!L332+ลำพูน!L332+สุโขทัย!L332+อุตรดิตถ์!L332+อุทัยธานี!L332</f>
        <v>1912200</v>
      </c>
      <c r="M332" s="53">
        <f>กำแพงเพชร!M332+เชียงราย!M332+เชียงใหม่!M332+ตาก!M332+นครสวรรค์!M332+น่าน!M332+พะเยา!M332+พิจิตร!M332+พิษณุโลก!M332+เพชรบูรณ์!M332+แพร่!M332+แม่ฮ่องสอน!M332+ลำปาง!M332+ลำพูน!M332+สุโขทัย!M332+อุตรดิตถ์!M332+อุทัยธานี!M332</f>
        <v>185608</v>
      </c>
      <c r="N332" s="53">
        <f t="shared" ca="1" si="33"/>
        <v>9.7065160548059826</v>
      </c>
    </row>
    <row r="333" spans="1:14" ht="21.75" customHeight="1" x14ac:dyDescent="0.4">
      <c r="A333" s="42"/>
      <c r="B333" s="43"/>
      <c r="C333" s="43"/>
      <c r="D333" s="51"/>
      <c r="E333" s="45"/>
      <c r="F333" s="45"/>
      <c r="G333" s="52" t="s">
        <v>110</v>
      </c>
      <c r="H333" s="47" t="s">
        <v>20</v>
      </c>
      <c r="I333" s="48"/>
      <c r="J333" s="48"/>
      <c r="K333" s="49"/>
      <c r="L333" s="53">
        <f ca="1">กำแพงเพชร!L333+เชียงราย!L333+เชียงใหม่!L333+ตาก!L333+นครสวรรค์!L333+น่าน!L333+พะเยา!L333+พิจิตร!L333+พิษณุโลก!L333+เพชรบูรณ์!L333+แพร่!L333+แม่ฮ่องสอน!L333+ลำปาง!L333+ลำพูน!L333+สุโขทัย!L333+อุตรดิตถ์!L333+อุทัยธานี!L333</f>
        <v>0</v>
      </c>
      <c r="M333" s="53">
        <f>กำแพงเพชร!M333+เชียงราย!M333+เชียงใหม่!M333+ตาก!M333+นครสวรรค์!M333+น่าน!M333+พะเยา!M333+พิจิตร!M333+พิษณุโลก!M333+เพชรบูรณ์!M333+แพร่!M333+แม่ฮ่องสอน!M333+ลำปาง!M333+ลำพูน!M333+สุโขทัย!M333+อุตรดิตถ์!M333+อุทัยธานี!M333</f>
        <v>0</v>
      </c>
      <c r="N333" s="53">
        <f t="shared" ca="1" si="33"/>
        <v>0</v>
      </c>
    </row>
    <row r="334" spans="1:14" ht="21.75" customHeight="1" x14ac:dyDescent="0.4">
      <c r="A334" s="42"/>
      <c r="B334" s="43"/>
      <c r="C334" s="43"/>
      <c r="D334" s="51"/>
      <c r="E334" s="45"/>
      <c r="F334" s="45"/>
      <c r="G334" s="52" t="s">
        <v>111</v>
      </c>
      <c r="H334" s="47" t="s">
        <v>20</v>
      </c>
      <c r="I334" s="48"/>
      <c r="J334" s="48"/>
      <c r="K334" s="49"/>
      <c r="L334" s="53">
        <f ca="1">กำแพงเพชร!L334+เชียงราย!L334+เชียงใหม่!L334+ตาก!L334+นครสวรรค์!L334+น่าน!L334+พะเยา!L334+พิจิตร!L334+พิษณุโลก!L334+เพชรบูรณ์!L334+แพร่!L334+แม่ฮ่องสอน!L334+ลำปาง!L334+ลำพูน!L334+สุโขทัย!L334+อุตรดิตถ์!L334+อุทัยธานี!L334</f>
        <v>1912200</v>
      </c>
      <c r="M334" s="53">
        <f>กำแพงเพชร!M334+เชียงราย!M334+เชียงใหม่!M334+ตาก!M334+นครสวรรค์!M334+น่าน!M334+พะเยา!M334+พิจิตร!M334+พิษณุโลก!M334+เพชรบูรณ์!M334+แพร่!M334+แม่ฮ่องสอน!M334+ลำปาง!M334+ลำพูน!M334+สุโขทัย!M334+อุตรดิตถ์!M334+อุทัยธานี!M334</f>
        <v>185608</v>
      </c>
      <c r="N334" s="53">
        <f t="shared" ca="1" si="33"/>
        <v>9.7065160548059826</v>
      </c>
    </row>
    <row r="335" spans="1:14" ht="21.75" customHeight="1" x14ac:dyDescent="0.4">
      <c r="A335" s="230"/>
      <c r="B335" s="231"/>
      <c r="C335" s="43"/>
      <c r="D335" s="232"/>
      <c r="E335" s="45"/>
      <c r="F335" s="45"/>
      <c r="G335" s="46" t="s">
        <v>112</v>
      </c>
      <c r="H335" s="47" t="s">
        <v>20</v>
      </c>
      <c r="I335" s="67"/>
      <c r="J335" s="67"/>
      <c r="K335" s="233"/>
      <c r="L335" s="53"/>
      <c r="M335" s="54">
        <f>กำแพงเพชร!M335+เชียงราย!M335+เชียงใหม่!M335+ตาก!M335+นครสวรรค์!M335+น่าน!M335+พะเยา!M335+พิจิตร!M335+พิษณุโลก!M335+เพชรบูรณ์!M335+แพร่!M335+แม่ฮ่องสอน!M335+ลำปาง!M335+ลำพูน!M335+สุโขทัย!M335+อุตรดิตถ์!M335+อุทัยธานี!M335</f>
        <v>167423</v>
      </c>
      <c r="N335" s="53"/>
    </row>
    <row r="336" spans="1:14" ht="21.75" customHeight="1" x14ac:dyDescent="0.4">
      <c r="A336" s="230"/>
      <c r="B336" s="231"/>
      <c r="C336" s="43"/>
      <c r="D336" s="232"/>
      <c r="E336" s="45"/>
      <c r="F336" s="45"/>
      <c r="G336" s="46" t="s">
        <v>113</v>
      </c>
      <c r="H336" s="47" t="s">
        <v>20</v>
      </c>
      <c r="I336" s="67"/>
      <c r="J336" s="67"/>
      <c r="K336" s="233"/>
      <c r="L336" s="53"/>
      <c r="M336" s="54">
        <f>กำแพงเพชร!M336+เชียงราย!M336+เชียงใหม่!M336+ตาก!M336+นครสวรรค์!M336+น่าน!M336+พะเยา!M336+พิจิตร!M336+พิษณุโลก!M336+เพชรบูรณ์!M336+แพร่!M336+แม่ฮ่องสอน!M336+ลำปาง!M336+ลำพูน!M336+สุโขทัย!M336+อุตรดิตถ์!M336+อุทัยธานี!M336</f>
        <v>0</v>
      </c>
      <c r="N336" s="53"/>
    </row>
    <row r="337" spans="1:14" ht="21.75" customHeight="1" x14ac:dyDescent="0.4">
      <c r="A337" s="230"/>
      <c r="B337" s="231"/>
      <c r="C337" s="43"/>
      <c r="D337" s="232"/>
      <c r="E337" s="45"/>
      <c r="F337" s="45"/>
      <c r="G337" s="46" t="s">
        <v>114</v>
      </c>
      <c r="H337" s="47" t="s">
        <v>20</v>
      </c>
      <c r="I337" s="67"/>
      <c r="J337" s="67"/>
      <c r="K337" s="233"/>
      <c r="L337" s="53"/>
      <c r="M337" s="54">
        <f>กำแพงเพชร!M337+เชียงราย!M337+เชียงใหม่!M337+ตาก!M337+นครสวรรค์!M337+น่าน!M337+พะเยา!M337+พิจิตร!M337+พิษณุโลก!M337+เพชรบูรณ์!M337+แพร่!M337+แม่ฮ่องสอน!M337+ลำปาง!M337+ลำพูน!M337+สุโขทัย!M337+อุตรดิตถ์!M337+อุทัยธานี!M337</f>
        <v>0</v>
      </c>
      <c r="N337" s="53"/>
    </row>
    <row r="338" spans="1:14" ht="21.75" customHeight="1" x14ac:dyDescent="0.4">
      <c r="A338" s="230"/>
      <c r="B338" s="231"/>
      <c r="C338" s="43"/>
      <c r="D338" s="232"/>
      <c r="E338" s="45"/>
      <c r="F338" s="45"/>
      <c r="G338" s="46" t="s">
        <v>115</v>
      </c>
      <c r="H338" s="47" t="s">
        <v>20</v>
      </c>
      <c r="I338" s="67"/>
      <c r="J338" s="67"/>
      <c r="K338" s="233"/>
      <c r="L338" s="53"/>
      <c r="M338" s="54">
        <f>กำแพงเพชร!M338+เชียงราย!M338+เชียงใหม่!M338+ตาก!M338+นครสวรรค์!M338+น่าน!M338+พะเยา!M338+พิจิตร!M338+พิษณุโลก!M338+เพชรบูรณ์!M338+แพร่!M338+แม่ฮ่องสอน!M338+ลำปาง!M338+ลำพูน!M338+สุโขทัย!M338+อุตรดิตถ์!M338+อุทัยธานี!M338</f>
        <v>18185</v>
      </c>
      <c r="N338" s="53"/>
    </row>
    <row r="339" spans="1:14" ht="21.75" customHeight="1" x14ac:dyDescent="0.4">
      <c r="A339" s="55"/>
      <c r="B339" s="56"/>
      <c r="C339" s="43" t="s">
        <v>17</v>
      </c>
      <c r="D339" s="57" t="s">
        <v>25</v>
      </c>
      <c r="E339" s="58"/>
      <c r="F339" s="58"/>
      <c r="G339" s="59"/>
      <c r="H339" s="60"/>
      <c r="I339" s="48"/>
      <c r="J339" s="48"/>
      <c r="K339" s="49"/>
      <c r="L339" s="61"/>
      <c r="M339" s="61"/>
      <c r="N339" s="61"/>
    </row>
    <row r="340" spans="1:14" ht="21.75" customHeight="1" x14ac:dyDescent="0.4">
      <c r="A340" s="55"/>
      <c r="B340" s="56"/>
      <c r="C340" s="56"/>
      <c r="D340" s="62">
        <v>1</v>
      </c>
      <c r="E340" s="63" t="s">
        <v>26</v>
      </c>
      <c r="F340" s="64"/>
      <c r="G340" s="65"/>
      <c r="H340" s="66"/>
      <c r="I340" s="67"/>
      <c r="J340" s="85">
        <f>กำแพงเพชร!J340+เชียงราย!J340+เชียงใหม่!J340+ตาก!J340+นครสวรรค์!J340+น่าน!J340+พะเยา!J340+พิจิตร!J340+พิษณุโลก!J340+เพชรบูรณ์!J340+แพร่!J340+แม่ฮ่องสอน!J340+ลำปาง!J340+ลำพูน!J340+สุโขทัย!J340+อุตรดิตถ์!J340+อุทัยธานี!J340</f>
        <v>1</v>
      </c>
      <c r="K340" s="49"/>
      <c r="L340" s="61"/>
      <c r="M340" s="61"/>
      <c r="N340" s="61"/>
    </row>
    <row r="341" spans="1:14" ht="21.75" customHeight="1" x14ac:dyDescent="0.4">
      <c r="A341" s="55"/>
      <c r="B341" s="56"/>
      <c r="C341" s="56"/>
      <c r="D341" s="69">
        <v>2</v>
      </c>
      <c r="E341" s="70" t="s">
        <v>27</v>
      </c>
      <c r="F341" s="71"/>
      <c r="G341" s="72"/>
      <c r="H341" s="66"/>
      <c r="I341" s="67"/>
      <c r="J341" s="85">
        <f>กำแพงเพชร!J341+เชียงราย!J341+เชียงใหม่!J341+ตาก!J341+นครสวรรค์!J341+น่าน!J341+พะเยา!J341+พิจิตร!J341+พิษณุโลก!J341+เพชรบูรณ์!J341+แพร่!J341+แม่ฮ่องสอน!J341+ลำปาง!J341+ลำพูน!J341+สุโขทัย!J341+อุตรดิตถ์!J341+อุทัยธานี!J341</f>
        <v>14</v>
      </c>
      <c r="K341" s="49"/>
      <c r="L341" s="61" t="s">
        <v>21</v>
      </c>
      <c r="M341" s="61" t="s">
        <v>21</v>
      </c>
      <c r="N341" s="61"/>
    </row>
    <row r="342" spans="1:14" ht="21.75" customHeight="1" x14ac:dyDescent="0.4">
      <c r="A342" s="55"/>
      <c r="B342" s="56"/>
      <c r="C342" s="56"/>
      <c r="D342" s="73"/>
      <c r="E342" s="74" t="s">
        <v>142</v>
      </c>
      <c r="F342" s="75"/>
      <c r="G342" s="76"/>
      <c r="H342" s="66"/>
      <c r="I342" s="67"/>
      <c r="J342" s="68">
        <f>กำแพงเพชร!J342+เชียงราย!J342+เชียงใหม่!J342+ตาก!J342+นครสวรรค์!J342+น่าน!J342+พะเยา!J342+พิจิตร!J342+พิษณุโลก!J342+เพชรบูรณ์!J342+แพร่!J342+แม่ฮ่องสอน!J342+ลำปาง!J342+ลำพูน!J342+สุโขทัย!J342+อุตรดิตถ์!J342+อุทัยธานี!J342</f>
        <v>14</v>
      </c>
      <c r="K342" s="49"/>
      <c r="L342" s="61"/>
      <c r="M342" s="61"/>
      <c r="N342" s="61"/>
    </row>
    <row r="343" spans="1:14" ht="21.75" customHeight="1" x14ac:dyDescent="0.4">
      <c r="A343" s="55"/>
      <c r="B343" s="56"/>
      <c r="C343" s="56"/>
      <c r="D343" s="73"/>
      <c r="E343" s="74" t="s">
        <v>29</v>
      </c>
      <c r="F343" s="75"/>
      <c r="G343" s="76"/>
      <c r="H343" s="66"/>
      <c r="I343" s="67"/>
      <c r="J343" s="68">
        <f>กำแพงเพชร!J343+เชียงราย!J343+เชียงใหม่!J343+ตาก!J343+นครสวรรค์!J343+น่าน!J343+พะเยา!J343+พิจิตร!J343+พิษณุโลก!J343+เพชรบูรณ์!J343+แพร่!J343+แม่ฮ่องสอน!J343+ลำปาง!J343+ลำพูน!J343+สุโขทัย!J343+อุตรดิตถ์!J343+อุทัยธานี!J343</f>
        <v>8</v>
      </c>
      <c r="K343" s="49"/>
      <c r="L343" s="61"/>
      <c r="M343" s="61"/>
      <c r="N343" s="61"/>
    </row>
    <row r="344" spans="1:14" ht="21.75" customHeight="1" x14ac:dyDescent="0.4">
      <c r="A344" s="55"/>
      <c r="B344" s="56"/>
      <c r="C344" s="56"/>
      <c r="D344" s="73"/>
      <c r="E344" s="77"/>
      <c r="F344" s="260" t="s">
        <v>82</v>
      </c>
      <c r="G344" s="76"/>
      <c r="H344" s="66" t="s">
        <v>16</v>
      </c>
      <c r="I344" s="243">
        <f ca="1">กำแพงเพชร!I344+เชียงราย!I344+เชียงใหม่!I344+ตาก!I344+นครสวรรค์!I344+น่าน!I344+พะเยา!I344+พิจิตร!I344+พิษณุโลก!I344+เพชรบูรณ์!I344+แพร่!I344+แม่ฮ่องสอน!I344+ลำปาง!I344+ลำพูน!I344+สุโขทัย!I344+อุตรดิตถ์!I344+อุทัยธานี!I344</f>
        <v>489</v>
      </c>
      <c r="J344" s="79">
        <f>กำแพงเพชร!J344+เชียงราย!J344+เชียงใหม่!J344+ตาก!J344+นครสวรรค์!J344+น่าน!J344+พะเยา!J344+พิจิตร!J344+พิษณุโลก!J344+เพชรบูรณ์!J344+แพร่!J344+แม่ฮ่องสอน!J344+ลำปาง!J344+ลำพูน!J344+สุโขทัย!J344+อุตรดิตถ์!J344+อุทัยธานี!J344</f>
        <v>55</v>
      </c>
      <c r="K344" s="49">
        <f t="shared" ref="K344:K347" ca="1" si="34">IF(I344&gt;0,J344*100/I344,0)</f>
        <v>11.247443762781186</v>
      </c>
      <c r="L344" s="61"/>
      <c r="M344" s="61"/>
      <c r="N344" s="61"/>
    </row>
    <row r="345" spans="1:14" ht="21.75" customHeight="1" x14ac:dyDescent="0.4">
      <c r="A345" s="55"/>
      <c r="B345" s="56"/>
      <c r="C345" s="56"/>
      <c r="D345" s="73"/>
      <c r="E345" s="77"/>
      <c r="F345" s="75"/>
      <c r="G345" s="99" t="s">
        <v>143</v>
      </c>
      <c r="H345" s="66" t="s">
        <v>16</v>
      </c>
      <c r="I345" s="200">
        <f ca="1">กำแพงเพชร!I345+เชียงราย!I345+เชียงใหม่!I345+ตาก!I345+นครสวรรค์!I345+น่าน!I345+พะเยา!I345+พิจิตร!I345+พิษณุโลก!I345+เพชรบูรณ์!I345+แพร่!I345+แม่ฮ่องสอน!I345+ลำปาง!I345+ลำพูน!I345+สุโขทัย!I345+อุตรดิตถ์!I345+อุทัยธานี!I345</f>
        <v>360</v>
      </c>
      <c r="J345" s="68">
        <f>กำแพงเพชร!J345+เชียงราย!J345+เชียงใหม่!J345+ตาก!J345+นครสวรรค์!J345+น่าน!J345+พะเยา!J345+พิจิตร!J345+พิษณุโลก!J345+เพชรบูรณ์!J345+แพร่!J345+แม่ฮ่องสอน!J345+ลำปาง!J345+ลำพูน!J345+สุโขทัย!J345+อุตรดิตถ์!J345+อุทัยธานี!J345</f>
        <v>55</v>
      </c>
      <c r="K345" s="49">
        <f t="shared" ca="1" si="34"/>
        <v>15.277777777777779</v>
      </c>
      <c r="L345" s="61"/>
      <c r="M345" s="61"/>
      <c r="N345" s="61"/>
    </row>
    <row r="346" spans="1:14" ht="21.75" customHeight="1" x14ac:dyDescent="0.4">
      <c r="A346" s="55"/>
      <c r="B346" s="56"/>
      <c r="C346" s="56"/>
      <c r="D346" s="73"/>
      <c r="E346" s="77"/>
      <c r="F346" s="75"/>
      <c r="G346" s="76" t="s">
        <v>144</v>
      </c>
      <c r="H346" s="66" t="s">
        <v>16</v>
      </c>
      <c r="I346" s="200">
        <f ca="1">กำแพงเพชร!I346+เชียงราย!I346+เชียงใหม่!I346+ตาก!I346+นครสวรรค์!I346+น่าน!I346+พะเยา!I346+พิจิตร!I346+พิษณุโลก!I346+เพชรบูรณ์!I346+แพร่!I346+แม่ฮ่องสอน!I346+ลำปาง!I346+ลำพูน!I346+สุโขทัย!I346+อุตรดิตถ์!I346+อุทัยธานี!I346</f>
        <v>129</v>
      </c>
      <c r="J346" s="68">
        <f>กำแพงเพชร!J346+เชียงราย!J346+เชียงใหม่!J346+ตาก!J346+นครสวรรค์!J346+น่าน!J346+พะเยา!J346+พิจิตร!J346+พิษณุโลก!J346+เพชรบูรณ์!J346+แพร่!J346+แม่ฮ่องสอน!J346+ลำปาง!J346+ลำพูน!J346+สุโขทัย!J346+อุตรดิตถ์!J346+อุทัยธานี!J346</f>
        <v>0</v>
      </c>
      <c r="K346" s="49">
        <f t="shared" ca="1" si="34"/>
        <v>0</v>
      </c>
      <c r="L346" s="61"/>
      <c r="M346" s="61"/>
      <c r="N346" s="61"/>
    </row>
    <row r="347" spans="1:14" ht="21.75" customHeight="1" x14ac:dyDescent="0.4">
      <c r="A347" s="55"/>
      <c r="B347" s="56"/>
      <c r="C347" s="56"/>
      <c r="D347" s="73"/>
      <c r="E347" s="77"/>
      <c r="F347" s="75"/>
      <c r="G347" s="76" t="s">
        <v>145</v>
      </c>
      <c r="H347" s="66" t="s">
        <v>16</v>
      </c>
      <c r="I347" s="67">
        <f ca="1">กำแพงเพชร!I347+เชียงราย!I347+เชียงใหม่!I347+ตาก!I347+นครสวรรค์!I347+น่าน!I347+พะเยา!I347+พิจิตร!I347+พิษณุโลก!I347+เพชรบูรณ์!I347+แพร่!I347+แม่ฮ่องสอน!I347+ลำปาง!I347+ลำพูน!I347+สุโขทัย!I347+อุตรดิตถ์!I347+อุทัยธานี!I347</f>
        <v>0</v>
      </c>
      <c r="J347" s="68">
        <f>กำแพงเพชร!J347+เชียงราย!J347+เชียงใหม่!J347+ตาก!J347+นครสวรรค์!J347+น่าน!J347+พะเยา!J347+พิจิตร!J347+พิษณุโลก!J347+เพชรบูรณ์!J347+แพร่!J347+แม่ฮ่องสอน!J347+ลำปาง!J347+ลำพูน!J347+สุโขทัย!J347+อุตรดิตถ์!J347+อุทัยธานี!J347</f>
        <v>0</v>
      </c>
      <c r="K347" s="49">
        <f t="shared" ca="1" si="34"/>
        <v>0</v>
      </c>
      <c r="L347" s="61"/>
      <c r="M347" s="61"/>
      <c r="N347" s="61"/>
    </row>
    <row r="348" spans="1:14" ht="21.75" customHeight="1" x14ac:dyDescent="0.4">
      <c r="A348" s="55"/>
      <c r="B348" s="56"/>
      <c r="C348" s="56"/>
      <c r="D348" s="73"/>
      <c r="E348" s="74" t="s">
        <v>35</v>
      </c>
      <c r="F348" s="75"/>
      <c r="G348" s="76"/>
      <c r="H348" s="66"/>
      <c r="I348" s="67"/>
      <c r="J348" s="68">
        <f>กำแพงเพชร!J348+เชียงราย!J348+เชียงใหม่!J348+ตาก!J348+นครสวรรค์!J348+น่าน!J348+พะเยา!J348+พิจิตร!J348+พิษณุโลก!J348+เพชรบูรณ์!J348+แพร่!J348+แม่ฮ่องสอน!J348+ลำปาง!J348+ลำพูน!J348+สุโขทัย!J348+อุตรดิตถ์!J348+อุทัยธานี!J348</f>
        <v>1</v>
      </c>
      <c r="K348" s="49"/>
      <c r="L348" s="61"/>
      <c r="M348" s="61"/>
      <c r="N348" s="61"/>
    </row>
    <row r="349" spans="1:14" ht="21.75" customHeight="1" x14ac:dyDescent="0.4">
      <c r="A349" s="55"/>
      <c r="B349" s="56"/>
      <c r="C349" s="56"/>
      <c r="D349" s="81">
        <v>3</v>
      </c>
      <c r="E349" s="82" t="s">
        <v>36</v>
      </c>
      <c r="F349" s="83"/>
      <c r="G349" s="84"/>
      <c r="H349" s="66"/>
      <c r="I349" s="67"/>
      <c r="J349" s="85">
        <f>กำแพงเพชร!J349+เชียงราย!J349+เชียงใหม่!J349+ตาก!J349+นครสวรรค์!J349+น่าน!J349+พะเยา!J349+พิจิตร!J349+พิษณุโลก!J349+เพชรบูรณ์!J349+แพร่!J349+แม่ฮ่องสอน!J349+ลำปาง!J349+ลำพูน!J349+สุโขทัย!J349+อุตรดิตถ์!J349+อุทัยธานี!J349</f>
        <v>1</v>
      </c>
      <c r="K349" s="49"/>
      <c r="L349" s="61"/>
      <c r="M349" s="61"/>
      <c r="N349" s="61"/>
    </row>
    <row r="350" spans="1:14" ht="21.75" customHeight="1" x14ac:dyDescent="0.4">
      <c r="A350" s="222"/>
      <c r="B350" s="223">
        <v>5</v>
      </c>
      <c r="C350" s="224" t="s">
        <v>146</v>
      </c>
      <c r="D350" s="224"/>
      <c r="E350" s="224"/>
      <c r="F350" s="224"/>
      <c r="G350" s="225"/>
      <c r="H350" s="226" t="s">
        <v>103</v>
      </c>
      <c r="I350" s="227">
        <f ca="1">กำแพงเพชร!I350+เชียงราย!I350+เชียงใหม่!I350+ตาก!I350+นครสวรรค์!I350+น่าน!I350+พะเยา!I350+พิจิตร!I350+พิษณุโลก!I350+เพชรบูรณ์!I350+แพร่!I350+แม่ฮ่องสอน!I350+ลำปาง!I350+ลำพูน!I350+สุโขทัย!I350+อุตรดิตถ์!I350+อุทัยธานี!I350</f>
        <v>753602</v>
      </c>
      <c r="J350" s="227">
        <f>กำแพงเพชร!J350+เชียงราย!J350+เชียงใหม่!J350+ตาก!J350+นครสวรรค์!J350+น่าน!J350+พะเยา!J350+พิจิตร!J350+พิษณุโลก!J350+เพชรบูรณ์!J350+แพร่!J350+แม่ฮ่องสอน!J350+ลำปาง!J350+ลำพูน!J350+สุโขทัย!J350+อุตรดิตถ์!J350+อุทัยธานี!J350</f>
        <v>0</v>
      </c>
      <c r="K350" s="228">
        <f ca="1">IF(I350&gt;0,J350*100/I350,0)</f>
        <v>0</v>
      </c>
      <c r="L350" s="229">
        <f ca="1">กำแพงเพชร!L350+เชียงราย!L350+เชียงใหม่!L350+ตาก!L350+นครสวรรค์!L350+น่าน!L350+พะเยา!L350+พิจิตร!L350+พิษณุโลก!L350+เพชรบูรณ์!L350+แพร่!L350+แม่ฮ่องสอน!L350+ลำปาง!L350+ลำพูน!L350+สุโขทัย!L350+อุตรดิตถ์!L350+อุทัยธานี!L350</f>
        <v>7607158</v>
      </c>
      <c r="M350" s="229">
        <f>กำแพงเพชร!M350+เชียงราย!M350+เชียงใหม่!M350+ตาก!M350+นครสวรรค์!M350+น่าน!M350+พะเยา!M350+พิจิตร!M350+พิษณุโลก!M350+เพชรบูรณ์!M350+แพร่!M350+แม่ฮ่องสอน!M350+ลำปาง!M350+ลำพูน!M350+สุโขทัย!M350+อุตรดิตถ์!M350+อุทัยธานี!M350</f>
        <v>93005.01</v>
      </c>
      <c r="N350" s="229">
        <f t="shared" ref="N350:N354" ca="1" si="35">+IF(L350&gt;0,M350*100/L350,0)</f>
        <v>1.2225986367050612</v>
      </c>
    </row>
    <row r="351" spans="1:14" ht="21.75" customHeight="1" x14ac:dyDescent="0.4">
      <c r="A351" s="42"/>
      <c r="B351" s="43"/>
      <c r="C351" s="43" t="s">
        <v>17</v>
      </c>
      <c r="D351" s="44" t="s">
        <v>18</v>
      </c>
      <c r="E351" s="45"/>
      <c r="F351" s="45"/>
      <c r="G351" s="46" t="s">
        <v>19</v>
      </c>
      <c r="H351" s="47" t="s">
        <v>20</v>
      </c>
      <c r="I351" s="48" t="s">
        <v>21</v>
      </c>
      <c r="J351" s="48"/>
      <c r="K351" s="49"/>
      <c r="L351" s="50">
        <f>กำแพงเพชร!L351+เชียงราย!L351+เชียงใหม่!L351+ตาก!L351+นครสวรรค์!L351+น่าน!L351+พะเยา!L351+พิจิตร!L351+พิษณุโลก!L351+เพชรบูรณ์!L351+แพร่!L351+แม่ฮ่องสอน!L351+ลำปาง!L351+ลำพูน!L351+สุโขทัย!L351+อุตรดิตถ์!L351+อุทัยธานี!L351</f>
        <v>0</v>
      </c>
      <c r="M351" s="53">
        <f>กำแพงเพชร!M351+เชียงราย!M351+เชียงใหม่!M351+ตาก!M351+นครสวรรค์!M351+น่าน!M351+พะเยา!M351+พิจิตร!M351+พิษณุโลก!M351+เพชรบูรณ์!M351+แพร่!M351+แม่ฮ่องสอน!M351+ลำปาง!M351+ลำพูน!M351+สุโขทัย!M351+อุตรดิตถ์!M351+อุทัยธานี!M351</f>
        <v>0</v>
      </c>
      <c r="N351" s="53">
        <f t="shared" si="35"/>
        <v>0</v>
      </c>
    </row>
    <row r="352" spans="1:14" ht="21.75" customHeight="1" x14ac:dyDescent="0.4">
      <c r="A352" s="42"/>
      <c r="B352" s="43"/>
      <c r="C352" s="43"/>
      <c r="D352" s="51"/>
      <c r="E352" s="45"/>
      <c r="F352" s="45" t="s">
        <v>21</v>
      </c>
      <c r="G352" s="46" t="s">
        <v>22</v>
      </c>
      <c r="H352" s="47" t="s">
        <v>20</v>
      </c>
      <c r="I352" s="48"/>
      <c r="J352" s="48"/>
      <c r="K352" s="49"/>
      <c r="L352" s="50">
        <f ca="1">กำแพงเพชร!L352+เชียงราย!L352+เชียงใหม่!L352+ตาก!L352+นครสวรรค์!L352+น่าน!L352+พะเยา!L352+พิจิตร!L352+พิษณุโลก!L352+เพชรบูรณ์!L352+แพร่!L352+แม่ฮ่องสอน!L352+ลำปาง!L352+ลำพูน!L352+สุโขทัย!L352+อุตรดิตถ์!L352+อุทัยธานี!L352</f>
        <v>7607158</v>
      </c>
      <c r="M352" s="53">
        <f>กำแพงเพชร!M352+เชียงราย!M352+เชียงใหม่!M352+ตาก!M352+นครสวรรค์!M352+น่าน!M352+พะเยา!M352+พิจิตร!M352+พิษณุโลก!M352+เพชรบูรณ์!M352+แพร่!M352+แม่ฮ่องสอน!M352+ลำปาง!M352+ลำพูน!M352+สุโขทัย!M352+อุตรดิตถ์!M352+อุทัยธานี!M352</f>
        <v>93005.01</v>
      </c>
      <c r="N352" s="53">
        <f t="shared" ca="1" si="35"/>
        <v>1.2225986367050612</v>
      </c>
    </row>
    <row r="353" spans="1:14" ht="21.75" customHeight="1" x14ac:dyDescent="0.4">
      <c r="A353" s="42"/>
      <c r="B353" s="43"/>
      <c r="C353" s="43"/>
      <c r="D353" s="51"/>
      <c r="E353" s="45"/>
      <c r="F353" s="45"/>
      <c r="G353" s="52" t="s">
        <v>110</v>
      </c>
      <c r="H353" s="47" t="s">
        <v>20</v>
      </c>
      <c r="I353" s="48"/>
      <c r="J353" s="48"/>
      <c r="K353" s="49"/>
      <c r="L353" s="53">
        <f ca="1">กำแพงเพชร!L353+เชียงราย!L353+เชียงใหม่!L353+ตาก!L353+นครสวรรค์!L353+น่าน!L353+พะเยา!L353+พิจิตร!L353+พิษณุโลก!L353+เพชรบูรณ์!L353+แพร่!L353+แม่ฮ่องสอน!L353+ลำปาง!L353+ลำพูน!L353+สุโขทัย!L353+อุตรดิตถ์!L353+อุทัยธานี!L353</f>
        <v>0</v>
      </c>
      <c r="M353" s="53">
        <f>กำแพงเพชร!M353+เชียงราย!M353+เชียงใหม่!M353+ตาก!M353+นครสวรรค์!M353+น่าน!M353+พะเยา!M353+พิจิตร!M353+พิษณุโลก!M353+เพชรบูรณ์!M353+แพร่!M353+แม่ฮ่องสอน!M353+ลำปาง!M353+ลำพูน!M353+สุโขทัย!M353+อุตรดิตถ์!M353+อุทัยธานี!M353</f>
        <v>0</v>
      </c>
      <c r="N353" s="53">
        <f t="shared" ca="1" si="35"/>
        <v>0</v>
      </c>
    </row>
    <row r="354" spans="1:14" ht="21.75" customHeight="1" x14ac:dyDescent="0.4">
      <c r="A354" s="42"/>
      <c r="B354" s="43"/>
      <c r="C354" s="43"/>
      <c r="D354" s="51"/>
      <c r="E354" s="45"/>
      <c r="F354" s="45"/>
      <c r="G354" s="52" t="s">
        <v>111</v>
      </c>
      <c r="H354" s="47" t="s">
        <v>20</v>
      </c>
      <c r="I354" s="48"/>
      <c r="J354" s="48"/>
      <c r="K354" s="49"/>
      <c r="L354" s="53">
        <f ca="1">กำแพงเพชร!L354+เชียงราย!L354+เชียงใหม่!L354+ตาก!L354+นครสวรรค์!L354+น่าน!L354+พะเยา!L354+พิจิตร!L354+พิษณุโลก!L354+เพชรบูรณ์!L354+แพร่!L354+แม่ฮ่องสอน!L354+ลำปาง!L354+ลำพูน!L354+สุโขทัย!L354+อุตรดิตถ์!L354+อุทัยธานี!L354</f>
        <v>7607158</v>
      </c>
      <c r="M354" s="53">
        <f>กำแพงเพชร!M354+เชียงราย!M354+เชียงใหม่!M354+ตาก!M354+นครสวรรค์!M354+น่าน!M354+พะเยา!M354+พิจิตร!M354+พิษณุโลก!M354+เพชรบูรณ์!M354+แพร่!M354+แม่ฮ่องสอน!M354+ลำปาง!M354+ลำพูน!M354+สุโขทัย!M354+อุตรดิตถ์!M354+อุทัยธานี!M354</f>
        <v>93005.01</v>
      </c>
      <c r="N354" s="53">
        <f t="shared" ca="1" si="35"/>
        <v>1.2225986367050612</v>
      </c>
    </row>
    <row r="355" spans="1:14" ht="21.75" customHeight="1" x14ac:dyDescent="0.4">
      <c r="A355" s="230"/>
      <c r="B355" s="231"/>
      <c r="C355" s="43"/>
      <c r="D355" s="232"/>
      <c r="E355" s="45"/>
      <c r="F355" s="45"/>
      <c r="G355" s="46" t="s">
        <v>112</v>
      </c>
      <c r="H355" s="47" t="s">
        <v>20</v>
      </c>
      <c r="I355" s="67"/>
      <c r="J355" s="67"/>
      <c r="K355" s="233"/>
      <c r="L355" s="53"/>
      <c r="M355" s="54">
        <f>กำแพงเพชร!M355+เชียงราย!M355+เชียงใหม่!M355+ตาก!M355+นครสวรรค์!M355+น่าน!M355+พะเยา!M355+พิจิตร!M355+พิษณุโลก!M355+เพชรบูรณ์!M355+แพร่!M355+แม่ฮ่องสอน!M355+ลำปาง!M355+ลำพูน!M355+สุโขทัย!M355+อุตรดิตถ์!M355+อุทัยธานี!M355</f>
        <v>0</v>
      </c>
      <c r="N355" s="53"/>
    </row>
    <row r="356" spans="1:14" ht="21.75" customHeight="1" x14ac:dyDescent="0.4">
      <c r="A356" s="230"/>
      <c r="B356" s="231"/>
      <c r="C356" s="43"/>
      <c r="D356" s="232"/>
      <c r="E356" s="45"/>
      <c r="F356" s="45"/>
      <c r="G356" s="46" t="s">
        <v>113</v>
      </c>
      <c r="H356" s="47" t="s">
        <v>20</v>
      </c>
      <c r="I356" s="67"/>
      <c r="J356" s="67"/>
      <c r="K356" s="233"/>
      <c r="L356" s="53"/>
      <c r="M356" s="54">
        <f>กำแพงเพชร!M356+เชียงราย!M356+เชียงใหม่!M356+ตาก!M356+นครสวรรค์!M356+น่าน!M356+พะเยา!M356+พิจิตร!M356+พิษณุโลก!M356+เพชรบูรณ์!M356+แพร่!M356+แม่ฮ่องสอน!M356+ลำปาง!M356+ลำพูน!M356+สุโขทัย!M356+อุตรดิตถ์!M356+อุทัยธานี!M356</f>
        <v>0</v>
      </c>
      <c r="N356" s="53"/>
    </row>
    <row r="357" spans="1:14" ht="21.75" customHeight="1" x14ac:dyDescent="0.4">
      <c r="A357" s="230"/>
      <c r="B357" s="231"/>
      <c r="C357" s="43"/>
      <c r="D357" s="232"/>
      <c r="E357" s="45"/>
      <c r="F357" s="45"/>
      <c r="G357" s="46" t="s">
        <v>114</v>
      </c>
      <c r="H357" s="47" t="s">
        <v>20</v>
      </c>
      <c r="I357" s="67"/>
      <c r="J357" s="67"/>
      <c r="K357" s="233"/>
      <c r="L357" s="53"/>
      <c r="M357" s="54">
        <f>กำแพงเพชร!M357+เชียงราย!M357+เชียงใหม่!M357+ตาก!M357+นครสวรรค์!M357+น่าน!M357+พะเยา!M357+พิจิตร!M357+พิษณุโลก!M357+เพชรบูรณ์!M357+แพร่!M357+แม่ฮ่องสอน!M357+ลำปาง!M357+ลำพูน!M357+สุโขทัย!M357+อุตรดิตถ์!M357+อุทัยธานี!M357</f>
        <v>46744.009999999995</v>
      </c>
      <c r="N357" s="53"/>
    </row>
    <row r="358" spans="1:14" ht="21.75" customHeight="1" x14ac:dyDescent="0.4">
      <c r="A358" s="230"/>
      <c r="B358" s="231"/>
      <c r="C358" s="43"/>
      <c r="D358" s="232"/>
      <c r="E358" s="45"/>
      <c r="F358" s="45"/>
      <c r="G358" s="46" t="s">
        <v>115</v>
      </c>
      <c r="H358" s="47" t="s">
        <v>20</v>
      </c>
      <c r="I358" s="67"/>
      <c r="J358" s="67"/>
      <c r="K358" s="233"/>
      <c r="L358" s="53"/>
      <c r="M358" s="54">
        <f>กำแพงเพชร!M358+เชียงราย!M358+เชียงใหม่!M358+ตาก!M358+นครสวรรค์!M358+น่าน!M358+พะเยา!M358+พิจิตร!M358+พิษณุโลก!M358+เพชรบูรณ์!M358+แพร่!M358+แม่ฮ่องสอน!M358+ลำปาง!M358+ลำพูน!M358+สุโขทัย!M358+อุตรดิตถ์!M358+อุทัยธานี!M358</f>
        <v>46261</v>
      </c>
      <c r="N358" s="53"/>
    </row>
    <row r="359" spans="1:14" ht="21.75" customHeight="1" x14ac:dyDescent="0.4">
      <c r="A359" s="55"/>
      <c r="B359" s="56"/>
      <c r="C359" s="261" t="s">
        <v>147</v>
      </c>
      <c r="D359" s="261"/>
      <c r="E359" s="262"/>
      <c r="F359" s="262"/>
      <c r="G359" s="263"/>
      <c r="H359" s="136" t="s">
        <v>103</v>
      </c>
      <c r="I359" s="137">
        <f ca="1">กำแพงเพชร!I359+เชียงราย!I359+เชียงใหม่!I359+ตาก!I359+นครสวรรค์!I359+น่าน!I359+พะเยา!I359+พิจิตร!I359+พิษณุโลก!I359+เพชรบูรณ์!I359+แพร่!I359+แม่ฮ่องสอน!I359+ลำปาง!I359+ลำพูน!I359+สุโขทัย!I359+อุตรดิตถ์!I359+อุทัยธานี!I359</f>
        <v>753602</v>
      </c>
      <c r="J359" s="137">
        <f>กำแพงเพชร!J359+เชียงราย!J359+เชียงใหม่!J359+ตาก!J359+นครสวรรค์!J359+น่าน!J359+พะเยา!J359+พิจิตร!J359+พิษณุโลก!J359+เพชรบูรณ์!J359+แพร่!J359+แม่ฮ่องสอน!J359+ลำปาง!J359+ลำพูน!J359+สุโขทัย!J359+อุตรดิตถ์!J359+อุทัยธานี!J359</f>
        <v>0</v>
      </c>
      <c r="K359" s="138">
        <f t="shared" ref="K359:K425" ca="1" si="36">IF(I359&gt;0,J359*100/I359,0)</f>
        <v>0</v>
      </c>
      <c r="L359" s="140"/>
      <c r="M359" s="140"/>
      <c r="N359" s="140"/>
    </row>
    <row r="360" spans="1:14" ht="21.75" customHeight="1" x14ac:dyDescent="0.4">
      <c r="A360" s="249"/>
      <c r="B360" s="250"/>
      <c r="C360" s="250"/>
      <c r="D360" s="251"/>
      <c r="E360" s="73" t="s">
        <v>148</v>
      </c>
      <c r="F360" s="75"/>
      <c r="G360" s="76"/>
      <c r="H360" s="264" t="s">
        <v>103</v>
      </c>
      <c r="I360" s="265">
        <f ca="1">กำแพงเพชร!I360+เชียงราย!I360+เชียงใหม่!I360+ตาก!I360+นครสวรรค์!I360+น่าน!I360+พะเยา!I360+พิจิตร!I360+พิษณุโลก!I360+เพชรบูรณ์!I360+แพร่!I360+แม่ฮ่องสอน!I360+ลำปาง!I360+ลำพูน!I360+สุโขทัย!I360+อุตรดิตถ์!I360+อุทัยธานี!I360</f>
        <v>753602</v>
      </c>
      <c r="J360" s="265">
        <f>กำแพงเพชร!J360+เชียงราย!J360+เชียงใหม่!J360+ตาก!J360+นครสวรรค์!J360+น่าน!J360+พะเยา!J360+พิจิตร!J360+พิษณุโลก!J360+เพชรบูรณ์!J360+แพร่!J360+แม่ฮ่องสอน!J360+ลำปาง!J360+ลำพูน!J360+สุโขทัย!J360+อุตรดิตถ์!J360+อุทัยธานี!J360</f>
        <v>16690</v>
      </c>
      <c r="K360" s="80">
        <f t="shared" ca="1" si="36"/>
        <v>2.2146968824392719</v>
      </c>
      <c r="L360" s="61"/>
      <c r="M360" s="61"/>
      <c r="N360" s="61"/>
    </row>
    <row r="361" spans="1:14" ht="21.75" customHeight="1" x14ac:dyDescent="0.4">
      <c r="A361" s="249"/>
      <c r="B361" s="250"/>
      <c r="C361" s="250"/>
      <c r="D361" s="251"/>
      <c r="E361" s="75"/>
      <c r="F361" s="75"/>
      <c r="G361" s="76"/>
      <c r="H361" s="264" t="s">
        <v>15</v>
      </c>
      <c r="I361" s="265">
        <f ca="1">กำแพงเพชร!I361+เชียงราย!I361+เชียงใหม่!I361+ตาก!I361+นครสวรรค์!I361+น่าน!I361+พะเยา!I361+พิจิตร!I361+พิษณุโลก!I361+เพชรบูรณ์!I361+แพร่!I361+แม่ฮ่องสอน!I361+ลำปาง!I361+ลำพูน!I361+สุโขทัย!I361+อุตรดิตถ์!I361+อุทัยธานี!I361</f>
        <v>94924</v>
      </c>
      <c r="J361" s="265">
        <f>กำแพงเพชร!J361+เชียงราย!J361+เชียงใหม่!J361+ตาก!J361+นครสวรรค์!J361+น่าน!J361+พะเยา!J361+พิจิตร!J361+พิษณุโลก!J361+เพชรบูรณ์!J361+แพร่!J361+แม่ฮ่องสอน!J361+ลำปาง!J361+ลำพูน!J361+สุโขทัย!J361+อุตรดิตถ์!J361+อุทัยธานี!J361</f>
        <v>1416</v>
      </c>
      <c r="K361" s="80">
        <f t="shared" ca="1" si="36"/>
        <v>1.4917196915427078</v>
      </c>
      <c r="L361" s="61"/>
      <c r="M361" s="61"/>
      <c r="N361" s="61"/>
    </row>
    <row r="362" spans="1:14" ht="21.75" customHeight="1" x14ac:dyDescent="0.4">
      <c r="A362" s="249"/>
      <c r="B362" s="250"/>
      <c r="C362" s="250"/>
      <c r="D362" s="251"/>
      <c r="E362" s="75"/>
      <c r="F362" s="242" t="s">
        <v>149</v>
      </c>
      <c r="G362" s="266"/>
      <c r="H362" s="267" t="s">
        <v>103</v>
      </c>
      <c r="I362" s="48">
        <v>0</v>
      </c>
      <c r="J362" s="68">
        <f>กำแพงเพชร!J362+เชียงราย!J362+เชียงใหม่!J362+ตาก!J362+นครสวรรค์!J362+น่าน!J362+พะเยา!J362+พิจิตร!J362+พิษณุโลก!J362+เพชรบูรณ์!J362+แพร่!J362+แม่ฮ่องสอน!J362+ลำปาง!J362+ลำพูน!J362+สุโขทัย!J362+อุตรดิตถ์!J362+อุทัยธานี!J362</f>
        <v>14768</v>
      </c>
      <c r="K362" s="49">
        <f t="shared" si="36"/>
        <v>0</v>
      </c>
      <c r="L362" s="61"/>
      <c r="M362" s="61"/>
      <c r="N362" s="61"/>
    </row>
    <row r="363" spans="1:14" ht="21.75" customHeight="1" x14ac:dyDescent="0.4">
      <c r="A363" s="249"/>
      <c r="B363" s="250"/>
      <c r="C363" s="250"/>
      <c r="D363" s="251"/>
      <c r="E363" s="75"/>
      <c r="F363" s="75"/>
      <c r="G363" s="266"/>
      <c r="H363" s="267" t="s">
        <v>15</v>
      </c>
      <c r="I363" s="48">
        <v>0</v>
      </c>
      <c r="J363" s="68">
        <f>กำแพงเพชร!J363+เชียงราย!J363+เชียงใหม่!J363+ตาก!J363+นครสวรรค์!J363+น่าน!J363+พะเยา!J363+พิจิตร!J363+พิษณุโลก!J363+เพชรบูรณ์!J363+แพร่!J363+แม่ฮ่องสอน!J363+ลำปาง!J363+ลำพูน!J363+สุโขทัย!J363+อุตรดิตถ์!J363+อุทัยธานี!J363</f>
        <v>1247</v>
      </c>
      <c r="K363" s="49">
        <f t="shared" si="36"/>
        <v>0</v>
      </c>
      <c r="L363" s="61"/>
      <c r="M363" s="61"/>
      <c r="N363" s="61"/>
    </row>
    <row r="364" spans="1:14" ht="21.75" customHeight="1" x14ac:dyDescent="0.4">
      <c r="A364" s="249"/>
      <c r="B364" s="250"/>
      <c r="C364" s="250"/>
      <c r="D364" s="251"/>
      <c r="E364" s="75"/>
      <c r="F364" s="242" t="s">
        <v>150</v>
      </c>
      <c r="G364" s="266"/>
      <c r="H364" s="267" t="s">
        <v>103</v>
      </c>
      <c r="I364" s="48">
        <v>0</v>
      </c>
      <c r="J364" s="68">
        <f>กำแพงเพชร!J364+เชียงราย!J364+เชียงใหม่!J364+ตาก!J364+นครสวรรค์!J364+น่าน!J364+พะเยา!J364+พิจิตร!J364+พิษณุโลก!J364+เพชรบูรณ์!J364+แพร่!J364+แม่ฮ่องสอน!J364+ลำปาง!J364+ลำพูน!J364+สุโขทัย!J364+อุตรดิตถ์!J364+อุทัยธานี!J364</f>
        <v>1704</v>
      </c>
      <c r="K364" s="49">
        <f t="shared" si="36"/>
        <v>0</v>
      </c>
      <c r="L364" s="61"/>
      <c r="M364" s="61"/>
      <c r="N364" s="61"/>
    </row>
    <row r="365" spans="1:14" ht="21.75" customHeight="1" x14ac:dyDescent="0.4">
      <c r="A365" s="249"/>
      <c r="B365" s="250"/>
      <c r="C365" s="250"/>
      <c r="D365" s="251"/>
      <c r="E365" s="75"/>
      <c r="F365" s="75"/>
      <c r="G365" s="266"/>
      <c r="H365" s="267" t="s">
        <v>15</v>
      </c>
      <c r="I365" s="48">
        <v>0</v>
      </c>
      <c r="J365" s="68">
        <f>กำแพงเพชร!J365+เชียงราย!J365+เชียงใหม่!J365+ตาก!J365+นครสวรรค์!J365+น่าน!J365+พะเยา!J365+พิจิตร!J365+พิษณุโลก!J365+เพชรบูรณ์!J365+แพร่!J365+แม่ฮ่องสอน!J365+ลำปาง!J365+ลำพูน!J365+สุโขทัย!J365+อุตรดิตถ์!J365+อุทัยธานี!J365</f>
        <v>130</v>
      </c>
      <c r="K365" s="49">
        <f t="shared" si="36"/>
        <v>0</v>
      </c>
      <c r="L365" s="61"/>
      <c r="M365" s="61"/>
      <c r="N365" s="61"/>
    </row>
    <row r="366" spans="1:14" ht="21.75" customHeight="1" x14ac:dyDescent="0.4">
      <c r="A366" s="249"/>
      <c r="B366" s="250"/>
      <c r="C366" s="250"/>
      <c r="D366" s="251"/>
      <c r="E366" s="75"/>
      <c r="F366" s="242" t="s">
        <v>151</v>
      </c>
      <c r="G366" s="266"/>
      <c r="H366" s="267" t="s">
        <v>103</v>
      </c>
      <c r="I366" s="48">
        <v>0</v>
      </c>
      <c r="J366" s="68">
        <f>กำแพงเพชร!J366+เชียงราย!J366+เชียงใหม่!J366+ตาก!J366+นครสวรรค์!J366+น่าน!J366+พะเยา!J366+พิจิตร!J366+พิษณุโลก!J366+เพชรบูรณ์!J366+แพร่!J366+แม่ฮ่องสอน!J366+ลำปาง!J366+ลำพูน!J366+สุโขทัย!J366+อุตรดิตถ์!J366+อุทัยธานี!J366</f>
        <v>218</v>
      </c>
      <c r="K366" s="49">
        <f t="shared" si="36"/>
        <v>0</v>
      </c>
      <c r="L366" s="61"/>
      <c r="M366" s="61"/>
      <c r="N366" s="61"/>
    </row>
    <row r="367" spans="1:14" ht="21.75" customHeight="1" x14ac:dyDescent="0.4">
      <c r="A367" s="249"/>
      <c r="B367" s="250"/>
      <c r="C367" s="250"/>
      <c r="D367" s="251"/>
      <c r="E367" s="75"/>
      <c r="F367" s="75"/>
      <c r="G367" s="75"/>
      <c r="H367" s="267" t="s">
        <v>15</v>
      </c>
      <c r="I367" s="48">
        <v>0</v>
      </c>
      <c r="J367" s="68">
        <f>กำแพงเพชร!J367+เชียงราย!J367+เชียงใหม่!J367+ตาก!J367+นครสวรรค์!J367+น่าน!J367+พะเยา!J367+พิจิตร!J367+พิษณุโลก!J367+เพชรบูรณ์!J367+แพร่!J367+แม่ฮ่องสอน!J367+ลำปาง!J367+ลำพูน!J367+สุโขทัย!J367+อุตรดิตถ์!J367+อุทัยธานี!J367</f>
        <v>39</v>
      </c>
      <c r="K367" s="49">
        <f t="shared" si="36"/>
        <v>0</v>
      </c>
      <c r="L367" s="61"/>
      <c r="M367" s="61"/>
      <c r="N367" s="61"/>
    </row>
    <row r="368" spans="1:14" ht="21.75" customHeight="1" x14ac:dyDescent="0.4">
      <c r="A368" s="249"/>
      <c r="B368" s="250"/>
      <c r="C368" s="250"/>
      <c r="D368" s="251"/>
      <c r="E368" s="155" t="s">
        <v>152</v>
      </c>
      <c r="F368" s="75"/>
      <c r="G368" s="76"/>
      <c r="H368" s="264" t="s">
        <v>103</v>
      </c>
      <c r="I368" s="265">
        <f ca="1">กำแพงเพชร!I368+เชียงราย!I368+เชียงใหม่!I368+ตาก!I368+นครสวรรค์!I368+น่าน!I368+พะเยา!I368+พิจิตร!I368+พิษณุโลก!I368+เพชรบูรณ์!I368+แพร่!I368+แม่ฮ่องสอน!I368+ลำปาง!I368+ลำพูน!I368+สุโขทัย!I368+อุตรดิตถ์!I368+อุทัยธานี!I368</f>
        <v>753602</v>
      </c>
      <c r="J368" s="265">
        <f>กำแพงเพชร!J368+เชียงราย!J368+เชียงใหม่!J368+ตาก!J368+นครสวรรค์!J368+น่าน!J368+พะเยา!J368+พิจิตร!J368+พิษณุโลก!J368+เพชรบูรณ์!J368+แพร่!J368+แม่ฮ่องสอน!J368+ลำปาง!J368+ลำพูน!J368+สุโขทัย!J368+อุตรดิตถ์!J368+อุทัยธานี!J368</f>
        <v>0</v>
      </c>
      <c r="K368" s="80">
        <f t="shared" ca="1" si="36"/>
        <v>0</v>
      </c>
      <c r="L368" s="61"/>
      <c r="M368" s="61"/>
      <c r="N368" s="61"/>
    </row>
    <row r="369" spans="1:14" ht="21.75" customHeight="1" x14ac:dyDescent="0.4">
      <c r="A369" s="249"/>
      <c r="B369" s="250"/>
      <c r="C369" s="250"/>
      <c r="D369" s="251"/>
      <c r="E369" s="75"/>
      <c r="F369" s="75"/>
      <c r="G369" s="76"/>
      <c r="H369" s="264" t="s">
        <v>15</v>
      </c>
      <c r="I369" s="265">
        <f ca="1">กำแพงเพชร!I369+เชียงราย!I369+เชียงใหม่!I369+ตาก!I369+นครสวรรค์!I369+น่าน!I369+พะเยา!I369+พิจิตร!I369+พิษณุโลก!I369+เพชรบูรณ์!I369+แพร่!I369+แม่ฮ่องสอน!I369+ลำปาง!I369+ลำพูน!I369+สุโขทัย!I369+อุตรดิตถ์!I369+อุทัยธานี!I369</f>
        <v>94924</v>
      </c>
      <c r="J369" s="265">
        <f>กำแพงเพชร!J369+เชียงราย!J369+เชียงใหม่!J369+ตาก!J369+นครสวรรค์!J369+น่าน!J369+พะเยา!J369+พิจิตร!J369+พิษณุโลก!J369+เพชรบูรณ์!J369+แพร่!J369+แม่ฮ่องสอน!J369+ลำปาง!J369+ลำพูน!J369+สุโขทัย!J369+อุตรดิตถ์!J369+อุทัยธานี!J369</f>
        <v>0</v>
      </c>
      <c r="K369" s="80">
        <f t="shared" ca="1" si="36"/>
        <v>0</v>
      </c>
      <c r="L369" s="61"/>
      <c r="M369" s="61"/>
      <c r="N369" s="61"/>
    </row>
    <row r="370" spans="1:14" ht="21.75" customHeight="1" x14ac:dyDescent="0.4">
      <c r="A370" s="249"/>
      <c r="B370" s="250"/>
      <c r="C370" s="250"/>
      <c r="D370" s="251"/>
      <c r="E370" s="75"/>
      <c r="F370" s="74" t="s">
        <v>153</v>
      </c>
      <c r="G370" s="266"/>
      <c r="H370" s="267" t="s">
        <v>103</v>
      </c>
      <c r="I370" s="48">
        <v>0</v>
      </c>
      <c r="J370" s="68">
        <f>กำแพงเพชร!J370+เชียงราย!J370+เชียงใหม่!J370+ตาก!J370+นครสวรรค์!J370+น่าน!J370+พะเยา!J370+พิจิตร!J370+พิษณุโลก!J370+เพชรบูรณ์!J370+แพร่!J370+แม่ฮ่องสอน!J370+ลำปาง!J370+ลำพูน!J370+สุโขทัย!J370+อุตรดิตถ์!J370+อุทัยธานี!J370</f>
        <v>0</v>
      </c>
      <c r="K370" s="49">
        <f t="shared" si="36"/>
        <v>0</v>
      </c>
      <c r="L370" s="61"/>
      <c r="M370" s="61"/>
      <c r="N370" s="61"/>
    </row>
    <row r="371" spans="1:14" ht="21.75" customHeight="1" x14ac:dyDescent="0.4">
      <c r="A371" s="249"/>
      <c r="B371" s="250"/>
      <c r="C371" s="250"/>
      <c r="D371" s="251"/>
      <c r="E371" s="75"/>
      <c r="F371" s="75"/>
      <c r="G371" s="266"/>
      <c r="H371" s="267" t="s">
        <v>15</v>
      </c>
      <c r="I371" s="48">
        <v>0</v>
      </c>
      <c r="J371" s="68">
        <f>กำแพงเพชร!J371+เชียงราย!J371+เชียงใหม่!J371+ตาก!J371+นครสวรรค์!J371+น่าน!J371+พะเยา!J371+พิจิตร!J371+พิษณุโลก!J371+เพชรบูรณ์!J371+แพร่!J371+แม่ฮ่องสอน!J371+ลำปาง!J371+ลำพูน!J371+สุโขทัย!J371+อุตรดิตถ์!J371+อุทัยธานี!J371</f>
        <v>0</v>
      </c>
      <c r="K371" s="49">
        <f t="shared" si="36"/>
        <v>0</v>
      </c>
      <c r="L371" s="61"/>
      <c r="M371" s="61"/>
      <c r="N371" s="61"/>
    </row>
    <row r="372" spans="1:14" ht="21.75" customHeight="1" x14ac:dyDescent="0.4">
      <c r="A372" s="249"/>
      <c r="B372" s="250"/>
      <c r="C372" s="250"/>
      <c r="D372" s="251"/>
      <c r="E372" s="75"/>
      <c r="F372" s="74" t="s">
        <v>154</v>
      </c>
      <c r="G372" s="266"/>
      <c r="H372" s="267" t="s">
        <v>103</v>
      </c>
      <c r="I372" s="48">
        <v>0</v>
      </c>
      <c r="J372" s="68">
        <f>กำแพงเพชร!J372+เชียงราย!J372+เชียงใหม่!J372+ตาก!J372+นครสวรรค์!J372+น่าน!J372+พะเยา!J372+พิจิตร!J372+พิษณุโลก!J372+เพชรบูรณ์!J372+แพร่!J372+แม่ฮ่องสอน!J372+ลำปาง!J372+ลำพูน!J372+สุโขทัย!J372+อุตรดิตถ์!J372+อุทัยธานี!J372</f>
        <v>0</v>
      </c>
      <c r="K372" s="49">
        <f t="shared" si="36"/>
        <v>0</v>
      </c>
      <c r="L372" s="61"/>
      <c r="M372" s="61"/>
      <c r="N372" s="61"/>
    </row>
    <row r="373" spans="1:14" ht="21.75" customHeight="1" x14ac:dyDescent="0.4">
      <c r="A373" s="249"/>
      <c r="B373" s="250"/>
      <c r="C373" s="250"/>
      <c r="D373" s="251"/>
      <c r="E373" s="75"/>
      <c r="F373" s="75"/>
      <c r="G373" s="266"/>
      <c r="H373" s="267" t="s">
        <v>15</v>
      </c>
      <c r="I373" s="48">
        <v>0</v>
      </c>
      <c r="J373" s="68">
        <f>กำแพงเพชร!J373+เชียงราย!J373+เชียงใหม่!J373+ตาก!J373+นครสวรรค์!J373+น่าน!J373+พะเยา!J373+พิจิตร!J373+พิษณุโลก!J373+เพชรบูรณ์!J373+แพร่!J373+แม่ฮ่องสอน!J373+ลำปาง!J373+ลำพูน!J373+สุโขทัย!J373+อุตรดิตถ์!J373+อุทัยธานี!J373</f>
        <v>0</v>
      </c>
      <c r="K373" s="49">
        <f t="shared" si="36"/>
        <v>0</v>
      </c>
      <c r="L373" s="61"/>
      <c r="M373" s="61"/>
      <c r="N373" s="61"/>
    </row>
    <row r="374" spans="1:14" ht="21.75" customHeight="1" x14ac:dyDescent="0.4">
      <c r="A374" s="249"/>
      <c r="B374" s="250"/>
      <c r="C374" s="250"/>
      <c r="D374" s="251"/>
      <c r="E374" s="75"/>
      <c r="F374" s="74" t="s">
        <v>155</v>
      </c>
      <c r="G374" s="266"/>
      <c r="H374" s="267" t="s">
        <v>103</v>
      </c>
      <c r="I374" s="48">
        <v>0</v>
      </c>
      <c r="J374" s="68">
        <f>กำแพงเพชร!J374+เชียงราย!J374+เชียงใหม่!J374+ตาก!J374+นครสวรรค์!J374+น่าน!J374+พะเยา!J374+พิจิตร!J374+พิษณุโลก!J374+เพชรบูรณ์!J374+แพร่!J374+แม่ฮ่องสอน!J374+ลำปาง!J374+ลำพูน!J374+สุโขทัย!J374+อุตรดิตถ์!J374+อุทัยธานี!J374</f>
        <v>0</v>
      </c>
      <c r="K374" s="49">
        <f t="shared" si="36"/>
        <v>0</v>
      </c>
      <c r="L374" s="61"/>
      <c r="M374" s="61"/>
      <c r="N374" s="61"/>
    </row>
    <row r="375" spans="1:14" ht="21.75" customHeight="1" x14ac:dyDescent="0.4">
      <c r="A375" s="249"/>
      <c r="B375" s="250"/>
      <c r="C375" s="250"/>
      <c r="D375" s="251"/>
      <c r="E375" s="75"/>
      <c r="F375" s="75"/>
      <c r="G375" s="76"/>
      <c r="H375" s="267" t="s">
        <v>15</v>
      </c>
      <c r="I375" s="48">
        <v>0</v>
      </c>
      <c r="J375" s="68">
        <f>กำแพงเพชร!J375+เชียงราย!J375+เชียงใหม่!J375+ตาก!J375+นครสวรรค์!J375+น่าน!J375+พะเยา!J375+พิจิตร!J375+พิษณุโลก!J375+เพชรบูรณ์!J375+แพร่!J375+แม่ฮ่องสอน!J375+ลำปาง!J375+ลำพูน!J375+สุโขทัย!J375+อุตรดิตถ์!J375+อุทัยธานี!J375</f>
        <v>0</v>
      </c>
      <c r="K375" s="49">
        <f t="shared" si="36"/>
        <v>0</v>
      </c>
      <c r="L375" s="61"/>
      <c r="M375" s="61"/>
      <c r="N375" s="61"/>
    </row>
    <row r="376" spans="1:14" ht="21.75" customHeight="1" x14ac:dyDescent="0.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กำแพงเพชร!I376+เชียงราย!I376+เชียงใหม่!I376+ตาก!I376+นครสวรรค์!I376+น่าน!I376+พะเยา!I376+พิจิตร!I376+พิษณุโลก!I376+เพชรบูรณ์!I376+แพร่!I376+แม่ฮ่องสอน!I376+ลำปาง!I376+ลำพูน!I376+สุโขทัย!I376+อุตรดิตถ์!I376+อุทัยธานี!I376</f>
        <v>753602</v>
      </c>
      <c r="J376" s="265">
        <f>กำแพงเพชร!J376+เชียงราย!J376+เชียงใหม่!J376+ตาก!J376+นครสวรรค์!J376+น่าน!J376+พะเยา!J376+พิจิตร!J376+พิษณุโลก!J376+เพชรบูรณ์!J376+แพร่!J376+แม่ฮ่องสอน!J376+ลำปาง!J376+ลำพูน!J376+สุโขทัย!J376+อุตรดิตถ์!J376+อุทัยธานี!J376</f>
        <v>0</v>
      </c>
      <c r="K376" s="80">
        <f t="shared" ca="1" si="36"/>
        <v>0</v>
      </c>
      <c r="L376" s="275"/>
      <c r="M376" s="275"/>
      <c r="N376" s="275"/>
    </row>
    <row r="377" spans="1:14" ht="21.75" customHeight="1" x14ac:dyDescent="0.4">
      <c r="A377" s="249"/>
      <c r="B377" s="250"/>
      <c r="C377" s="250"/>
      <c r="D377" s="251"/>
      <c r="E377" s="75"/>
      <c r="F377" s="75"/>
      <c r="G377" s="76"/>
      <c r="H377" s="264" t="s">
        <v>15</v>
      </c>
      <c r="I377" s="265">
        <f ca="1">กำแพงเพชร!I377+เชียงราย!I377+เชียงใหม่!I377+ตาก!I377+นครสวรรค์!I377+น่าน!I377+พะเยา!I377+พิจิตร!I377+พิษณุโลก!I377+เพชรบูรณ์!I377+แพร่!I377+แม่ฮ่องสอน!I377+ลำปาง!I377+ลำพูน!I377+สุโขทัย!I377+อุตรดิตถ์!I377+อุทัยธานี!I377</f>
        <v>94924</v>
      </c>
      <c r="J377" s="265">
        <f>กำแพงเพชร!J377+เชียงราย!J377+เชียงใหม่!J377+ตาก!J377+นครสวรรค์!J377+น่าน!J377+พะเยา!J377+พิจิตร!J377+พิษณุโลก!J377+เพชรบูรณ์!J377+แพร่!J377+แม่ฮ่องสอน!J377+ลำปาง!J377+ลำพูน!J377+สุโขทัย!J377+อุตรดิตถ์!J377+อุทัยธานี!J377</f>
        <v>0</v>
      </c>
      <c r="K377" s="80">
        <f t="shared" ca="1" si="36"/>
        <v>0</v>
      </c>
      <c r="L377" s="61"/>
      <c r="M377" s="61"/>
      <c r="N377" s="61"/>
    </row>
    <row r="378" spans="1:14" ht="21.75" customHeight="1" x14ac:dyDescent="0.4">
      <c r="A378" s="249"/>
      <c r="B378" s="250"/>
      <c r="C378" s="250"/>
      <c r="D378" s="251"/>
      <c r="E378" s="75"/>
      <c r="F378" s="74" t="s">
        <v>157</v>
      </c>
      <c r="G378" s="266"/>
      <c r="H378" s="267" t="s">
        <v>103</v>
      </c>
      <c r="I378" s="48">
        <v>0</v>
      </c>
      <c r="J378" s="68">
        <f>กำแพงเพชร!J378+เชียงราย!J378+เชียงใหม่!J378+ตาก!J378+นครสวรรค์!J378+น่าน!J378+พะเยา!J378+พิจิตร!J378+พิษณุโลก!J378+เพชรบูรณ์!J378+แพร่!J378+แม่ฮ่องสอน!J378+ลำปาง!J378+ลำพูน!J378+สุโขทัย!J378+อุตรดิตถ์!J378+อุทัยธานี!J378</f>
        <v>0</v>
      </c>
      <c r="K378" s="49">
        <f t="shared" si="36"/>
        <v>0</v>
      </c>
      <c r="L378" s="61"/>
      <c r="M378" s="61"/>
      <c r="N378" s="61"/>
    </row>
    <row r="379" spans="1:14" ht="21.75" customHeight="1" x14ac:dyDescent="0.4">
      <c r="A379" s="249"/>
      <c r="B379" s="250"/>
      <c r="C379" s="250"/>
      <c r="D379" s="251"/>
      <c r="E379" s="75"/>
      <c r="F379" s="75"/>
      <c r="G379" s="266"/>
      <c r="H379" s="267" t="s">
        <v>15</v>
      </c>
      <c r="I379" s="48">
        <v>0</v>
      </c>
      <c r="J379" s="68">
        <f>กำแพงเพชร!J379+เชียงราย!J379+เชียงใหม่!J379+ตาก!J379+นครสวรรค์!J379+น่าน!J379+พะเยา!J379+พิจิตร!J379+พิษณุโลก!J379+เพชรบูรณ์!J379+แพร่!J379+แม่ฮ่องสอน!J379+ลำปาง!J379+ลำพูน!J379+สุโขทัย!J379+อุตรดิตถ์!J379+อุทัยธานี!J379</f>
        <v>0</v>
      </c>
      <c r="K379" s="49">
        <f t="shared" si="36"/>
        <v>0</v>
      </c>
      <c r="L379" s="61"/>
      <c r="M379" s="61"/>
      <c r="N379" s="61"/>
    </row>
    <row r="380" spans="1:14" ht="21.75" customHeight="1" x14ac:dyDescent="0.4">
      <c r="A380" s="249"/>
      <c r="B380" s="250"/>
      <c r="C380" s="250"/>
      <c r="D380" s="251"/>
      <c r="E380" s="75"/>
      <c r="F380" s="74" t="s">
        <v>158</v>
      </c>
      <c r="G380" s="266"/>
      <c r="H380" s="267" t="s">
        <v>103</v>
      </c>
      <c r="I380" s="48">
        <v>0</v>
      </c>
      <c r="J380" s="68">
        <f>กำแพงเพชร!J380+เชียงราย!J380+เชียงใหม่!J380+ตาก!J380+นครสวรรค์!J380+น่าน!J380+พะเยา!J380+พิจิตร!J380+พิษณุโลก!J380+เพชรบูรณ์!J380+แพร่!J380+แม่ฮ่องสอน!J380+ลำปาง!J380+ลำพูน!J380+สุโขทัย!J380+อุตรดิตถ์!J380+อุทัยธานี!J380</f>
        <v>0</v>
      </c>
      <c r="K380" s="49">
        <f t="shared" si="36"/>
        <v>0</v>
      </c>
      <c r="L380" s="61"/>
      <c r="M380" s="61"/>
      <c r="N380" s="61"/>
    </row>
    <row r="381" spans="1:14" ht="21.75" customHeight="1" x14ac:dyDescent="0.4">
      <c r="A381" s="249"/>
      <c r="B381" s="250"/>
      <c r="C381" s="250"/>
      <c r="D381" s="251"/>
      <c r="E381" s="75"/>
      <c r="F381" s="75"/>
      <c r="G381" s="266"/>
      <c r="H381" s="267" t="s">
        <v>15</v>
      </c>
      <c r="I381" s="48">
        <v>0</v>
      </c>
      <c r="J381" s="68">
        <f>กำแพงเพชร!J381+เชียงราย!J381+เชียงใหม่!J381+ตาก!J381+นครสวรรค์!J381+น่าน!J381+พะเยา!J381+พิจิตร!J381+พิษณุโลก!J381+เพชรบูรณ์!J381+แพร่!J381+แม่ฮ่องสอน!J381+ลำปาง!J381+ลำพูน!J381+สุโขทัย!J381+อุตรดิตถ์!J381+อุทัยธานี!J381</f>
        <v>0</v>
      </c>
      <c r="K381" s="49">
        <f t="shared" si="36"/>
        <v>0</v>
      </c>
      <c r="L381" s="61"/>
      <c r="M381" s="61"/>
      <c r="N381" s="61"/>
    </row>
    <row r="382" spans="1:14" ht="21.75" customHeight="1" x14ac:dyDescent="0.4">
      <c r="A382" s="249"/>
      <c r="B382" s="250"/>
      <c r="C382" s="250"/>
      <c r="D382" s="251"/>
      <c r="E382" s="75"/>
      <c r="F382" s="74" t="s">
        <v>159</v>
      </c>
      <c r="G382" s="266"/>
      <c r="H382" s="267" t="s">
        <v>103</v>
      </c>
      <c r="I382" s="48">
        <v>0</v>
      </c>
      <c r="J382" s="265">
        <f>กำแพงเพชร!J382+เชียงราย!J382+เชียงใหม่!J382+ตาก!J382+นครสวรรค์!J382+น่าน!J382+พะเยา!J382+พิจิตร!J382+พิษณุโลก!J382+เพชรบูรณ์!J382+แพร่!J382+แม่ฮ่องสอน!J382+ลำปาง!J382+ลำพูน!J382+สุโขทัย!J382+อุตรดิตถ์!J382+อุทัยธานี!J382</f>
        <v>0</v>
      </c>
      <c r="K382" s="49">
        <f t="shared" si="36"/>
        <v>0</v>
      </c>
      <c r="L382" s="61"/>
      <c r="M382" s="61"/>
      <c r="N382" s="61"/>
    </row>
    <row r="383" spans="1:14" ht="21.75" customHeight="1" x14ac:dyDescent="0.4">
      <c r="A383" s="249"/>
      <c r="B383" s="250"/>
      <c r="C383" s="250"/>
      <c r="D383" s="251"/>
      <c r="E383" s="75"/>
      <c r="F383" s="75"/>
      <c r="G383" s="75"/>
      <c r="H383" s="267" t="s">
        <v>15</v>
      </c>
      <c r="I383" s="48">
        <v>0</v>
      </c>
      <c r="J383" s="265">
        <f>กำแพงเพชร!J383+เชียงราย!J383+เชียงใหม่!J383+ตาก!J383+นครสวรรค์!J383+น่าน!J383+พะเยา!J383+พิจิตร!J383+พิษณุโลก!J383+เพชรบูรณ์!J383+แพร่!J383+แม่ฮ่องสอน!J383+ลำปาง!J383+ลำพูน!J383+สุโขทัย!J383+อุตรดิตถ์!J383+อุทัยธานี!J383</f>
        <v>0</v>
      </c>
      <c r="K383" s="49">
        <f t="shared" si="36"/>
        <v>0</v>
      </c>
      <c r="L383" s="61"/>
      <c r="M383" s="61"/>
      <c r="N383" s="61"/>
    </row>
    <row r="384" spans="1:14" ht="21.75" customHeight="1" x14ac:dyDescent="0.4">
      <c r="A384" s="249"/>
      <c r="B384" s="250"/>
      <c r="C384" s="250"/>
      <c r="D384" s="251"/>
      <c r="E384" s="75"/>
      <c r="F384" s="75"/>
      <c r="G384" s="74" t="s">
        <v>160</v>
      </c>
      <c r="H384" s="267" t="s">
        <v>103</v>
      </c>
      <c r="I384" s="48">
        <v>0</v>
      </c>
      <c r="J384" s="68">
        <f>กำแพงเพชร!J384+เชียงราย!J384+เชียงใหม่!J384+ตาก!J384+นครสวรรค์!J384+น่าน!J384+พะเยา!J384+พิจิตร!J384+พิษณุโลก!J384+เพชรบูรณ์!J384+แพร่!J384+แม่ฮ่องสอน!J384+ลำปาง!J384+ลำพูน!J384+สุโขทัย!J384+อุตรดิตถ์!J384+อุทัยธานี!J384</f>
        <v>0</v>
      </c>
      <c r="K384" s="49">
        <f t="shared" si="36"/>
        <v>0</v>
      </c>
      <c r="L384" s="61"/>
      <c r="M384" s="61"/>
      <c r="N384" s="61"/>
    </row>
    <row r="385" spans="1:14" ht="21.75" customHeight="1" x14ac:dyDescent="0.4">
      <c r="A385" s="249"/>
      <c r="B385" s="250"/>
      <c r="C385" s="250"/>
      <c r="D385" s="251"/>
      <c r="E385" s="75"/>
      <c r="F385" s="75"/>
      <c r="G385" s="75"/>
      <c r="H385" s="267" t="s">
        <v>15</v>
      </c>
      <c r="I385" s="48">
        <v>0</v>
      </c>
      <c r="J385" s="68">
        <f>กำแพงเพชร!J385+เชียงราย!J385+เชียงใหม่!J385+ตาก!J385+นครสวรรค์!J385+น่าน!J385+พะเยา!J385+พิจิตร!J385+พิษณุโลก!J385+เพชรบูรณ์!J385+แพร่!J385+แม่ฮ่องสอน!J385+ลำปาง!J385+ลำพูน!J385+สุโขทัย!J385+อุตรดิตถ์!J385+อุทัยธานี!J385</f>
        <v>0</v>
      </c>
      <c r="K385" s="49">
        <f t="shared" si="36"/>
        <v>0</v>
      </c>
      <c r="L385" s="61"/>
      <c r="M385" s="61"/>
      <c r="N385" s="61"/>
    </row>
    <row r="386" spans="1:14" ht="21.75" customHeight="1" x14ac:dyDescent="0.4">
      <c r="A386" s="249"/>
      <c r="B386" s="250"/>
      <c r="C386" s="250"/>
      <c r="D386" s="251"/>
      <c r="E386" s="75"/>
      <c r="F386" s="75"/>
      <c r="G386" s="74" t="s">
        <v>161</v>
      </c>
      <c r="H386" s="267" t="s">
        <v>103</v>
      </c>
      <c r="I386" s="48">
        <v>0</v>
      </c>
      <c r="J386" s="68">
        <f>กำแพงเพชร!J386+เชียงราย!J386+เชียงใหม่!J386+ตาก!J386+นครสวรรค์!J386+น่าน!J386+พะเยา!J386+พิจิตร!J386+พิษณุโลก!J386+เพชรบูรณ์!J386+แพร่!J386+แม่ฮ่องสอน!J386+ลำปาง!J386+ลำพูน!J386+สุโขทัย!J386+อุตรดิตถ์!J386+อุทัยธานี!J386</f>
        <v>0</v>
      </c>
      <c r="K386" s="49">
        <f t="shared" si="36"/>
        <v>0</v>
      </c>
      <c r="L386" s="61"/>
      <c r="M386" s="61"/>
      <c r="N386" s="61"/>
    </row>
    <row r="387" spans="1:14" ht="21.75" customHeight="1" x14ac:dyDescent="0.4">
      <c r="A387" s="249"/>
      <c r="B387" s="250"/>
      <c r="C387" s="250"/>
      <c r="D387" s="251"/>
      <c r="E387" s="75"/>
      <c r="F387" s="75"/>
      <c r="G387" s="76"/>
      <c r="H387" s="267" t="s">
        <v>15</v>
      </c>
      <c r="I387" s="48">
        <v>0</v>
      </c>
      <c r="J387" s="68">
        <f>กำแพงเพชร!J387+เชียงราย!J387+เชียงใหม่!J387+ตาก!J387+นครสวรรค์!J387+น่าน!J387+พะเยา!J387+พิจิตร!J387+พิษณุโลก!J387+เพชรบูรณ์!J387+แพร่!J387+แม่ฮ่องสอน!J387+ลำปาง!J387+ลำพูน!J387+สุโขทัย!J387+อุตรดิตถ์!J387+อุทัยธานี!J387</f>
        <v>0</v>
      </c>
      <c r="K387" s="49">
        <f t="shared" si="36"/>
        <v>0</v>
      </c>
      <c r="L387" s="61"/>
      <c r="M387" s="61"/>
      <c r="N387" s="61"/>
    </row>
    <row r="388" spans="1:14" ht="21.75" customHeight="1" x14ac:dyDescent="0.4">
      <c r="A388" s="249"/>
      <c r="B388" s="250"/>
      <c r="C388" s="250"/>
      <c r="D388" s="251"/>
      <c r="E388" s="75"/>
      <c r="F388" s="74" t="s">
        <v>162</v>
      </c>
      <c r="G388" s="266"/>
      <c r="H388" s="267" t="s">
        <v>103</v>
      </c>
      <c r="I388" s="48">
        <v>0</v>
      </c>
      <c r="J388" s="68">
        <f>กำแพงเพชร!J388+เชียงราย!J388+เชียงใหม่!J388+ตาก!J388+นครสวรรค์!J388+น่าน!J388+พะเยา!J388+พิจิตร!J388+พิษณุโลก!J388+เพชรบูรณ์!J388+แพร่!J388+แม่ฮ่องสอน!J388+ลำปาง!J388+ลำพูน!J388+สุโขทัย!J388+อุตรดิตถ์!J388+อุทัยธานี!J388</f>
        <v>0</v>
      </c>
      <c r="K388" s="49">
        <f t="shared" si="36"/>
        <v>0</v>
      </c>
      <c r="L388" s="61"/>
      <c r="M388" s="61"/>
      <c r="N388" s="61"/>
    </row>
    <row r="389" spans="1:14" ht="21.75" customHeight="1" x14ac:dyDescent="0.4">
      <c r="A389" s="276"/>
      <c r="B389" s="277"/>
      <c r="C389" s="277"/>
      <c r="D389" s="278"/>
      <c r="E389" s="204"/>
      <c r="F389" s="204"/>
      <c r="G389" s="204"/>
      <c r="H389" s="279" t="s">
        <v>15</v>
      </c>
      <c r="I389" s="48">
        <v>0</v>
      </c>
      <c r="J389" s="68">
        <f>กำแพงเพชร!J389+เชียงราย!J389+เชียงใหม่!J389+ตาก!J389+นครสวรรค์!J389+น่าน!J389+พะเยา!J389+พิจิตร!J389+พิษณุโลก!J389+เพชรบูรณ์!J389+แพร่!J389+แม่ฮ่องสอน!J389+ลำปาง!J389+ลำพูน!J389+สุโขทัย!J389+อุตรดิตถ์!J389+อุทัยธานี!J389</f>
        <v>0</v>
      </c>
      <c r="K389" s="49">
        <f t="shared" si="36"/>
        <v>0</v>
      </c>
      <c r="L389" s="115"/>
      <c r="M389" s="115"/>
      <c r="N389" s="115"/>
    </row>
    <row r="390" spans="1:14" ht="21.75" customHeight="1" x14ac:dyDescent="0.4">
      <c r="A390" s="55"/>
      <c r="B390" s="56"/>
      <c r="C390" s="261" t="s">
        <v>163</v>
      </c>
      <c r="D390" s="261"/>
      <c r="E390" s="262"/>
      <c r="F390" s="262"/>
      <c r="G390" s="263"/>
      <c r="H390" s="136" t="s">
        <v>103</v>
      </c>
      <c r="I390" s="137">
        <f ca="1">กำแพงเพชร!I390+เชียงราย!I390+เชียงใหม่!I390+ตาก!I390+นครสวรรค์!I390+น่าน!I390+พะเยา!I390+พิจิตร!I390+พิษณุโลก!I390+เพชรบูรณ์!I390+แพร่!I390+แม่ฮ่องสอน!I390+ลำปาง!I390+ลำพูน!I390+สุโขทัย!I390+อุตรดิตถ์!I390+อุทัยธานี!I390</f>
        <v>43003</v>
      </c>
      <c r="J390" s="137">
        <f>กำแพงเพชร!J390+เชียงราย!J390+เชียงใหม่!J390+ตาก!J390+นครสวรรค์!J390+น่าน!J390+พะเยา!J390+พิจิตร!J390+พิษณุโลก!J390+เพชรบูรณ์!J390+แพร่!J390+แม่ฮ่องสอน!J390+ลำปาง!J390+ลำพูน!J390+สุโขทัย!J390+อุตรดิตถ์!J390+อุทัยธานี!J390</f>
        <v>0</v>
      </c>
      <c r="K390" s="138">
        <f t="shared" ca="1" si="36"/>
        <v>0</v>
      </c>
      <c r="L390" s="140"/>
      <c r="M390" s="140"/>
      <c r="N390" s="140"/>
    </row>
    <row r="391" spans="1:14" ht="21.75" customHeight="1" x14ac:dyDescent="0.4">
      <c r="A391" s="55"/>
      <c r="B391" s="56"/>
      <c r="C391" s="56"/>
      <c r="D391" s="251"/>
      <c r="E391" s="280" t="s">
        <v>164</v>
      </c>
      <c r="F391" s="281"/>
      <c r="G391" s="282"/>
      <c r="H391" s="283" t="s">
        <v>103</v>
      </c>
      <c r="I391" s="265">
        <f ca="1">กำแพงเพชร!I391+เชียงราย!I391+เชียงใหม่!I391+ตาก!I391+นครสวรรค์!I391+น่าน!I391+พะเยา!I391+พิจิตร!I391+พิษณุโลก!I391+เพชรบูรณ์!I391+แพร่!I391+แม่ฮ่องสอน!I391+ลำปาง!I391+ลำพูน!I391+สุโขทัย!I391+อุตรดิตถ์!I391+อุทัยธานี!I391</f>
        <v>43003</v>
      </c>
      <c r="J391" s="265">
        <f>กำแพงเพชร!J391+เชียงราย!J391+เชียงใหม่!J391+ตาก!J391+นครสวรรค์!J391+น่าน!J391+พะเยา!J391+พิจิตร!J391+พิษณุโลก!J391+เพชรบูรณ์!J391+แพร่!J391+แม่ฮ่องสอน!J391+ลำปาง!J391+ลำพูน!J391+สุโขทัย!J391+อุตรดิตถ์!J391+อุทัยธานี!J391</f>
        <v>0</v>
      </c>
      <c r="K391" s="49">
        <f t="shared" ca="1" si="36"/>
        <v>0</v>
      </c>
      <c r="L391" s="61"/>
      <c r="M391" s="61"/>
      <c r="N391" s="61"/>
    </row>
    <row r="392" spans="1:14" ht="21.75" customHeight="1" x14ac:dyDescent="0.4">
      <c r="A392" s="55"/>
      <c r="B392" s="56"/>
      <c r="C392" s="56"/>
      <c r="D392" s="73"/>
      <c r="E392" s="281"/>
      <c r="F392" s="281"/>
      <c r="G392" s="282"/>
      <c r="H392" s="283" t="s">
        <v>15</v>
      </c>
      <c r="I392" s="265">
        <f ca="1">กำแพงเพชร!I392+เชียงราย!I392+เชียงใหม่!I392+ตาก!I392+นครสวรรค์!I392+น่าน!I392+พะเยา!I392+พิจิตร!I392+พิษณุโลก!I392+เพชรบูรณ์!I392+แพร่!I392+แม่ฮ่องสอน!I392+ลำปาง!I392+ลำพูน!I392+สุโขทัย!I392+อุตรดิตถ์!I392+อุทัยธานี!I392</f>
        <v>3164</v>
      </c>
      <c r="J392" s="265">
        <f>กำแพงเพชร!J392+เชียงราย!J392+เชียงใหม่!J392+ตาก!J392+นครสวรรค์!J392+น่าน!J392+พะเยา!J392+พิจิตร!J392+พิษณุโลก!J392+เพชรบูรณ์!J392+แพร่!J392+แม่ฮ่องสอน!J392+ลำปาง!J392+ลำพูน!J392+สุโขทัย!J392+อุตรดิตถ์!J392+อุทัยธานี!J392</f>
        <v>0</v>
      </c>
      <c r="K392" s="80">
        <f t="shared" ca="1" si="36"/>
        <v>0</v>
      </c>
      <c r="L392" s="61"/>
      <c r="M392" s="61"/>
      <c r="N392" s="61"/>
    </row>
    <row r="393" spans="1:14" ht="21.75" customHeight="1" x14ac:dyDescent="0.4">
      <c r="A393" s="55"/>
      <c r="B393" s="56"/>
      <c r="C393" s="56"/>
      <c r="D393" s="251"/>
      <c r="E393" s="251" t="s">
        <v>165</v>
      </c>
      <c r="F393" s="75"/>
      <c r="G393" s="76"/>
      <c r="H393" s="267" t="s">
        <v>103</v>
      </c>
      <c r="I393" s="48">
        <v>0</v>
      </c>
      <c r="J393" s="48">
        <f>กำแพงเพชร!J393+เชียงราย!J393+เชียงใหม่!J393+ตาก!J393+นครสวรรค์!J393+น่าน!J393+พะเยา!J393+พิจิตร!J393+พิษณุโลก!J393+เพชรบูรณ์!J393+แพร่!J393+แม่ฮ่องสอน!J393+ลำปาง!J393+ลำพูน!J393+สุโขทัย!J393+อุตรดิตถ์!J393+อุทัยธานี!J393</f>
        <v>0</v>
      </c>
      <c r="K393" s="49">
        <f t="shared" si="36"/>
        <v>0</v>
      </c>
      <c r="L393" s="61"/>
      <c r="M393" s="61"/>
      <c r="N393" s="61"/>
    </row>
    <row r="394" spans="1:14" ht="21.75" customHeight="1" x14ac:dyDescent="0.4">
      <c r="A394" s="55"/>
      <c r="B394" s="56"/>
      <c r="C394" s="56"/>
      <c r="D394" s="73"/>
      <c r="E394" s="75"/>
      <c r="F394" s="75"/>
      <c r="G394" s="76"/>
      <c r="H394" s="267" t="s">
        <v>15</v>
      </c>
      <c r="I394" s="48">
        <v>0</v>
      </c>
      <c r="J394" s="48">
        <f>กำแพงเพชร!J394+เชียงราย!J394+เชียงใหม่!J394+ตาก!J394+นครสวรรค์!J394+น่าน!J394+พะเยา!J394+พิจิตร!J394+พิษณุโลก!J394+เพชรบูรณ์!J394+แพร่!J394+แม่ฮ่องสอน!J394+ลำปาง!J394+ลำพูน!J394+สุโขทัย!J394+อุตรดิตถ์!J394+อุทัยธานี!J394</f>
        <v>0</v>
      </c>
      <c r="K394" s="49">
        <f t="shared" si="36"/>
        <v>0</v>
      </c>
      <c r="L394" s="61"/>
      <c r="M394" s="61"/>
      <c r="N394" s="61"/>
    </row>
    <row r="395" spans="1:14" ht="21.75" customHeight="1" x14ac:dyDescent="0.4">
      <c r="A395" s="55"/>
      <c r="B395" s="56"/>
      <c r="C395" s="56"/>
      <c r="D395" s="73"/>
      <c r="E395" s="75"/>
      <c r="F395" s="242" t="s">
        <v>166</v>
      </c>
      <c r="G395" s="266"/>
      <c r="H395" s="267" t="s">
        <v>103</v>
      </c>
      <c r="I395" s="48">
        <v>0</v>
      </c>
      <c r="J395" s="68">
        <f>กำแพงเพชร!J395+เชียงราย!J395+เชียงใหม่!J395+ตาก!J395+นครสวรรค์!J395+น่าน!J395+พะเยา!J395+พิจิตร!J395+พิษณุโลก!J395+เพชรบูรณ์!J395+แพร่!J395+แม่ฮ่องสอน!J395+ลำปาง!J395+ลำพูน!J395+สุโขทัย!J395+อุตรดิตถ์!J395+อุทัยธานี!J395</f>
        <v>0</v>
      </c>
      <c r="K395" s="49">
        <f t="shared" si="36"/>
        <v>0</v>
      </c>
      <c r="L395" s="61"/>
      <c r="M395" s="61"/>
      <c r="N395" s="61"/>
    </row>
    <row r="396" spans="1:14" ht="21.75" customHeight="1" x14ac:dyDescent="0.4">
      <c r="A396" s="55"/>
      <c r="B396" s="56"/>
      <c r="C396" s="56"/>
      <c r="D396" s="73"/>
      <c r="E396" s="75"/>
      <c r="F396" s="75"/>
      <c r="G396" s="266"/>
      <c r="H396" s="267" t="s">
        <v>15</v>
      </c>
      <c r="I396" s="48">
        <v>0</v>
      </c>
      <c r="J396" s="68">
        <f>กำแพงเพชร!J396+เชียงราย!J396+เชียงใหม่!J396+ตาก!J396+นครสวรรค์!J396+น่าน!J396+พะเยา!J396+พิจิตร!J396+พิษณุโลก!J396+เพชรบูรณ์!J396+แพร่!J396+แม่ฮ่องสอน!J396+ลำปาง!J396+ลำพูน!J396+สุโขทัย!J396+อุตรดิตถ์!J396+อุทัยธานี!J396</f>
        <v>0</v>
      </c>
      <c r="K396" s="49">
        <f t="shared" si="36"/>
        <v>0</v>
      </c>
      <c r="L396" s="61"/>
      <c r="M396" s="61"/>
      <c r="N396" s="61"/>
    </row>
    <row r="397" spans="1:14" ht="21.75" customHeight="1" x14ac:dyDescent="0.4">
      <c r="A397" s="55"/>
      <c r="B397" s="56"/>
      <c r="C397" s="56"/>
      <c r="D397" s="73"/>
      <c r="E397" s="75"/>
      <c r="F397" s="242" t="s">
        <v>167</v>
      </c>
      <c r="G397" s="266"/>
      <c r="H397" s="267" t="s">
        <v>103</v>
      </c>
      <c r="I397" s="48">
        <v>0</v>
      </c>
      <c r="J397" s="68">
        <f>กำแพงเพชร!J397+เชียงราย!J397+เชียงใหม่!J397+ตาก!J397+นครสวรรค์!J397+น่าน!J397+พะเยา!J397+พิจิตร!J397+พิษณุโลก!J397+เพชรบูรณ์!J397+แพร่!J397+แม่ฮ่องสอน!J397+ลำปาง!J397+ลำพูน!J397+สุโขทัย!J397+อุตรดิตถ์!J397+อุทัยธานี!J397</f>
        <v>0</v>
      </c>
      <c r="K397" s="49">
        <f t="shared" si="36"/>
        <v>0</v>
      </c>
      <c r="L397" s="61"/>
      <c r="M397" s="61"/>
      <c r="N397" s="61"/>
    </row>
    <row r="398" spans="1:14" ht="21.75" customHeight="1" x14ac:dyDescent="0.4">
      <c r="A398" s="55"/>
      <c r="B398" s="56"/>
      <c r="C398" s="56"/>
      <c r="D398" s="73"/>
      <c r="E398" s="75"/>
      <c r="F398" s="75"/>
      <c r="G398" s="266"/>
      <c r="H398" s="267" t="s">
        <v>15</v>
      </c>
      <c r="I398" s="48">
        <v>0</v>
      </c>
      <c r="J398" s="68">
        <f>กำแพงเพชร!J398+เชียงราย!J398+เชียงใหม่!J398+ตาก!J398+นครสวรรค์!J398+น่าน!J398+พะเยา!J398+พิจิตร!J398+พิษณุโลก!J398+เพชรบูรณ์!J398+แพร่!J398+แม่ฮ่องสอน!J398+ลำปาง!J398+ลำพูน!J398+สุโขทัย!J398+อุตรดิตถ์!J398+อุทัยธานี!J398</f>
        <v>0</v>
      </c>
      <c r="K398" s="49">
        <f t="shared" si="36"/>
        <v>0</v>
      </c>
      <c r="L398" s="61"/>
      <c r="M398" s="61"/>
      <c r="N398" s="61"/>
    </row>
    <row r="399" spans="1:14" ht="21.75" customHeight="1" x14ac:dyDescent="0.4">
      <c r="A399" s="55"/>
      <c r="B399" s="56"/>
      <c r="C399" s="56"/>
      <c r="D399" s="73"/>
      <c r="E399" s="75"/>
      <c r="F399" s="242" t="s">
        <v>168</v>
      </c>
      <c r="G399" s="266"/>
      <c r="H399" s="267" t="s">
        <v>103</v>
      </c>
      <c r="I399" s="48">
        <v>0</v>
      </c>
      <c r="J399" s="68">
        <f>กำแพงเพชร!J399+เชียงราย!J399+เชียงใหม่!J399+ตาก!J399+นครสวรรค์!J399+น่าน!J399+พะเยา!J399+พิจิตร!J399+พิษณุโลก!J399+เพชรบูรณ์!J399+แพร่!J399+แม่ฮ่องสอน!J399+ลำปาง!J399+ลำพูน!J399+สุโขทัย!J399+อุตรดิตถ์!J399+อุทัยธานี!J399</f>
        <v>0</v>
      </c>
      <c r="K399" s="49">
        <f t="shared" si="36"/>
        <v>0</v>
      </c>
      <c r="L399" s="61"/>
      <c r="M399" s="61"/>
      <c r="N399" s="61"/>
    </row>
    <row r="400" spans="1:14" ht="21.75" customHeight="1" x14ac:dyDescent="0.4">
      <c r="A400" s="55"/>
      <c r="B400" s="56"/>
      <c r="C400" s="56"/>
      <c r="D400" s="73"/>
      <c r="E400" s="75"/>
      <c r="F400" s="75"/>
      <c r="G400" s="75"/>
      <c r="H400" s="267" t="s">
        <v>15</v>
      </c>
      <c r="I400" s="48">
        <v>0</v>
      </c>
      <c r="J400" s="68">
        <f>กำแพงเพชร!J400+เชียงราย!J400+เชียงใหม่!J400+ตาก!J400+นครสวรรค์!J400+น่าน!J400+พะเยา!J400+พิจิตร!J400+พิษณุโลก!J400+เพชรบูรณ์!J400+แพร่!J400+แม่ฮ่องสอน!J400+ลำปาง!J400+ลำพูน!J400+สุโขทัย!J400+อุตรดิตถ์!J400+อุทัยธานี!J400</f>
        <v>0</v>
      </c>
      <c r="K400" s="49">
        <f t="shared" si="36"/>
        <v>0</v>
      </c>
      <c r="L400" s="61"/>
      <c r="M400" s="61"/>
      <c r="N400" s="61"/>
    </row>
    <row r="401" spans="1:14" ht="21.75" customHeight="1" x14ac:dyDescent="0.4">
      <c r="A401" s="55"/>
      <c r="B401" s="56"/>
      <c r="C401" s="56"/>
      <c r="D401" s="73"/>
      <c r="E401" s="74" t="s">
        <v>169</v>
      </c>
      <c r="F401" s="284"/>
      <c r="G401" s="266"/>
      <c r="H401" s="267" t="s">
        <v>103</v>
      </c>
      <c r="I401" s="48">
        <v>0</v>
      </c>
      <c r="J401" s="48">
        <f>กำแพงเพชร!J401+เชียงราย!J401+เชียงใหม่!J401+ตาก!J401+นครสวรรค์!J401+น่าน!J401+พะเยา!J401+พิจิตร!J401+พิษณุโลก!J401+เพชรบูรณ์!J401+แพร่!J401+แม่ฮ่องสอน!J401+ลำปาง!J401+ลำพูน!J401+สุโขทัย!J401+อุตรดิตถ์!J401+อุทัยธานี!J401</f>
        <v>0</v>
      </c>
      <c r="K401" s="49">
        <f t="shared" si="36"/>
        <v>0</v>
      </c>
      <c r="L401" s="61"/>
      <c r="M401" s="61"/>
      <c r="N401" s="61"/>
    </row>
    <row r="402" spans="1:14" ht="21.75" customHeight="1" x14ac:dyDescent="0.4">
      <c r="A402" s="55"/>
      <c r="B402" s="56"/>
      <c r="C402" s="56"/>
      <c r="D402" s="73"/>
      <c r="E402" s="75"/>
      <c r="F402" s="75"/>
      <c r="G402" s="75"/>
      <c r="H402" s="267" t="s">
        <v>15</v>
      </c>
      <c r="I402" s="48">
        <v>0</v>
      </c>
      <c r="J402" s="48">
        <f>กำแพงเพชร!J402+เชียงราย!J402+เชียงใหม่!J402+ตาก!J402+นครสวรรค์!J402+น่าน!J402+พะเยา!J402+พิจิตร!J402+พิษณุโลก!J402+เพชรบูรณ์!J402+แพร่!J402+แม่ฮ่องสอน!J402+ลำปาง!J402+ลำพูน!J402+สุโขทัย!J402+อุตรดิตถ์!J402+อุทัยธานี!J402</f>
        <v>0</v>
      </c>
      <c r="K402" s="49">
        <f t="shared" si="36"/>
        <v>0</v>
      </c>
      <c r="L402" s="61"/>
      <c r="M402" s="61"/>
      <c r="N402" s="61"/>
    </row>
    <row r="403" spans="1:14" ht="21.75" customHeight="1" x14ac:dyDescent="0.4">
      <c r="A403" s="55"/>
      <c r="B403" s="56"/>
      <c r="C403" s="56"/>
      <c r="D403" s="73"/>
      <c r="E403" s="75"/>
      <c r="F403" s="74" t="s">
        <v>170</v>
      </c>
      <c r="G403" s="75"/>
      <c r="H403" s="267" t="s">
        <v>103</v>
      </c>
      <c r="I403" s="48">
        <v>0</v>
      </c>
      <c r="J403" s="68">
        <f>กำแพงเพชร!J403+เชียงราย!J403+เชียงใหม่!J403+ตาก!J403+นครสวรรค์!J403+น่าน!J403+พะเยา!J403+พิจิตร!J403+พิษณุโลก!J403+เพชรบูรณ์!J403+แพร่!J403+แม่ฮ่องสอน!J403+ลำปาง!J403+ลำพูน!J403+สุโขทัย!J403+อุตรดิตถ์!J403+อุทัยธานี!J403</f>
        <v>0</v>
      </c>
      <c r="K403" s="49">
        <f t="shared" si="36"/>
        <v>0</v>
      </c>
      <c r="L403" s="61"/>
      <c r="M403" s="61"/>
      <c r="N403" s="61"/>
    </row>
    <row r="404" spans="1:14" ht="21.75" customHeight="1" x14ac:dyDescent="0.4">
      <c r="A404" s="55"/>
      <c r="B404" s="56"/>
      <c r="C404" s="56"/>
      <c r="D404" s="73"/>
      <c r="E404" s="75"/>
      <c r="F404" s="75"/>
      <c r="G404" s="75"/>
      <c r="H404" s="267" t="s">
        <v>15</v>
      </c>
      <c r="I404" s="48">
        <v>0</v>
      </c>
      <c r="J404" s="68">
        <f>กำแพงเพชร!J404+เชียงราย!J404+เชียงใหม่!J404+ตาก!J404+นครสวรรค์!J404+น่าน!J404+พะเยา!J404+พิจิตร!J404+พิษณุโลก!J404+เพชรบูรณ์!J404+แพร่!J404+แม่ฮ่องสอน!J404+ลำปาง!J404+ลำพูน!J404+สุโขทัย!J404+อุตรดิตถ์!J404+อุทัยธานี!J404</f>
        <v>0</v>
      </c>
      <c r="K404" s="49">
        <f t="shared" si="36"/>
        <v>0</v>
      </c>
      <c r="L404" s="61"/>
      <c r="M404" s="61"/>
      <c r="N404" s="61"/>
    </row>
    <row r="405" spans="1:14" ht="21.75" customHeight="1" x14ac:dyDescent="0.4">
      <c r="A405" s="55"/>
      <c r="B405" s="56"/>
      <c r="C405" s="56"/>
      <c r="D405" s="73"/>
      <c r="E405" s="75"/>
      <c r="F405" s="74" t="s">
        <v>171</v>
      </c>
      <c r="G405" s="75"/>
      <c r="H405" s="267" t="s">
        <v>103</v>
      </c>
      <c r="I405" s="48">
        <v>0</v>
      </c>
      <c r="J405" s="68">
        <f>กำแพงเพชร!J405+เชียงราย!J405+เชียงใหม่!J405+ตาก!J405+นครสวรรค์!J405+น่าน!J405+พะเยา!J405+พิจิตร!J405+พิษณุโลก!J405+เพชรบูรณ์!J405+แพร่!J405+แม่ฮ่องสอน!J405+ลำปาง!J405+ลำพูน!J405+สุโขทัย!J405+อุตรดิตถ์!J405+อุทัยธานี!J405</f>
        <v>0</v>
      </c>
      <c r="K405" s="49">
        <f t="shared" si="36"/>
        <v>0</v>
      </c>
      <c r="L405" s="61"/>
      <c r="M405" s="61"/>
      <c r="N405" s="61"/>
    </row>
    <row r="406" spans="1:14" ht="21.75" customHeight="1" x14ac:dyDescent="0.4">
      <c r="A406" s="55"/>
      <c r="B406" s="56"/>
      <c r="C406" s="56"/>
      <c r="D406" s="73"/>
      <c r="E406" s="75"/>
      <c r="F406" s="75"/>
      <c r="G406" s="76"/>
      <c r="H406" s="267" t="s">
        <v>15</v>
      </c>
      <c r="I406" s="48">
        <v>0</v>
      </c>
      <c r="J406" s="68">
        <f>กำแพงเพชร!J406+เชียงราย!J406+เชียงใหม่!J406+ตาก!J406+นครสวรรค์!J406+น่าน!J406+พะเยา!J406+พิจิตร!J406+พิษณุโลก!J406+เพชรบูรณ์!J406+แพร่!J406+แม่ฮ่องสอน!J406+ลำปาง!J406+ลำพูน!J406+สุโขทัย!J406+อุตรดิตถ์!J406+อุทัยธานี!J406</f>
        <v>0</v>
      </c>
      <c r="K406" s="49">
        <f t="shared" si="36"/>
        <v>0</v>
      </c>
      <c r="L406" s="61"/>
      <c r="M406" s="61"/>
      <c r="N406" s="61"/>
    </row>
    <row r="407" spans="1:14" ht="21.75" customHeight="1" x14ac:dyDescent="0.4">
      <c r="A407" s="55"/>
      <c r="B407" s="56"/>
      <c r="C407" s="56"/>
      <c r="D407" s="251"/>
      <c r="E407" s="251" t="s">
        <v>172</v>
      </c>
      <c r="F407" s="75"/>
      <c r="G407" s="76"/>
      <c r="H407" s="267" t="s">
        <v>103</v>
      </c>
      <c r="I407" s="48">
        <v>0</v>
      </c>
      <c r="J407" s="68">
        <f>กำแพงเพชร!J407+เชียงราย!J407+เชียงใหม่!J407+ตาก!J407+นครสวรรค์!J407+น่าน!J407+พะเยา!J407+พิจิตร!J407+พิษณุโลก!J407+เพชรบูรณ์!J407+แพร่!J407+แม่ฮ่องสอน!J407+ลำปาง!J407+ลำพูน!J407+สุโขทัย!J407+อุตรดิตถ์!J407+อุทัยธานี!J407</f>
        <v>0</v>
      </c>
      <c r="K407" s="49">
        <f t="shared" si="36"/>
        <v>0</v>
      </c>
      <c r="L407" s="61"/>
      <c r="M407" s="61"/>
      <c r="N407" s="61"/>
    </row>
    <row r="408" spans="1:14" ht="21.75" customHeight="1" x14ac:dyDescent="0.4">
      <c r="A408" s="55"/>
      <c r="B408" s="56"/>
      <c r="C408" s="56"/>
      <c r="D408" s="73"/>
      <c r="E408" s="75"/>
      <c r="F408" s="75"/>
      <c r="G408" s="76"/>
      <c r="H408" s="267" t="s">
        <v>15</v>
      </c>
      <c r="I408" s="48">
        <v>0</v>
      </c>
      <c r="J408" s="68">
        <f>กำแพงเพชร!J408+เชียงราย!J408+เชียงใหม่!J408+ตาก!J408+นครสวรรค์!J408+น่าน!J408+พะเยา!J408+พิจิตร!J408+พิษณุโลก!J408+เพชรบูรณ์!J408+แพร่!J408+แม่ฮ่องสอน!J408+ลำปาง!J408+ลำพูน!J408+สุโขทัย!J408+อุตรดิตถ์!J408+อุทัยธานี!J408</f>
        <v>0</v>
      </c>
      <c r="K408" s="49">
        <f t="shared" si="36"/>
        <v>0</v>
      </c>
      <c r="L408" s="61"/>
      <c r="M408" s="61"/>
      <c r="N408" s="61"/>
    </row>
    <row r="409" spans="1:14" ht="21.75" customHeight="1" x14ac:dyDescent="0.4">
      <c r="A409" s="55"/>
      <c r="B409" s="56"/>
      <c r="C409" s="261" t="s">
        <v>173</v>
      </c>
      <c r="D409" s="261"/>
      <c r="E409" s="285"/>
      <c r="F409" s="285"/>
      <c r="G409" s="286"/>
      <c r="H409" s="287" t="s">
        <v>103</v>
      </c>
      <c r="I409" s="137">
        <f ca="1">กำแพงเพชร!I409+เชียงราย!I409+เชียงใหม่!I409+ตาก!I409+นครสวรรค์!I409+น่าน!I409+พะเยา!I409+พิจิตร!I409+พิษณุโลก!I409+เพชรบูรณ์!I409+แพร่!I409+แม่ฮ่องสอน!I409+ลำปาง!I409+ลำพูน!I409+สุโขทัย!I409+อุตรดิตถ์!I409+อุทัยธานี!I409</f>
        <v>0</v>
      </c>
      <c r="J409" s="137">
        <f ca="1">กำแพงเพชร!J409+เชียงราย!J409+เชียงใหม่!J409+ตาก!J409+นครสวรรค์!J409+น่าน!J409+พะเยา!J409+พิจิตร!J409+พิษณุโลก!J409+เพชรบูรณ์!J409+แพร่!J409+แม่ฮ่องสอน!J409+ลำปาง!J409+ลำพูน!J409+สุโขทัย!J409+อุตรดิตถ์!J409+อุทัยธานี!J409</f>
        <v>0</v>
      </c>
      <c r="K409" s="138">
        <f t="shared" ca="1" si="36"/>
        <v>0</v>
      </c>
      <c r="L409" s="61"/>
      <c r="M409" s="61"/>
      <c r="N409" s="61"/>
    </row>
    <row r="410" spans="1:14" ht="21.75" customHeight="1" x14ac:dyDescent="0.4">
      <c r="A410" s="55"/>
      <c r="B410" s="56"/>
      <c r="C410" s="288"/>
      <c r="D410" s="288"/>
      <c r="E410" s="288" t="s">
        <v>174</v>
      </c>
      <c r="F410" s="289"/>
      <c r="G410" s="290"/>
      <c r="H410" s="291" t="s">
        <v>103</v>
      </c>
      <c r="I410" s="150">
        <f ca="1">กำแพงเพชร!I410+เชียงราย!I410+เชียงใหม่!I410+ตาก!I410+นครสวรรค์!I410+น่าน!I410+พะเยา!I410+พิจิตร!I410+พิษณุโลก!I410+เพชรบูรณ์!I410+แพร่!I410+แม่ฮ่องสอน!I410+ลำปาง!I410+ลำพูน!I410+สุโขทัย!I410+อุตรดิตถ์!I410+อุทัยธานี!I410</f>
        <v>0</v>
      </c>
      <c r="J410" s="150">
        <f ca="1">กำแพงเพชร!J410+เชียงราย!J410+เชียงใหม่!J410+ตาก!J410+นครสวรรค์!J410+น่าน!J410+พะเยา!J410+พิจิตร!J410+พิษณุโลก!J410+เพชรบูรณ์!J410+แพร่!J410+แม่ฮ่องสอน!J410+ลำปาง!J410+ลำพูน!J410+สุโขทัย!J410+อุตรดิตถ์!J410+อุทัยธานี!J410</f>
        <v>0</v>
      </c>
      <c r="K410" s="147">
        <f t="shared" ca="1" si="36"/>
        <v>0</v>
      </c>
      <c r="L410" s="61"/>
      <c r="M410" s="61"/>
      <c r="N410" s="61"/>
    </row>
    <row r="411" spans="1:14" ht="21.75" customHeight="1" x14ac:dyDescent="0.4">
      <c r="A411" s="55"/>
      <c r="B411" s="56"/>
      <c r="C411" s="288"/>
      <c r="D411" s="288"/>
      <c r="E411" s="288" t="s">
        <v>175</v>
      </c>
      <c r="F411" s="289"/>
      <c r="G411" s="290"/>
      <c r="H411" s="291" t="s">
        <v>15</v>
      </c>
      <c r="I411" s="150">
        <f ca="1">กำแพงเพชร!I411+เชียงราย!I411+เชียงใหม่!I411+ตาก!I411+นครสวรรค์!I411+น่าน!I411+พะเยา!I411+พิจิตร!I411+พิษณุโลก!I411+เพชรบูรณ์!I411+แพร่!I411+แม่ฮ่องสอน!I411+ลำปาง!I411+ลำพูน!I411+สุโขทัย!I411+อุตรดิตถ์!I411+อุทัยธานี!I411</f>
        <v>0</v>
      </c>
      <c r="J411" s="150">
        <f ca="1">กำแพงเพชร!J411+เชียงราย!J411+เชียงใหม่!J411+ตาก!J411+นครสวรรค์!J411+น่าน!J411+พะเยา!J411+พิจิตร!J411+พิษณุโลก!J411+เพชรบูรณ์!J411+แพร่!J411+แม่ฮ่องสอน!J411+ลำปาง!J411+ลำพูน!J411+สุโขทัย!J411+อุตรดิตถ์!J411+อุทัยธานี!J411</f>
        <v>0</v>
      </c>
      <c r="K411" s="147">
        <f t="shared" ca="1" si="36"/>
        <v>0</v>
      </c>
      <c r="L411" s="61"/>
      <c r="M411" s="61"/>
      <c r="N411" s="61"/>
    </row>
    <row r="412" spans="1:14" ht="21.75" customHeight="1" x14ac:dyDescent="0.4">
      <c r="A412" s="55"/>
      <c r="B412" s="56"/>
      <c r="C412" s="56"/>
      <c r="D412" s="73"/>
      <c r="E412" s="75"/>
      <c r="F412" s="75"/>
      <c r="G412" s="99" t="s">
        <v>176</v>
      </c>
      <c r="H412" s="267" t="s">
        <v>103</v>
      </c>
      <c r="I412" s="48">
        <v>0</v>
      </c>
      <c r="J412" s="68">
        <f ca="1">กำแพงเพชร!J412+เชียงราย!J412+เชียงใหม่!J412+ตาก!J412+นครสวรรค์!J412+น่าน!J412+พะเยา!J412+พิจิตร!J412+พิษณุโลก!J412+เพชรบูรณ์!J412+แพร่!J412+แม่ฮ่องสอน!J412+ลำปาง!J412+ลำพูน!J412+สุโขทัย!J412+อุตรดิตถ์!J412+อุทัยธานี!J412</f>
        <v>0</v>
      </c>
      <c r="K412" s="49">
        <f t="shared" si="36"/>
        <v>0</v>
      </c>
      <c r="L412" s="61"/>
      <c r="M412" s="61"/>
      <c r="N412" s="61"/>
    </row>
    <row r="413" spans="1:14" ht="21.75" customHeight="1" x14ac:dyDescent="0.4">
      <c r="A413" s="55"/>
      <c r="B413" s="56"/>
      <c r="C413" s="56"/>
      <c r="D413" s="73"/>
      <c r="E413" s="75"/>
      <c r="F413" s="75"/>
      <c r="G413" s="76"/>
      <c r="H413" s="267" t="s">
        <v>15</v>
      </c>
      <c r="I413" s="48">
        <v>0</v>
      </c>
      <c r="J413" s="68">
        <f ca="1">กำแพงเพชร!J413+เชียงราย!J413+เชียงใหม่!J413+ตาก!J413+นครสวรรค์!J413+น่าน!J413+พะเยา!J413+พิจิตร!J413+พิษณุโลก!J413+เพชรบูรณ์!J413+แพร่!J413+แม่ฮ่องสอน!J413+ลำปาง!J413+ลำพูน!J413+สุโขทัย!J413+อุตรดิตถ์!J413+อุทัยธานี!J413</f>
        <v>0</v>
      </c>
      <c r="K413" s="49">
        <f t="shared" si="36"/>
        <v>0</v>
      </c>
      <c r="L413" s="61"/>
      <c r="M413" s="61"/>
      <c r="N413" s="61"/>
    </row>
    <row r="414" spans="1:14" ht="21.75" customHeight="1" x14ac:dyDescent="0.4">
      <c r="A414" s="55"/>
      <c r="B414" s="56"/>
      <c r="C414" s="56"/>
      <c r="D414" s="73"/>
      <c r="E414" s="75"/>
      <c r="F414" s="75"/>
      <c r="G414" s="99" t="s">
        <v>177</v>
      </c>
      <c r="H414" s="267" t="s">
        <v>103</v>
      </c>
      <c r="I414" s="48">
        <v>0</v>
      </c>
      <c r="J414" s="68">
        <f ca="1">กำแพงเพชร!J414+เชียงราย!J414+เชียงใหม่!J414+ตาก!J414+นครสวรรค์!J414+น่าน!J414+พะเยา!J414+พิจิตร!J414+พิษณุโลก!J414+เพชรบูรณ์!J414+แพร่!J414+แม่ฮ่องสอน!J414+ลำปาง!J414+ลำพูน!J414+สุโขทัย!J414+อุตรดิตถ์!J414+อุทัยธานี!J414</f>
        <v>0</v>
      </c>
      <c r="K414" s="49">
        <f t="shared" si="36"/>
        <v>0</v>
      </c>
      <c r="L414" s="61"/>
      <c r="M414" s="61"/>
      <c r="N414" s="61"/>
    </row>
    <row r="415" spans="1:14" ht="21.75" customHeight="1" x14ac:dyDescent="0.4">
      <c r="A415" s="55"/>
      <c r="B415" s="56"/>
      <c r="C415" s="56"/>
      <c r="D415" s="73"/>
      <c r="E415" s="75"/>
      <c r="F415" s="75"/>
      <c r="G415" s="76"/>
      <c r="H415" s="267" t="s">
        <v>15</v>
      </c>
      <c r="I415" s="48">
        <v>0</v>
      </c>
      <c r="J415" s="68">
        <f ca="1">กำแพงเพชร!J415+เชียงราย!J415+เชียงใหม่!J415+ตาก!J415+นครสวรรค์!J415+น่าน!J415+พะเยา!J415+พิจิตร!J415+พิษณุโลก!J415+เพชรบูรณ์!J415+แพร่!J415+แม่ฮ่องสอน!J415+ลำปาง!J415+ลำพูน!J415+สุโขทัย!J415+อุตรดิตถ์!J415+อุทัยธานี!J415</f>
        <v>0</v>
      </c>
      <c r="K415" s="49">
        <f t="shared" si="36"/>
        <v>0</v>
      </c>
      <c r="L415" s="61"/>
      <c r="M415" s="61"/>
      <c r="N415" s="61"/>
    </row>
    <row r="416" spans="1:14" ht="21.75" customHeight="1" x14ac:dyDescent="0.4">
      <c r="A416" s="55"/>
      <c r="B416" s="56"/>
      <c r="C416" s="56"/>
      <c r="D416" s="73"/>
      <c r="E416" s="75"/>
      <c r="F416" s="75"/>
      <c r="G416" s="99" t="s">
        <v>178</v>
      </c>
      <c r="H416" s="267" t="s">
        <v>103</v>
      </c>
      <c r="I416" s="48">
        <v>0</v>
      </c>
      <c r="J416" s="68">
        <f ca="1">กำแพงเพชร!J416+เชียงราย!J416+เชียงใหม่!J416+ตาก!J416+นครสวรรค์!J416+น่าน!J416+พะเยา!J416+พิจิตร!J416+พิษณุโลก!J416+เพชรบูรณ์!J416+แพร่!J416+แม่ฮ่องสอน!J416+ลำปาง!J416+ลำพูน!J416+สุโขทัย!J416+อุตรดิตถ์!J416+อุทัยธานี!J416</f>
        <v>0</v>
      </c>
      <c r="K416" s="49">
        <f t="shared" si="36"/>
        <v>0</v>
      </c>
      <c r="L416" s="61"/>
      <c r="M416" s="61"/>
      <c r="N416" s="61"/>
    </row>
    <row r="417" spans="1:14" ht="21.75" customHeight="1" x14ac:dyDescent="0.4">
      <c r="A417" s="55"/>
      <c r="B417" s="56"/>
      <c r="C417" s="56"/>
      <c r="D417" s="73"/>
      <c r="E417" s="75"/>
      <c r="F417" s="75"/>
      <c r="G417" s="76"/>
      <c r="H417" s="267" t="s">
        <v>15</v>
      </c>
      <c r="I417" s="48">
        <v>0</v>
      </c>
      <c r="J417" s="68">
        <f ca="1">กำแพงเพชร!J417+เชียงราย!J417+เชียงใหม่!J417+ตาก!J417+นครสวรรค์!J417+น่าน!J417+พะเยา!J417+พิจิตร!J417+พิษณุโลก!J417+เพชรบูรณ์!J417+แพร่!J417+แม่ฮ่องสอน!J417+ลำปาง!J417+ลำพูน!J417+สุโขทัย!J417+อุตรดิตถ์!J417+อุทัยธานี!J417</f>
        <v>0</v>
      </c>
      <c r="K417" s="49">
        <f t="shared" si="36"/>
        <v>0</v>
      </c>
      <c r="L417" s="61"/>
      <c r="M417" s="61"/>
      <c r="N417" s="61"/>
    </row>
    <row r="418" spans="1:14" ht="21.75" customHeight="1" x14ac:dyDescent="0.4">
      <c r="A418" s="55"/>
      <c r="B418" s="56"/>
      <c r="C418" s="288"/>
      <c r="D418" s="288"/>
      <c r="E418" s="288" t="s">
        <v>179</v>
      </c>
      <c r="F418" s="289"/>
      <c r="G418" s="290"/>
      <c r="H418" s="291" t="s">
        <v>103</v>
      </c>
      <c r="I418" s="150">
        <f ca="1">กำแพงเพชร!I418+เชียงราย!I418+เชียงใหม่!I418+ตาก!I418+นครสวรรค์!I418+น่าน!I418+พะเยา!I418+พิจิตร!I418+พิษณุโลก!I418+เพชรบูรณ์!I418+แพร่!I418+แม่ฮ่องสอน!I418+ลำปาง!I418+ลำพูน!I418+สุโขทัย!I418+อุตรดิตถ์!I418+อุทัยธานี!I418</f>
        <v>0</v>
      </c>
      <c r="J418" s="150">
        <f>กำแพงเพชร!J418+เชียงราย!J418+เชียงใหม่!J418+ตาก!J418+นครสวรรค์!J418+น่าน!J418+พะเยา!J418+พิจิตร!J418+พิษณุโลก!J418+เพชรบูรณ์!J418+แพร่!J418+แม่ฮ่องสอน!J418+ลำปาง!J418+ลำพูน!J418+สุโขทัย!J418+อุตรดิตถ์!J418+อุทัยธานี!J418</f>
        <v>0</v>
      </c>
      <c r="K418" s="147">
        <f t="shared" ca="1" si="36"/>
        <v>0</v>
      </c>
      <c r="L418" s="61"/>
      <c r="M418" s="61"/>
      <c r="N418" s="61"/>
    </row>
    <row r="419" spans="1:14" ht="21.75" customHeight="1" x14ac:dyDescent="0.4">
      <c r="A419" s="55"/>
      <c r="B419" s="56"/>
      <c r="C419" s="288"/>
      <c r="D419" s="288"/>
      <c r="E419" s="288" t="s">
        <v>180</v>
      </c>
      <c r="F419" s="289"/>
      <c r="G419" s="290"/>
      <c r="H419" s="291" t="s">
        <v>15</v>
      </c>
      <c r="I419" s="150">
        <f ca="1">กำแพงเพชร!I419+เชียงราย!I419+เชียงใหม่!I419+ตาก!I419+นครสวรรค์!I419+น่าน!I419+พะเยา!I419+พิจิตร!I419+พิษณุโลก!I419+เพชรบูรณ์!I419+แพร่!I419+แม่ฮ่องสอน!I419+ลำปาง!I419+ลำพูน!I419+สุโขทัย!I419+อุตรดิตถ์!I419+อุทัยธานี!I419</f>
        <v>0</v>
      </c>
      <c r="J419" s="150">
        <f>กำแพงเพชร!J419+เชียงราย!J419+เชียงใหม่!J419+ตาก!J419+นครสวรรค์!J419+น่าน!J419+พะเยา!J419+พิจิตร!J419+พิษณุโลก!J419+เพชรบูรณ์!J419+แพร่!J419+แม่ฮ่องสอน!J419+ลำปาง!J419+ลำพูน!J419+สุโขทัย!J419+อุตรดิตถ์!J419+อุทัยธานี!J419</f>
        <v>0</v>
      </c>
      <c r="K419" s="147">
        <f t="shared" ca="1" si="36"/>
        <v>0</v>
      </c>
      <c r="L419" s="61"/>
      <c r="M419" s="61"/>
      <c r="N419" s="61"/>
    </row>
    <row r="420" spans="1:14" ht="21.75" customHeight="1" x14ac:dyDescent="0.4">
      <c r="A420" s="55"/>
      <c r="B420" s="56"/>
      <c r="C420" s="56"/>
      <c r="D420" s="73"/>
      <c r="E420" s="75"/>
      <c r="F420" s="75"/>
      <c r="G420" s="99" t="s">
        <v>176</v>
      </c>
      <c r="H420" s="267" t="s">
        <v>103</v>
      </c>
      <c r="I420" s="48">
        <v>0</v>
      </c>
      <c r="J420" s="68">
        <f>กำแพงเพชร!J420+เชียงราย!J420+เชียงใหม่!J420+ตาก!J420+นครสวรรค์!J420+น่าน!J420+พะเยา!J420+พิจิตร!J420+พิษณุโลก!J420+เพชรบูรณ์!J420+แพร่!J420+แม่ฮ่องสอน!J420+ลำปาง!J420+ลำพูน!J420+สุโขทัย!J420+อุตรดิตถ์!J420+อุทัยธานี!J420</f>
        <v>0</v>
      </c>
      <c r="K420" s="49">
        <f t="shared" si="36"/>
        <v>0</v>
      </c>
      <c r="L420" s="61"/>
      <c r="M420" s="61"/>
      <c r="N420" s="61"/>
    </row>
    <row r="421" spans="1:14" ht="21.75" customHeight="1" x14ac:dyDescent="0.4">
      <c r="A421" s="55"/>
      <c r="B421" s="56"/>
      <c r="C421" s="56"/>
      <c r="D421" s="73"/>
      <c r="E421" s="75"/>
      <c r="F421" s="75"/>
      <c r="G421" s="76"/>
      <c r="H421" s="267" t="s">
        <v>15</v>
      </c>
      <c r="I421" s="48">
        <v>0</v>
      </c>
      <c r="J421" s="68">
        <f>กำแพงเพชร!J421+เชียงราย!J421+เชียงใหม่!J421+ตาก!J421+นครสวรรค์!J421+น่าน!J421+พะเยา!J421+พิจิตร!J421+พิษณุโลก!J421+เพชรบูรณ์!J421+แพร่!J421+แม่ฮ่องสอน!J421+ลำปาง!J421+ลำพูน!J421+สุโขทัย!J421+อุตรดิตถ์!J421+อุทัยธานี!J421</f>
        <v>0</v>
      </c>
      <c r="K421" s="49">
        <f t="shared" si="36"/>
        <v>0</v>
      </c>
      <c r="L421" s="61"/>
      <c r="M421" s="61"/>
      <c r="N421" s="61"/>
    </row>
    <row r="422" spans="1:14" ht="21.75" customHeight="1" x14ac:dyDescent="0.4">
      <c r="A422" s="55"/>
      <c r="B422" s="56"/>
      <c r="C422" s="56"/>
      <c r="D422" s="73"/>
      <c r="E422" s="75"/>
      <c r="F422" s="75"/>
      <c r="G422" s="99" t="s">
        <v>177</v>
      </c>
      <c r="H422" s="267" t="s">
        <v>103</v>
      </c>
      <c r="I422" s="48">
        <v>0</v>
      </c>
      <c r="J422" s="68">
        <f>กำแพงเพชร!J422+เชียงราย!J422+เชียงใหม่!J422+ตาก!J422+นครสวรรค์!J422+น่าน!J422+พะเยา!J422+พิจิตร!J422+พิษณุโลก!J422+เพชรบูรณ์!J422+แพร่!J422+แม่ฮ่องสอน!J422+ลำปาง!J422+ลำพูน!J422+สุโขทัย!J422+อุตรดิตถ์!J422+อุทัยธานี!J422</f>
        <v>0</v>
      </c>
      <c r="K422" s="49">
        <f t="shared" si="36"/>
        <v>0</v>
      </c>
      <c r="L422" s="61"/>
      <c r="M422" s="61"/>
      <c r="N422" s="61"/>
    </row>
    <row r="423" spans="1:14" ht="21.75" customHeight="1" x14ac:dyDescent="0.4">
      <c r="A423" s="55"/>
      <c r="B423" s="56"/>
      <c r="C423" s="56"/>
      <c r="D423" s="73"/>
      <c r="E423" s="75"/>
      <c r="F423" s="75"/>
      <c r="G423" s="76"/>
      <c r="H423" s="267" t="s">
        <v>15</v>
      </c>
      <c r="I423" s="48">
        <v>0</v>
      </c>
      <c r="J423" s="68">
        <f>กำแพงเพชร!J423+เชียงราย!J423+เชียงใหม่!J423+ตาก!J423+นครสวรรค์!J423+น่าน!J423+พะเยา!J423+พิจิตร!J423+พิษณุโลก!J423+เพชรบูรณ์!J423+แพร่!J423+แม่ฮ่องสอน!J423+ลำปาง!J423+ลำพูน!J423+สุโขทัย!J423+อุตรดิตถ์!J423+อุทัยธานี!J423</f>
        <v>0</v>
      </c>
      <c r="K423" s="49">
        <f t="shared" si="36"/>
        <v>0</v>
      </c>
      <c r="L423" s="61"/>
      <c r="M423" s="61"/>
      <c r="N423" s="61"/>
    </row>
    <row r="424" spans="1:14" ht="21.75" customHeight="1" x14ac:dyDescent="0.4">
      <c r="A424" s="55"/>
      <c r="B424" s="56"/>
      <c r="C424" s="56"/>
      <c r="D424" s="73"/>
      <c r="E424" s="75"/>
      <c r="F424" s="75"/>
      <c r="G424" s="99" t="s">
        <v>181</v>
      </c>
      <c r="H424" s="267" t="s">
        <v>103</v>
      </c>
      <c r="I424" s="48">
        <v>0</v>
      </c>
      <c r="J424" s="68">
        <f>กำแพงเพชร!J424+เชียงราย!J424+เชียงใหม่!J424+ตาก!J424+นครสวรรค์!J424+น่าน!J424+พะเยา!J424+พิจิตร!J424+พิษณุโลก!J424+เพชรบูรณ์!J424+แพร่!J424+แม่ฮ่องสอน!J424+ลำปาง!J424+ลำพูน!J424+สุโขทัย!J424+อุตรดิตถ์!J424+อุทัยธานี!J424</f>
        <v>0</v>
      </c>
      <c r="K424" s="49">
        <f t="shared" si="36"/>
        <v>0</v>
      </c>
      <c r="L424" s="61"/>
      <c r="M424" s="61"/>
      <c r="N424" s="61"/>
    </row>
    <row r="425" spans="1:14" ht="21.75" customHeight="1" x14ac:dyDescent="0.4">
      <c r="A425" s="292"/>
      <c r="B425" s="293"/>
      <c r="C425" s="293"/>
      <c r="D425" s="294"/>
      <c r="E425" s="295"/>
      <c r="F425" s="295"/>
      <c r="G425" s="296"/>
      <c r="H425" s="297" t="s">
        <v>15</v>
      </c>
      <c r="I425" s="298">
        <v>0</v>
      </c>
      <c r="J425" s="299">
        <f>กำแพงเพชร!J425+เชียงราย!J425+เชียงใหม่!J425+ตาก!J425+นครสวรรค์!J425+น่าน!J425+พะเยา!J425+พิจิตร!J425+พิษณุโลก!J425+เพชรบูรณ์!J425+แพร่!J425+แม่ฮ่องสอน!J425+ลำปาง!J425+ลำพูน!J425+สุโขทัย!J425+อุตรดิตถ์!J425+อุทัยธานี!J425</f>
        <v>0</v>
      </c>
      <c r="K425" s="114">
        <f t="shared" si="36"/>
        <v>0</v>
      </c>
      <c r="L425" s="300"/>
      <c r="M425" s="300"/>
      <c r="N425" s="300"/>
    </row>
    <row r="426" spans="1:14" ht="21.75" customHeight="1" x14ac:dyDescent="0.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ca="1">กำแพงเพชร!I426+เชียงราย!I426+เชียงใหม่!I426+ตาก!I426+นครสวรรค์!I426+น่าน!I426+พะเยา!I426+พิจิตร!I426+พิษณุโลก!I426+เพชรบูรณ์!I426+แพร่!I426+แม่ฮ่องสอน!I426+ลำปาง!I426+ลำพูน!I426+สุโขทัย!I426+อุตรดิตถ์!I426+อุทัยธานี!I426</f>
        <v>388</v>
      </c>
      <c r="J426" s="257">
        <f>กำแพงเพชร!J426+เชียงราย!J426+เชียงใหม่!J426+ตาก!J426+นครสวรรค์!J426+น่าน!J426+พะเยา!J426+พิจิตร!J426+พิษณุโลก!J426+เพชรบูรณ์!J426+แพร่!J426+แม่ฮ่องสอน!J426+ลำปาง!J426+ลำพูน!J426+สุโขทัย!J426+อุตรดิตถ์!J426+อุทัยธานี!J426</f>
        <v>226</v>
      </c>
      <c r="K426" s="301">
        <f ca="1">IF(I426&gt;0,J426*100/I426,0)</f>
        <v>58.24742268041237</v>
      </c>
      <c r="L426" s="259">
        <f ca="1">กำแพงเพชร!L426+เชียงราย!L426+เชียงใหม่!L426+ตาก!L426+นครสวรรค์!L426+น่าน!L426+พะเยา!L426+พิจิตร!L426+พิษณุโลก!L426+เพชรบูรณ์!L426+แพร่!L426+แม่ฮ่องสอน!L426+ลำปาง!L426+ลำพูน!L426+สุโขทัย!L426+อุตรดิตถ์!L426+อุทัยธานี!L426</f>
        <v>595700</v>
      </c>
      <c r="M426" s="259">
        <f>กำแพงเพชร!M426+เชียงราย!M426+เชียงใหม่!M426+ตาก!M426+นครสวรรค์!M426+น่าน!M426+พะเยา!M426+พิจิตร!M426+พิษณุโลก!M426+เพชรบูรณ์!M426+แพร่!M426+แม่ฮ่องสอน!M426+ลำปาง!M426+ลำพูน!M426+สุโขทัย!M426+อุตรดิตถ์!M426+อุทัยธานี!M426</f>
        <v>184486</v>
      </c>
      <c r="N426" s="259">
        <f t="shared" ref="N426:N430" ca="1" si="37">+IF(L426&gt;0,M426*100/L426,0)</f>
        <v>30.969615578311231</v>
      </c>
    </row>
    <row r="427" spans="1:14" ht="21.75" customHeight="1" x14ac:dyDescent="0.4">
      <c r="A427" s="42"/>
      <c r="B427" s="43"/>
      <c r="C427" s="43" t="s">
        <v>17</v>
      </c>
      <c r="D427" s="44" t="s">
        <v>18</v>
      </c>
      <c r="E427" s="45"/>
      <c r="F427" s="45"/>
      <c r="G427" s="46" t="s">
        <v>19</v>
      </c>
      <c r="H427" s="47" t="s">
        <v>20</v>
      </c>
      <c r="I427" s="48" t="s">
        <v>21</v>
      </c>
      <c r="J427" s="48"/>
      <c r="K427" s="49"/>
      <c r="L427" s="50">
        <f>กำแพงเพชร!L427+เชียงราย!L427+เชียงใหม่!L427+ตาก!L427+นครสวรรค์!L427+น่าน!L427+พะเยา!L427+พิจิตร!L427+พิษณุโลก!L427+เพชรบูรณ์!L427+แพร่!L427+แม่ฮ่องสอน!L427+ลำปาง!L427+ลำพูน!L427+สุโขทัย!L427+อุตรดิตถ์!L427+อุทัยธานี!L427</f>
        <v>0</v>
      </c>
      <c r="M427" s="53">
        <f>กำแพงเพชร!M427+เชียงราย!M427+เชียงใหม่!M427+ตาก!M427+นครสวรรค์!M427+น่าน!M427+พะเยา!M427+พิจิตร!M427+พิษณุโลก!M427+เพชรบูรณ์!M427+แพร่!M427+แม่ฮ่องสอน!M427+ลำปาง!M427+ลำพูน!M427+สุโขทัย!M427+อุตรดิตถ์!M427+อุทัยธานี!M427</f>
        <v>0</v>
      </c>
      <c r="N427" s="53">
        <f t="shared" si="37"/>
        <v>0</v>
      </c>
    </row>
    <row r="428" spans="1:14" ht="21.75" customHeight="1" x14ac:dyDescent="0.4">
      <c r="A428" s="42"/>
      <c r="B428" s="43"/>
      <c r="C428" s="43"/>
      <c r="D428" s="51"/>
      <c r="E428" s="45"/>
      <c r="F428" s="45" t="s">
        <v>21</v>
      </c>
      <c r="G428" s="46" t="s">
        <v>22</v>
      </c>
      <c r="H428" s="47" t="s">
        <v>20</v>
      </c>
      <c r="I428" s="48"/>
      <c r="J428" s="48"/>
      <c r="K428" s="49"/>
      <c r="L428" s="50">
        <f ca="1">กำแพงเพชร!L428+เชียงราย!L428+เชียงใหม่!L428+ตาก!L428+นครสวรรค์!L428+น่าน!L428+พะเยา!L428+พิจิตร!L428+พิษณุโลก!L428+เพชรบูรณ์!L428+แพร่!L428+แม่ฮ่องสอน!L428+ลำปาง!L428+ลำพูน!L428+สุโขทัย!L428+อุตรดิตถ์!L428+อุทัยธานี!L428</f>
        <v>595700</v>
      </c>
      <c r="M428" s="53">
        <f>กำแพงเพชร!M428+เชียงราย!M428+เชียงใหม่!M428+ตาก!M428+นครสวรรค์!M428+น่าน!M428+พะเยา!M428+พิจิตร!M428+พิษณุโลก!M428+เพชรบูรณ์!M428+แพร่!M428+แม่ฮ่องสอน!M428+ลำปาง!M428+ลำพูน!M428+สุโขทัย!M428+อุตรดิตถ์!M428+อุทัยธานี!M428</f>
        <v>184486</v>
      </c>
      <c r="N428" s="53">
        <f t="shared" ca="1" si="37"/>
        <v>30.969615578311231</v>
      </c>
    </row>
    <row r="429" spans="1:14" ht="21.75" customHeight="1" x14ac:dyDescent="0.4">
      <c r="A429" s="42"/>
      <c r="B429" s="43"/>
      <c r="C429" s="43"/>
      <c r="D429" s="51"/>
      <c r="E429" s="45"/>
      <c r="F429" s="45"/>
      <c r="G429" s="52" t="s">
        <v>110</v>
      </c>
      <c r="H429" s="47" t="s">
        <v>20</v>
      </c>
      <c r="I429" s="48"/>
      <c r="J429" s="48"/>
      <c r="K429" s="49"/>
      <c r="L429" s="53">
        <f ca="1">กำแพงเพชร!L429+เชียงราย!L429+เชียงใหม่!L429+ตาก!L429+นครสวรรค์!L429+น่าน!L429+พะเยา!L429+พิจิตร!L429+พิษณุโลก!L429+เพชรบูรณ์!L429+แพร่!L429+แม่ฮ่องสอน!L429+ลำปาง!L429+ลำพูน!L429+สุโขทัย!L429+อุตรดิตถ์!L429+อุทัยธานี!L429</f>
        <v>0</v>
      </c>
      <c r="M429" s="53">
        <f>กำแพงเพชร!M429+เชียงราย!M429+เชียงใหม่!M429+ตาก!M429+นครสวรรค์!M429+น่าน!M429+พะเยา!M429+พิจิตร!M429+พิษณุโลก!M429+เพชรบูรณ์!M429+แพร่!M429+แม่ฮ่องสอน!M429+ลำปาง!M429+ลำพูน!M429+สุโขทัย!M429+อุตรดิตถ์!M429+อุทัยธานี!M429</f>
        <v>0</v>
      </c>
      <c r="N429" s="53">
        <f t="shared" ca="1" si="37"/>
        <v>0</v>
      </c>
    </row>
    <row r="430" spans="1:14" ht="21.75" customHeight="1" x14ac:dyDescent="0.4">
      <c r="A430" s="42"/>
      <c r="B430" s="43"/>
      <c r="C430" s="43"/>
      <c r="D430" s="51"/>
      <c r="E430" s="45"/>
      <c r="F430" s="45"/>
      <c r="G430" s="52" t="s">
        <v>111</v>
      </c>
      <c r="H430" s="47" t="s">
        <v>20</v>
      </c>
      <c r="I430" s="48"/>
      <c r="J430" s="48"/>
      <c r="K430" s="49"/>
      <c r="L430" s="53">
        <f ca="1">กำแพงเพชร!L430+เชียงราย!L430+เชียงใหม่!L430+ตาก!L430+นครสวรรค์!L430+น่าน!L430+พะเยา!L430+พิจิตร!L430+พิษณุโลก!L430+เพชรบูรณ์!L430+แพร่!L430+แม่ฮ่องสอน!L430+ลำปาง!L430+ลำพูน!L430+สุโขทัย!L430+อุตรดิตถ์!L430+อุทัยธานี!L430</f>
        <v>595700</v>
      </c>
      <c r="M430" s="53">
        <f>กำแพงเพชร!M430+เชียงราย!M430+เชียงใหม่!M430+ตาก!M430+นครสวรรค์!M430+น่าน!M430+พะเยา!M430+พิจิตร!M430+พิษณุโลก!M430+เพชรบูรณ์!M430+แพร่!M430+แม่ฮ่องสอน!M430+ลำปาง!M430+ลำพูน!M430+สุโขทัย!M430+อุตรดิตถ์!M430+อุทัยธานี!M430</f>
        <v>184486</v>
      </c>
      <c r="N430" s="53">
        <f t="shared" ca="1" si="37"/>
        <v>30.969615578311231</v>
      </c>
    </row>
    <row r="431" spans="1:14" ht="21.75" customHeight="1" x14ac:dyDescent="0.4">
      <c r="A431" s="230"/>
      <c r="B431" s="231"/>
      <c r="C431" s="43"/>
      <c r="D431" s="232"/>
      <c r="E431" s="45"/>
      <c r="F431" s="45"/>
      <c r="G431" s="46" t="s">
        <v>112</v>
      </c>
      <c r="H431" s="47" t="s">
        <v>20</v>
      </c>
      <c r="I431" s="67"/>
      <c r="J431" s="67"/>
      <c r="K431" s="233"/>
      <c r="L431" s="53"/>
      <c r="M431" s="54">
        <f>กำแพงเพชร!M431+เชียงราย!M431+เชียงใหม่!M431+ตาก!M431+นครสวรรค์!M431+น่าน!M431+พะเยา!M431+พิจิตร!M431+พิษณุโลก!M431+เพชรบูรณ์!M431+แพร่!M431+แม่ฮ่องสอน!M431+ลำปาง!M431+ลำพูน!M431+สุโขทัย!M431+อุตรดิตถ์!M431+อุทัยธานี!M431</f>
        <v>150316</v>
      </c>
      <c r="N431" s="53"/>
    </row>
    <row r="432" spans="1:14" ht="21.75" customHeight="1" x14ac:dyDescent="0.4">
      <c r="A432" s="230"/>
      <c r="B432" s="231"/>
      <c r="C432" s="43"/>
      <c r="D432" s="232"/>
      <c r="E432" s="45"/>
      <c r="F432" s="45"/>
      <c r="G432" s="46" t="s">
        <v>113</v>
      </c>
      <c r="H432" s="47" t="s">
        <v>20</v>
      </c>
      <c r="I432" s="67"/>
      <c r="J432" s="67"/>
      <c r="K432" s="233"/>
      <c r="L432" s="53"/>
      <c r="M432" s="54">
        <f>กำแพงเพชร!M432+เชียงราย!M432+เชียงใหม่!M432+ตาก!M432+นครสวรรค์!M432+น่าน!M432+พะเยา!M432+พิจิตร!M432+พิษณุโลก!M432+เพชรบูรณ์!M432+แพร่!M432+แม่ฮ่องสอน!M432+ลำปาง!M432+ลำพูน!M432+สุโขทัย!M432+อุตรดิตถ์!M432+อุทัยธานี!M432</f>
        <v>0</v>
      </c>
      <c r="N432" s="53"/>
    </row>
    <row r="433" spans="1:14" ht="21.75" customHeight="1" x14ac:dyDescent="0.4">
      <c r="A433" s="230"/>
      <c r="B433" s="231"/>
      <c r="C433" s="43"/>
      <c r="D433" s="232"/>
      <c r="E433" s="45"/>
      <c r="F433" s="45"/>
      <c r="G433" s="46" t="s">
        <v>114</v>
      </c>
      <c r="H433" s="47" t="s">
        <v>20</v>
      </c>
      <c r="I433" s="67"/>
      <c r="J433" s="67"/>
      <c r="K433" s="233"/>
      <c r="L433" s="53"/>
      <c r="M433" s="54">
        <f>กำแพงเพชร!M433+เชียงราย!M433+เชียงใหม่!M433+ตาก!M433+นครสวรรค์!M433+น่าน!M433+พะเยา!M433+พิจิตร!M433+พิษณุโลก!M433+เพชรบูรณ์!M433+แพร่!M433+แม่ฮ่องสอน!M433+ลำปาง!M433+ลำพูน!M433+สุโขทัย!M433+อุตรดิตถ์!M433+อุทัยธานี!M433</f>
        <v>0</v>
      </c>
      <c r="N433" s="53"/>
    </row>
    <row r="434" spans="1:14" ht="21.75" customHeight="1" x14ac:dyDescent="0.4">
      <c r="A434" s="230"/>
      <c r="B434" s="231"/>
      <c r="C434" s="43"/>
      <c r="D434" s="232"/>
      <c r="E434" s="45"/>
      <c r="F434" s="45"/>
      <c r="G434" s="46" t="s">
        <v>115</v>
      </c>
      <c r="H434" s="47" t="s">
        <v>20</v>
      </c>
      <c r="I434" s="67"/>
      <c r="J434" s="67"/>
      <c r="K434" s="233"/>
      <c r="L434" s="53"/>
      <c r="M434" s="54">
        <f>กำแพงเพชร!M434+เชียงราย!M434+เชียงใหม่!M434+ตาก!M434+นครสวรรค์!M434+น่าน!M434+พะเยา!M434+พิจิตร!M434+พิษณุโลก!M434+เพชรบูรณ์!M434+แพร่!M434+แม่ฮ่องสอน!M434+ลำปาง!M434+ลำพูน!M434+สุโขทัย!M434+อุตรดิตถ์!M434+อุทัยธานี!M434</f>
        <v>34170</v>
      </c>
      <c r="N434" s="53"/>
    </row>
    <row r="435" spans="1:14" ht="21.75" customHeight="1" x14ac:dyDescent="0.4">
      <c r="A435" s="55"/>
      <c r="B435" s="56"/>
      <c r="C435" s="43" t="s">
        <v>17</v>
      </c>
      <c r="D435" s="57" t="s">
        <v>25</v>
      </c>
      <c r="E435" s="58"/>
      <c r="F435" s="58"/>
      <c r="G435" s="59"/>
      <c r="H435" s="60"/>
      <c r="I435" s="48"/>
      <c r="J435" s="48"/>
      <c r="K435" s="49"/>
      <c r="L435" s="61"/>
      <c r="M435" s="61"/>
      <c r="N435" s="61"/>
    </row>
    <row r="436" spans="1:14" ht="21.75" customHeight="1" x14ac:dyDescent="0.4">
      <c r="A436" s="55"/>
      <c r="B436" s="56"/>
      <c r="C436" s="56"/>
      <c r="D436" s="62">
        <v>1</v>
      </c>
      <c r="E436" s="63" t="s">
        <v>26</v>
      </c>
      <c r="F436" s="64"/>
      <c r="G436" s="65"/>
      <c r="H436" s="66"/>
      <c r="I436" s="67"/>
      <c r="J436" s="68">
        <f>กำแพงเพชร!J436+เชียงราย!J436+เชียงใหม่!J436+ตาก!J436+นครสวรรค์!J436+น่าน!J436+พะเยา!J436+พิจิตร!J436+พิษณุโลก!J436+เพชรบูรณ์!J436+แพร่!J436+แม่ฮ่องสอน!J436+ลำปาง!J436+ลำพูน!J436+สุโขทัย!J436+อุตรดิตถ์!J436+อุทัยธานี!J436</f>
        <v>0</v>
      </c>
      <c r="K436" s="49"/>
      <c r="L436" s="61"/>
      <c r="M436" s="61"/>
      <c r="N436" s="61"/>
    </row>
    <row r="437" spans="1:14" ht="21.75" customHeight="1" x14ac:dyDescent="0.4">
      <c r="A437" s="55"/>
      <c r="B437" s="56"/>
      <c r="C437" s="56"/>
      <c r="D437" s="69">
        <v>2</v>
      </c>
      <c r="E437" s="70" t="s">
        <v>27</v>
      </c>
      <c r="F437" s="71"/>
      <c r="G437" s="72"/>
      <c r="H437" s="66"/>
      <c r="I437" s="67"/>
      <c r="J437" s="68">
        <f>กำแพงเพชร!J437+เชียงราย!J437+เชียงใหม่!J437+ตาก!J437+นครสวรรค์!J437+น่าน!J437+พะเยา!J437+พิจิตร!J437+พิษณุโลก!J437+เพชรบูรณ์!J437+แพร่!J437+แม่ฮ่องสอน!J437+ลำปาง!J437+ลำพูน!J437+สุโขทัย!J437+อุตรดิตถ์!J437+อุทัยธานี!J437</f>
        <v>16</v>
      </c>
      <c r="K437" s="49"/>
      <c r="L437" s="61" t="s">
        <v>21</v>
      </c>
      <c r="M437" s="61" t="s">
        <v>21</v>
      </c>
      <c r="N437" s="61"/>
    </row>
    <row r="438" spans="1:14" ht="21.75" customHeight="1" x14ac:dyDescent="0.4">
      <c r="A438" s="55"/>
      <c r="B438" s="56"/>
      <c r="C438" s="56"/>
      <c r="D438" s="73"/>
      <c r="E438" s="74" t="s">
        <v>28</v>
      </c>
      <c r="F438" s="75"/>
      <c r="G438" s="76"/>
      <c r="H438" s="66"/>
      <c r="I438" s="67"/>
      <c r="J438" s="68">
        <f>กำแพงเพชร!J438+เชียงราย!J438+เชียงใหม่!J438+ตาก!J438+นครสวรรค์!J438+น่าน!J438+พะเยา!J438+พิจิตร!J438+พิษณุโลก!J438+เพชรบูรณ์!J438+แพร่!J438+แม่ฮ่องสอน!J438+ลำปาง!J438+ลำพูน!J438+สุโขทัย!J438+อุตรดิตถ์!J438+อุทัยธานี!J438</f>
        <v>16</v>
      </c>
      <c r="K438" s="49"/>
      <c r="L438" s="61"/>
      <c r="M438" s="61"/>
      <c r="N438" s="61"/>
    </row>
    <row r="439" spans="1:14" ht="21.75" customHeight="1" x14ac:dyDescent="0.4">
      <c r="A439" s="55"/>
      <c r="B439" s="56"/>
      <c r="C439" s="56"/>
      <c r="D439" s="73"/>
      <c r="E439" s="74" t="s">
        <v>29</v>
      </c>
      <c r="F439" s="75"/>
      <c r="G439" s="76"/>
      <c r="H439" s="66"/>
      <c r="I439" s="67"/>
      <c r="J439" s="68">
        <f>กำแพงเพชร!J439+เชียงราย!J439+เชียงใหม่!J439+ตาก!J439+นครสวรรค์!J439+น่าน!J439+พะเยา!J439+พิจิตร!J439+พิษณุโลก!J439+เพชรบูรณ์!J439+แพร่!J439+แม่ฮ่องสอน!J439+ลำปาง!J439+ลำพูน!J439+สุโขทัย!J439+อุตรดิตถ์!J439+อุทัยธานี!J439</f>
        <v>11</v>
      </c>
      <c r="K439" s="49"/>
      <c r="L439" s="61"/>
      <c r="M439" s="61"/>
      <c r="N439" s="61"/>
    </row>
    <row r="440" spans="1:14" ht="21.75" customHeight="1" x14ac:dyDescent="0.4">
      <c r="A440" s="55"/>
      <c r="B440" s="56"/>
      <c r="C440" s="56"/>
      <c r="D440" s="73"/>
      <c r="E440" s="77"/>
      <c r="F440" s="75"/>
      <c r="G440" s="99" t="s">
        <v>183</v>
      </c>
      <c r="H440" s="66" t="s">
        <v>16</v>
      </c>
      <c r="I440" s="200">
        <f ca="1">กำแพงเพชร!I440+เชียงราย!I440+เชียงใหม่!I440+ตาก!I440+นครสวรรค์!I440+น่าน!I440+พะเยา!I440+พิจิตร!I440+พิษณุโลก!I440+เพชรบูรณ์!I440+แพร่!I440+แม่ฮ่องสอน!I440+ลำปาง!I440+ลำพูน!I440+สุโขทัย!I440+อุตรดิตถ์!I440+อุทัยธานี!I440</f>
        <v>388</v>
      </c>
      <c r="J440" s="68">
        <f>กำแพงเพชร!J440+เชียงราย!J440+เชียงใหม่!J440+ตาก!J440+นครสวรรค์!J440+น่าน!J440+พะเยา!J440+พิจิตร!J440+พิษณุโลก!J440+เพชรบูรณ์!J440+แพร่!J440+แม่ฮ่องสอน!J440+ลำปาง!J440+ลำพูน!J440+สุโขทัย!J440+อุตรดิตถ์!J440+อุทัยธานี!J440</f>
        <v>226</v>
      </c>
      <c r="K440" s="49">
        <f t="shared" ref="K440:K441" ca="1" si="38">IF(I440&gt;0,J440*100/I440,0)</f>
        <v>58.24742268041237</v>
      </c>
      <c r="L440" s="61"/>
      <c r="M440" s="61"/>
      <c r="N440" s="61"/>
    </row>
    <row r="441" spans="1:14" ht="21.75" hidden="1" customHeight="1" x14ac:dyDescent="0.4">
      <c r="A441" s="55"/>
      <c r="B441" s="56"/>
      <c r="C441" s="56"/>
      <c r="D441" s="73"/>
      <c r="E441" s="77"/>
      <c r="F441" s="75"/>
      <c r="G441" s="99" t="s">
        <v>184</v>
      </c>
      <c r="H441" s="66" t="s">
        <v>16</v>
      </c>
      <c r="I441" s="200">
        <f ca="1">กำแพงเพชร!I441+เชียงราย!I441+เชียงใหม่!I441+ตาก!I441+นครสวรรค์!I441+น่าน!I441+พะเยา!I441+พิจิตร!I441+พิษณุโลก!I441+เพชรบูรณ์!I441+แพร่!I441+แม่ฮ่องสอน!I441+ลำปาง!I441+ลำพูน!I441+สุโขทัย!I441+อุตรดิตถ์!I441+อุทัยธานี!I441</f>
        <v>388</v>
      </c>
      <c r="J441" s="68">
        <f>กำแพงเพชร!J441+เชียงราย!J441+เชียงใหม่!J441+ตาก!J441+นครสวรรค์!J441+น่าน!J441+พะเยา!J441+พิจิตร!J441+พิษณุโลก!J441+เพชรบูรณ์!J441+แพร่!J441+แม่ฮ่องสอน!J441+ลำปาง!J441+ลำพูน!J441+สุโขทัย!J441+อุตรดิตถ์!J441+อุทัยธานี!J441</f>
        <v>0</v>
      </c>
      <c r="K441" s="49">
        <f t="shared" ca="1" si="38"/>
        <v>0</v>
      </c>
      <c r="L441" s="61"/>
      <c r="M441" s="61"/>
      <c r="N441" s="61"/>
    </row>
    <row r="442" spans="1:14" ht="21.75" customHeight="1" x14ac:dyDescent="0.4">
      <c r="A442" s="55"/>
      <c r="B442" s="56"/>
      <c r="C442" s="56"/>
      <c r="D442" s="73"/>
      <c r="E442" s="74" t="s">
        <v>35</v>
      </c>
      <c r="F442" s="75"/>
      <c r="G442" s="76"/>
      <c r="H442" s="66"/>
      <c r="I442" s="67"/>
      <c r="J442" s="68">
        <f>กำแพงเพชร!J442+เชียงราย!J442+เชียงใหม่!J442+ตาก!J442+นครสวรรค์!J442+น่าน!J442+พะเยา!J442+พิจิตร!J442+พิษณุโลก!J442+เพชรบูรณ์!J442+แพร่!J442+แม่ฮ่องสอน!J442+ลำปาง!J442+ลำพูน!J442+สุโขทัย!J442+อุตรดิตถ์!J442+อุทัยธานี!J442</f>
        <v>1</v>
      </c>
      <c r="K442" s="49"/>
      <c r="L442" s="61"/>
      <c r="M442" s="61"/>
      <c r="N442" s="61"/>
    </row>
    <row r="443" spans="1:14" ht="21.75" customHeight="1" x14ac:dyDescent="0.4">
      <c r="A443" s="292"/>
      <c r="B443" s="293"/>
      <c r="C443" s="293"/>
      <c r="D443" s="302">
        <v>3</v>
      </c>
      <c r="E443" s="303" t="s">
        <v>36</v>
      </c>
      <c r="F443" s="304"/>
      <c r="G443" s="305"/>
      <c r="H443" s="306"/>
      <c r="I443" s="307"/>
      <c r="J443" s="308">
        <f>กำแพงเพชร!J443+เชียงราย!J443+เชียงใหม่!J443+ตาก!J443+นครสวรรค์!J443+น่าน!J443+พะเยา!J443+พิจิตร!J443+พิษณุโลก!J443+เพชรบูรณ์!J443+แพร่!J443+แม่ฮ่องสอน!J443+ลำปาง!J443+ลำพูน!J443+สุโขทัย!J443+อุตรดิตถ์!J443+อุทัยธานี!J443</f>
        <v>0</v>
      </c>
      <c r="K443" s="309"/>
      <c r="L443" s="300"/>
      <c r="M443" s="300"/>
      <c r="N443" s="300"/>
    </row>
    <row r="444" spans="1:14" ht="21.75" customHeight="1" x14ac:dyDescent="0.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ca="1">กำแพงเพชร!I444+เชียงราย!I444+เชียงใหม่!I444+ตาก!I444+นครสวรรค์!I444+น่าน!I444+พะเยา!I444+พิจิตร!I444+พิษณุโลก!I444+เพชรบูรณ์!I444+แพร่!I444+แม่ฮ่องสอน!I444+ลำปาง!I444+ลำพูน!I444+สุโขทัย!I444+อุตรดิตถ์!I444+อุทัยธานี!I444</f>
        <v>25000</v>
      </c>
      <c r="J444" s="257">
        <f>กำแพงเพชร!J444+เชียงราย!J444+เชียงใหม่!J444+ตาก!J444+นครสวรรค์!J444+น่าน!J444+พะเยา!J444+พิจิตร!J444+พิษณุโลก!J444+เพชรบูรณ์!J444+แพร่!J444+แม่ฮ่องสอน!J444+ลำปาง!J444+ลำพูน!J444+สุโขทัย!J444+อุตรดิตถ์!J444+อุทัยธานี!J444</f>
        <v>0</v>
      </c>
      <c r="K444" s="258">
        <f ca="1">IF(I444&gt;0,J444*100/I444,0)</f>
        <v>0</v>
      </c>
      <c r="L444" s="259">
        <f ca="1">กำแพงเพชร!L444+เชียงราย!L444+เชียงใหม่!L444+ตาก!L444+นครสวรรค์!L444+น่าน!L444+พะเยา!L444+พิจิตร!L444+พิษณุโลก!L444+เพชรบูรณ์!L444+แพร่!L444+แม่ฮ่องสอน!L444+ลำปาง!L444+ลำพูน!L444+สุโขทัย!L444+อุตรดิตถ์!L444+อุทัยธานี!L444</f>
        <v>1530000</v>
      </c>
      <c r="M444" s="259">
        <f>กำแพงเพชร!M444+เชียงราย!M444+เชียงใหม่!M444+ตาก!M444+นครสวรรค์!M444+น่าน!M444+พะเยา!M444+พิจิตร!M444+พิษณุโลก!M444+เพชรบูรณ์!M444+แพร่!M444+แม่ฮ่องสอน!M444+ลำปาง!M444+ลำพูน!M444+สุโขทัย!M444+อุตรดิตถ์!M444+อุทัยธานี!M444</f>
        <v>1067.8599999999999</v>
      </c>
      <c r="N444" s="259">
        <f t="shared" ref="N444:N448" ca="1" si="39">+IF(L444&gt;0,M444*100/L444,0)</f>
        <v>6.9794771241830061E-2</v>
      </c>
    </row>
    <row r="445" spans="1:14" ht="21.75" customHeight="1" x14ac:dyDescent="0.4">
      <c r="A445" s="42"/>
      <c r="B445" s="43"/>
      <c r="C445" s="43" t="s">
        <v>17</v>
      </c>
      <c r="D445" s="44" t="s">
        <v>18</v>
      </c>
      <c r="E445" s="45"/>
      <c r="F445" s="45"/>
      <c r="G445" s="46" t="s">
        <v>19</v>
      </c>
      <c r="H445" s="47" t="s">
        <v>20</v>
      </c>
      <c r="I445" s="48" t="s">
        <v>21</v>
      </c>
      <c r="J445" s="48"/>
      <c r="K445" s="49"/>
      <c r="L445" s="50">
        <f>กำแพงเพชร!L445+เชียงราย!L445+เชียงใหม่!L445+ตาก!L445+นครสวรรค์!L445+น่าน!L445+พะเยา!L445+พิจิตร!L445+พิษณุโลก!L445+เพชรบูรณ์!L445+แพร่!L445+แม่ฮ่องสอน!L445+ลำปาง!L445+ลำพูน!L445+สุโขทัย!L445+อุตรดิตถ์!L445+อุทัยธานี!L445</f>
        <v>0</v>
      </c>
      <c r="M445" s="53">
        <f>กำแพงเพชร!M445+เชียงราย!M445+เชียงใหม่!M445+ตาก!M445+นครสวรรค์!M445+น่าน!M445+พะเยา!M445+พิจิตร!M445+พิษณุโลก!M445+เพชรบูรณ์!M445+แพร่!M445+แม่ฮ่องสอน!M445+ลำปาง!M445+ลำพูน!M445+สุโขทัย!M445+อุตรดิตถ์!M445+อุทัยธานี!M445</f>
        <v>0</v>
      </c>
      <c r="N445" s="53">
        <f t="shared" si="39"/>
        <v>0</v>
      </c>
    </row>
    <row r="446" spans="1:14" ht="21.75" customHeight="1" x14ac:dyDescent="0.4">
      <c r="A446" s="42"/>
      <c r="B446" s="43"/>
      <c r="C446" s="43"/>
      <c r="D446" s="51"/>
      <c r="E446" s="45"/>
      <c r="F446" s="45" t="s">
        <v>21</v>
      </c>
      <c r="G446" s="46" t="s">
        <v>22</v>
      </c>
      <c r="H446" s="47" t="s">
        <v>20</v>
      </c>
      <c r="I446" s="48"/>
      <c r="J446" s="48"/>
      <c r="K446" s="49"/>
      <c r="L446" s="50">
        <f ca="1">กำแพงเพชร!L446+เชียงราย!L446+เชียงใหม่!L446+ตาก!L446+นครสวรรค์!L446+น่าน!L446+พะเยา!L446+พิจิตร!L446+พิษณุโลก!L446+เพชรบูรณ์!L446+แพร่!L446+แม่ฮ่องสอน!L446+ลำปาง!L446+ลำพูน!L446+สุโขทัย!L446+อุตรดิตถ์!L446+อุทัยธานี!L446</f>
        <v>1530000</v>
      </c>
      <c r="M446" s="53">
        <f>กำแพงเพชร!M446+เชียงราย!M446+เชียงใหม่!M446+ตาก!M446+นครสวรรค์!M446+น่าน!M446+พะเยา!M446+พิจิตร!M446+พิษณุโลก!M446+เพชรบูรณ์!M446+แพร่!M446+แม่ฮ่องสอน!M446+ลำปาง!M446+ลำพูน!M446+สุโขทัย!M446+อุตรดิตถ์!M446+อุทัยธานี!M446</f>
        <v>1067.8599999999999</v>
      </c>
      <c r="N446" s="53">
        <f t="shared" ca="1" si="39"/>
        <v>6.9794771241830061E-2</v>
      </c>
    </row>
    <row r="447" spans="1:14" ht="21.75" customHeight="1" x14ac:dyDescent="0.4">
      <c r="A447" s="42"/>
      <c r="B447" s="43"/>
      <c r="C447" s="43"/>
      <c r="D447" s="51"/>
      <c r="E447" s="45"/>
      <c r="F447" s="45"/>
      <c r="G447" s="52" t="s">
        <v>110</v>
      </c>
      <c r="H447" s="47" t="s">
        <v>20</v>
      </c>
      <c r="I447" s="48"/>
      <c r="J447" s="48"/>
      <c r="K447" s="49"/>
      <c r="L447" s="53">
        <f ca="1">กำแพงเพชร!L447+เชียงราย!L447+เชียงใหม่!L447+ตาก!L447+นครสวรรค์!L447+น่าน!L447+พะเยา!L447+พิจิตร!L447+พิษณุโลก!L447+เพชรบูรณ์!L447+แพร่!L447+แม่ฮ่องสอน!L447+ลำปาง!L447+ลำพูน!L447+สุโขทัย!L447+อุตรดิตถ์!L447+อุทัยธานี!L447</f>
        <v>0</v>
      </c>
      <c r="M447" s="53">
        <f>กำแพงเพชร!M447+เชียงราย!M447+เชียงใหม่!M447+ตาก!M447+นครสวรรค์!M447+น่าน!M447+พะเยา!M447+พิจิตร!M447+พิษณุโลก!M447+เพชรบูรณ์!M447+แพร่!M447+แม่ฮ่องสอน!M447+ลำปาง!M447+ลำพูน!M447+สุโขทัย!M447+อุตรดิตถ์!M447+อุทัยธานี!M447</f>
        <v>0</v>
      </c>
      <c r="N447" s="53">
        <f t="shared" ca="1" si="39"/>
        <v>0</v>
      </c>
    </row>
    <row r="448" spans="1:14" ht="21.75" customHeight="1" x14ac:dyDescent="0.4">
      <c r="A448" s="42"/>
      <c r="B448" s="43"/>
      <c r="C448" s="43"/>
      <c r="D448" s="51"/>
      <c r="E448" s="45"/>
      <c r="F448" s="45"/>
      <c r="G448" s="52" t="s">
        <v>111</v>
      </c>
      <c r="H448" s="47" t="s">
        <v>20</v>
      </c>
      <c r="I448" s="48"/>
      <c r="J448" s="48"/>
      <c r="K448" s="49"/>
      <c r="L448" s="53">
        <f ca="1">กำแพงเพชร!L448+เชียงราย!L448+เชียงใหม่!L448+ตาก!L448+นครสวรรค์!L448+น่าน!L448+พะเยา!L448+พิจิตร!L448+พิษณุโลก!L448+เพชรบูรณ์!L448+แพร่!L448+แม่ฮ่องสอน!L448+ลำปาง!L448+ลำพูน!L448+สุโขทัย!L448+อุตรดิตถ์!L448+อุทัยธานี!L448</f>
        <v>1530000</v>
      </c>
      <c r="M448" s="53">
        <f>กำแพงเพชร!M448+เชียงราย!M448+เชียงใหม่!M448+ตาก!M448+นครสวรรค์!M448+น่าน!M448+พะเยา!M448+พิจิตร!M448+พิษณุโลก!M448+เพชรบูรณ์!M448+แพร่!M448+แม่ฮ่องสอน!M448+ลำปาง!M448+ลำพูน!M448+สุโขทัย!M448+อุตรดิตถ์!M448+อุทัยธานี!M448</f>
        <v>1067.8599999999999</v>
      </c>
      <c r="N448" s="53">
        <f t="shared" ca="1" si="39"/>
        <v>6.9794771241830061E-2</v>
      </c>
    </row>
    <row r="449" spans="1:14" ht="21.75" customHeight="1" x14ac:dyDescent="0.4">
      <c r="A449" s="230"/>
      <c r="B449" s="231"/>
      <c r="C449" s="43"/>
      <c r="D449" s="232"/>
      <c r="E449" s="45"/>
      <c r="F449" s="45"/>
      <c r="G449" s="46" t="s">
        <v>112</v>
      </c>
      <c r="H449" s="47" t="s">
        <v>20</v>
      </c>
      <c r="I449" s="67"/>
      <c r="J449" s="67"/>
      <c r="K449" s="233"/>
      <c r="L449" s="53"/>
      <c r="M449" s="54">
        <f>กำแพงเพชร!M449+เชียงราย!M449+เชียงใหม่!M449+ตาก!M449+นครสวรรค์!M449+น่าน!M449+พะเยา!M449+พิจิตร!M449+พิษณุโลก!M449+เพชรบูรณ์!M449+แพร่!M449+แม่ฮ่องสอน!M449+ลำปาง!M449+ลำพูน!M449+สุโขทัย!M449+อุตรดิตถ์!M449+อุทัยธานี!M449</f>
        <v>0</v>
      </c>
      <c r="N449" s="53"/>
    </row>
    <row r="450" spans="1:14" ht="21.75" customHeight="1" x14ac:dyDescent="0.4">
      <c r="A450" s="230"/>
      <c r="B450" s="231"/>
      <c r="C450" s="43"/>
      <c r="D450" s="232"/>
      <c r="E450" s="45"/>
      <c r="F450" s="45"/>
      <c r="G450" s="46" t="s">
        <v>113</v>
      </c>
      <c r="H450" s="47" t="s">
        <v>20</v>
      </c>
      <c r="I450" s="67"/>
      <c r="J450" s="67"/>
      <c r="K450" s="233"/>
      <c r="L450" s="53"/>
      <c r="M450" s="54">
        <f>กำแพงเพชร!M450+เชียงราย!M450+เชียงใหม่!M450+ตาก!M450+นครสวรรค์!M450+น่าน!M450+พะเยา!M450+พิจิตร!M450+พิษณุโลก!M450+เพชรบูรณ์!M450+แพร่!M450+แม่ฮ่องสอน!M450+ลำปาง!M450+ลำพูน!M450+สุโขทัย!M450+อุตรดิตถ์!M450+อุทัยธานี!M450</f>
        <v>0</v>
      </c>
      <c r="N450" s="53"/>
    </row>
    <row r="451" spans="1:14" ht="21.75" customHeight="1" x14ac:dyDescent="0.4">
      <c r="A451" s="230"/>
      <c r="B451" s="231"/>
      <c r="C451" s="43"/>
      <c r="D451" s="232"/>
      <c r="E451" s="45"/>
      <c r="F451" s="45"/>
      <c r="G451" s="46" t="s">
        <v>114</v>
      </c>
      <c r="H451" s="47" t="s">
        <v>20</v>
      </c>
      <c r="I451" s="67"/>
      <c r="J451" s="67"/>
      <c r="K451" s="233"/>
      <c r="L451" s="53"/>
      <c r="M451" s="54">
        <f>กำแพงเพชร!M451+เชียงราย!M451+เชียงใหม่!M451+ตาก!M451+นครสวรรค์!M451+น่าน!M451+พะเยา!M451+พิจิตร!M451+พิษณุโลก!M451+เพชรบูรณ์!M451+แพร่!M451+แม่ฮ่องสอน!M451+ลำปาง!M451+ลำพูน!M451+สุโขทัย!M451+อุตรดิตถ์!M451+อุทัยธานี!M451</f>
        <v>0</v>
      </c>
      <c r="N451" s="53"/>
    </row>
    <row r="452" spans="1:14" ht="21.75" customHeight="1" x14ac:dyDescent="0.4">
      <c r="A452" s="230"/>
      <c r="B452" s="231"/>
      <c r="C452" s="43"/>
      <c r="D452" s="232"/>
      <c r="E452" s="45"/>
      <c r="F452" s="45"/>
      <c r="G452" s="46" t="s">
        <v>115</v>
      </c>
      <c r="H452" s="47" t="s">
        <v>20</v>
      </c>
      <c r="I452" s="67"/>
      <c r="J452" s="67"/>
      <c r="K452" s="233"/>
      <c r="L452" s="53"/>
      <c r="M452" s="54">
        <f>กำแพงเพชร!M452+เชียงราย!M452+เชียงใหม่!M452+ตาก!M452+นครสวรรค์!M452+น่าน!M452+พะเยา!M452+พิจิตร!M452+พิษณุโลก!M452+เพชรบูรณ์!M452+แพร่!M452+แม่ฮ่องสอน!M452+ลำปาง!M452+ลำพูน!M452+สุโขทัย!M452+อุตรดิตถ์!M452+อุทัยธานี!M452</f>
        <v>1067.8599999999999</v>
      </c>
      <c r="N452" s="53"/>
    </row>
    <row r="453" spans="1:14" ht="21.75" customHeight="1" x14ac:dyDescent="0.4">
      <c r="A453" s="230"/>
      <c r="B453" s="231"/>
      <c r="C453" s="231"/>
      <c r="D453" s="310"/>
      <c r="E453" s="311"/>
      <c r="F453" s="311" t="s">
        <v>186</v>
      </c>
      <c r="G453" s="312"/>
      <c r="H453" s="313" t="s">
        <v>103</v>
      </c>
      <c r="I453" s="67">
        <f ca="1">กำแพงเพชร!I453+เชียงราย!I453+เชียงใหม่!I453+ตาก!I453+นครสวรรค์!I453+น่าน!I453+พะเยา!I453+พิจิตร!I453+พิษณุโลก!I453+เพชรบูรณ์!I453+แพร่!I453+แม่ฮ่องสอน!I453+ลำปาง!I453+ลำพูน!I453+สุโขทัย!I453+อุตรดิตถ์!I453+อุทัยธานี!I453</f>
        <v>25000</v>
      </c>
      <c r="J453" s="67">
        <f>กำแพงเพชร!J453+เชียงราย!J453+เชียงใหม่!J453+ตาก!J453+นครสวรรค์!J453+น่าน!J453+พะเยา!J453+พิจิตร!J453+พิษณุโลก!J453+เพชรบูรณ์!J453+แพร่!J453+แม่ฮ่องสอน!J453+ลำปาง!J453+ลำพูน!J453+สุโขทัย!J453+อุตรดิตถ์!J453+อุทัยธานี!J453</f>
        <v>0</v>
      </c>
      <c r="K453" s="233">
        <f ca="1">IF(I453&gt;0,J453*100/I453,0)</f>
        <v>0</v>
      </c>
      <c r="L453" s="53"/>
      <c r="M453" s="53"/>
      <c r="N453" s="53"/>
    </row>
    <row r="454" spans="1:14" ht="21.75" customHeight="1" x14ac:dyDescent="0.4">
      <c r="A454" s="230"/>
      <c r="B454" s="231"/>
      <c r="C454" s="231"/>
      <c r="D454" s="310"/>
      <c r="E454" s="311"/>
      <c r="F454" s="311"/>
      <c r="G454" s="312"/>
      <c r="H454" s="313" t="s">
        <v>15</v>
      </c>
      <c r="I454" s="67">
        <f ca="1">กำแพงเพชร!I454+เชียงราย!I454+เชียงใหม่!I454+ตาก!I454+นครสวรรค์!I454+น่าน!I454+พะเยา!I454+พิจิตร!I454+พิษณุโลก!I454+เพชรบูรณ์!I454+แพร่!I454+แม่ฮ่องสอน!I454+ลำปาง!I454+ลำพูน!I454+สุโขทัย!I454+อุตรดิตถ์!I454+อุทัยธานี!I454</f>
        <v>0</v>
      </c>
      <c r="J454" s="67">
        <f>กำแพงเพชร!J454+เชียงราย!J454+เชียงใหม่!J454+ตาก!J454+นครสวรรค์!J454+น่าน!J454+พะเยา!J454+พิจิตร!J454+พิษณุโลก!J454+เพชรบูรณ์!J454+แพร่!J454+แม่ฮ่องสอน!J454+ลำปาง!J454+ลำพูน!J454+สุโขทัย!J454+อุตรดิตถ์!J454+อุทัยธานี!J454</f>
        <v>0</v>
      </c>
      <c r="K454" s="233"/>
      <c r="L454" s="53"/>
      <c r="M454" s="53"/>
      <c r="N454" s="53"/>
    </row>
    <row r="455" spans="1:14" ht="21.75" customHeight="1" x14ac:dyDescent="0.4">
      <c r="A455" s="230"/>
      <c r="B455" s="231"/>
      <c r="C455" s="231"/>
      <c r="D455" s="310"/>
      <c r="E455" s="311"/>
      <c r="F455" s="311" t="s">
        <v>187</v>
      </c>
      <c r="G455" s="312"/>
      <c r="H455" s="313" t="s">
        <v>103</v>
      </c>
      <c r="I455" s="67">
        <f ca="1">กำแพงเพชร!I455+เชียงราย!I455+เชียงใหม่!I455+ตาก!I455+นครสวรรค์!I455+น่าน!I455+พะเยา!I455+พิจิตร!I455+พิษณุโลก!I455+เพชรบูรณ์!I455+แพร่!I455+แม่ฮ่องสอน!I455+ลำปาง!I455+ลำพูน!I455+สุโขทัย!I455+อุตรดิตถ์!I455+อุทัยธานี!I455</f>
        <v>0</v>
      </c>
      <c r="J455" s="67">
        <f>กำแพงเพชร!J455+เชียงราย!J455+เชียงใหม่!J455+ตาก!J455+นครสวรรค์!J455+น่าน!J455+พะเยา!J455+พิจิตร!J455+พิษณุโลก!J455+เพชรบูรณ์!J455+แพร่!J455+แม่ฮ่องสอน!J455+ลำปาง!J455+ลำพูน!J455+สุโขทัย!J455+อุตรดิตถ์!J455+อุทัยธานี!J455</f>
        <v>0</v>
      </c>
      <c r="K455" s="233">
        <f ca="1">IF(I455&gt;0,J455*100/I455,0)</f>
        <v>0</v>
      </c>
      <c r="L455" s="53"/>
      <c r="M455" s="53"/>
      <c r="N455" s="53"/>
    </row>
    <row r="456" spans="1:14" ht="21.75" customHeight="1" x14ac:dyDescent="0.4">
      <c r="A456" s="230"/>
      <c r="B456" s="231"/>
      <c r="C456" s="231"/>
      <c r="D456" s="310"/>
      <c r="E456" s="311"/>
      <c r="F456" s="311"/>
      <c r="G456" s="312"/>
      <c r="H456" s="313" t="s">
        <v>15</v>
      </c>
      <c r="I456" s="67">
        <f ca="1">กำแพงเพชร!I456+เชียงราย!I456+เชียงใหม่!I456+ตาก!I456+นครสวรรค์!I456+น่าน!I456+พะเยา!I456+พิจิตร!I456+พิษณุโลก!I456+เพชรบูรณ์!I456+แพร่!I456+แม่ฮ่องสอน!I456+ลำปาง!I456+ลำพูน!I456+สุโขทัย!I456+อุตรดิตถ์!I456+อุทัยธานี!I456</f>
        <v>0</v>
      </c>
      <c r="J456" s="67">
        <f>กำแพงเพชร!J456+เชียงราย!J456+เชียงใหม่!J456+ตาก!J456+นครสวรรค์!J456+น่าน!J456+พะเยา!J456+พิจิตร!J456+พิษณุโลก!J456+เพชรบูรณ์!J456+แพร่!J456+แม่ฮ่องสอน!J456+ลำปาง!J456+ลำพูน!J456+สุโขทัย!J456+อุตรดิตถ์!J456+อุทัยธานี!J456</f>
        <v>0</v>
      </c>
      <c r="K456" s="233"/>
      <c r="L456" s="53"/>
      <c r="M456" s="53"/>
      <c r="N456" s="53"/>
    </row>
    <row r="457" spans="1:14" ht="21.75" customHeight="1" x14ac:dyDescent="0.4">
      <c r="A457" s="222"/>
      <c r="B457" s="223">
        <v>8</v>
      </c>
      <c r="C457" s="224" t="s">
        <v>188</v>
      </c>
      <c r="D457" s="224"/>
      <c r="E457" s="224"/>
      <c r="F457" s="224"/>
      <c r="G457" s="225"/>
      <c r="H457" s="226" t="s">
        <v>16</v>
      </c>
      <c r="I457" s="227">
        <f ca="1">กำแพงเพชร!I457+เชียงราย!I457+เชียงใหม่!I457+ตาก!I457+นครสวรรค์!I457+น่าน!I457+พะเยา!I457+พิจิตร!I457+พิษณุโลก!I457+เพชรบูรณ์!I457+แพร่!I457+แม่ฮ่องสอน!I457+ลำปาง!I457+ลำพูน!I457+สุโขทัย!I457+อุตรดิตถ์!I457+อุทัยธานี!I457</f>
        <v>32550</v>
      </c>
      <c r="J457" s="227">
        <f>กำแพงเพชร!J457+เชียงราย!J457+เชียงใหม่!J457+ตาก!J457+นครสวรรค์!J457+น่าน!J457+พะเยา!J457+พิจิตร!J457+พิษณุโลก!J457+เพชรบูรณ์!J457+แพร่!J457+แม่ฮ่องสอน!J457+ลำปาง!J457+ลำพูน!J457+สุโขทัย!J457+อุตรดิตถ์!J457+อุทัยธานี!J457</f>
        <v>5552</v>
      </c>
      <c r="K457" s="228">
        <f ca="1">IF(I457&gt;0,J457*100/I457,0)</f>
        <v>17.056835637480798</v>
      </c>
      <c r="L457" s="229">
        <f ca="1">กำแพงเพชร!L457+เชียงราย!L457+เชียงใหม่!L457+ตาก!L457+นครสวรรค์!L457+น่าน!L457+พะเยา!L457+พิจิตร!L457+พิษณุโลก!L457+เพชรบูรณ์!L457+แพร่!L457+แม่ฮ่องสอน!L457+ลำปาง!L457+ลำพูน!L457+สุโขทัย!L457+อุตรดิตถ์!L457+อุทัยธานี!L457</f>
        <v>2382160</v>
      </c>
      <c r="M457" s="229">
        <f>กำแพงเพชร!M457+เชียงราย!M457+เชียงใหม่!M457+ตาก!M457+นครสวรรค์!M457+น่าน!M457+พะเยา!M457+พิจิตร!M457+พิษณุโลก!M457+เพชรบูรณ์!M457+แพร่!M457+แม่ฮ่องสอน!M457+ลำปาง!M457+ลำพูน!M457+สุโขทัย!M457+อุตรดิตถ์!M457+อุทัยธานี!M457</f>
        <v>86669.64</v>
      </c>
      <c r="N457" s="229">
        <f t="shared" ref="N457:N461" ca="1" si="40">+IF(L457&gt;0,M457*100/L457,0)</f>
        <v>3.6382795446149712</v>
      </c>
    </row>
    <row r="458" spans="1:14" ht="21.75" customHeight="1" x14ac:dyDescent="0.4">
      <c r="A458" s="42"/>
      <c r="B458" s="43"/>
      <c r="C458" s="43" t="s">
        <v>17</v>
      </c>
      <c r="D458" s="44" t="s">
        <v>18</v>
      </c>
      <c r="E458" s="45"/>
      <c r="F458" s="45"/>
      <c r="G458" s="46" t="s">
        <v>19</v>
      </c>
      <c r="H458" s="47" t="s">
        <v>20</v>
      </c>
      <c r="I458" s="48" t="s">
        <v>21</v>
      </c>
      <c r="J458" s="48"/>
      <c r="K458" s="49"/>
      <c r="L458" s="50">
        <f>กำแพงเพชร!L458+เชียงราย!L458+เชียงใหม่!L458+ตาก!L458+นครสวรรค์!L458+น่าน!L458+พะเยา!L458+พิจิตร!L458+พิษณุโลก!L458+เพชรบูรณ์!L458+แพร่!L458+แม่ฮ่องสอน!L458+ลำปาง!L458+ลำพูน!L458+สุโขทัย!L458+อุตรดิตถ์!L458+อุทัยธานี!L458</f>
        <v>0</v>
      </c>
      <c r="M458" s="53">
        <f>กำแพงเพชร!M458+เชียงราย!M458+เชียงใหม่!M458+ตาก!M458+นครสวรรค์!M458+น่าน!M458+พะเยา!M458+พิจิตร!M458+พิษณุโลก!M458+เพชรบูรณ์!M458+แพร่!M458+แม่ฮ่องสอน!M458+ลำปาง!M458+ลำพูน!M458+สุโขทัย!M458+อุตรดิตถ์!M458+อุทัยธานี!M458</f>
        <v>0</v>
      </c>
      <c r="N458" s="53">
        <f t="shared" si="40"/>
        <v>0</v>
      </c>
    </row>
    <row r="459" spans="1:14" ht="21.75" customHeight="1" x14ac:dyDescent="0.4">
      <c r="A459" s="42"/>
      <c r="B459" s="43"/>
      <c r="C459" s="43"/>
      <c r="D459" s="51"/>
      <c r="E459" s="45"/>
      <c r="F459" s="45" t="s">
        <v>21</v>
      </c>
      <c r="G459" s="46" t="s">
        <v>22</v>
      </c>
      <c r="H459" s="47" t="s">
        <v>20</v>
      </c>
      <c r="I459" s="48"/>
      <c r="J459" s="48"/>
      <c r="K459" s="49"/>
      <c r="L459" s="50">
        <f ca="1">กำแพงเพชร!L459+เชียงราย!L459+เชียงใหม่!L459+ตาก!L459+นครสวรรค์!L459+น่าน!L459+พะเยา!L459+พิจิตร!L459+พิษณุโลก!L459+เพชรบูรณ์!L459+แพร่!L459+แม่ฮ่องสอน!L459+ลำปาง!L459+ลำพูน!L459+สุโขทัย!L459+อุตรดิตถ์!L459+อุทัยธานี!L459</f>
        <v>2382160</v>
      </c>
      <c r="M459" s="53">
        <f>กำแพงเพชร!M459+เชียงราย!M459+เชียงใหม่!M459+ตาก!M459+นครสวรรค์!M459+น่าน!M459+พะเยา!M459+พิจิตร!M459+พิษณุโลก!M459+เพชรบูรณ์!M459+แพร่!M459+แม่ฮ่องสอน!M459+ลำปาง!M459+ลำพูน!M459+สุโขทัย!M459+อุตรดิตถ์!M459+อุทัยธานี!M459</f>
        <v>86669.64</v>
      </c>
      <c r="N459" s="53">
        <f t="shared" ca="1" si="40"/>
        <v>3.6382795446149712</v>
      </c>
    </row>
    <row r="460" spans="1:14" ht="21.75" customHeight="1" x14ac:dyDescent="0.4">
      <c r="A460" s="42"/>
      <c r="B460" s="43"/>
      <c r="C460" s="43"/>
      <c r="D460" s="51"/>
      <c r="E460" s="45"/>
      <c r="F460" s="45"/>
      <c r="G460" s="52" t="s">
        <v>110</v>
      </c>
      <c r="H460" s="47" t="s">
        <v>20</v>
      </c>
      <c r="I460" s="48"/>
      <c r="J460" s="48"/>
      <c r="K460" s="49"/>
      <c r="L460" s="53">
        <f ca="1">กำแพงเพชร!L460+เชียงราย!L460+เชียงใหม่!L460+ตาก!L460+นครสวรรค์!L460+น่าน!L460+พะเยา!L460+พิจิตร!L460+พิษณุโลก!L460+เพชรบูรณ์!L460+แพร่!L460+แม่ฮ่องสอน!L460+ลำปาง!L460+ลำพูน!L460+สุโขทัย!L460+อุตรดิตถ์!L460+อุทัยธานี!L460</f>
        <v>0</v>
      </c>
      <c r="M460" s="53">
        <f>กำแพงเพชร!M460+เชียงราย!M460+เชียงใหม่!M460+ตาก!M460+นครสวรรค์!M460+น่าน!M460+พะเยา!M460+พิจิตร!M460+พิษณุโลก!M460+เพชรบูรณ์!M460+แพร่!M460+แม่ฮ่องสอน!M460+ลำปาง!M460+ลำพูน!M460+สุโขทัย!M460+อุตรดิตถ์!M460+อุทัยธานี!M460</f>
        <v>0</v>
      </c>
      <c r="N460" s="53">
        <f t="shared" ca="1" si="40"/>
        <v>0</v>
      </c>
    </row>
    <row r="461" spans="1:14" ht="21.75" customHeight="1" x14ac:dyDescent="0.4">
      <c r="A461" s="42"/>
      <c r="B461" s="43"/>
      <c r="C461" s="43"/>
      <c r="D461" s="51"/>
      <c r="E461" s="45"/>
      <c r="F461" s="45"/>
      <c r="G461" s="52" t="s">
        <v>111</v>
      </c>
      <c r="H461" s="47" t="s">
        <v>20</v>
      </c>
      <c r="I461" s="48"/>
      <c r="J461" s="48"/>
      <c r="K461" s="49"/>
      <c r="L461" s="53">
        <f ca="1">กำแพงเพชร!L461+เชียงราย!L461+เชียงใหม่!L461+ตาก!L461+นครสวรรค์!L461+น่าน!L461+พะเยา!L461+พิจิตร!L461+พิษณุโลก!L461+เพชรบูรณ์!L461+แพร่!L461+แม่ฮ่องสอน!L461+ลำปาง!L461+ลำพูน!L461+สุโขทัย!L461+อุตรดิตถ์!L461+อุทัยธานี!L461</f>
        <v>2382160</v>
      </c>
      <c r="M461" s="53">
        <f>กำแพงเพชร!M461+เชียงราย!M461+เชียงใหม่!M461+ตาก!M461+นครสวรรค์!M461+น่าน!M461+พะเยา!M461+พิจิตร!M461+พิษณุโลก!M461+เพชรบูรณ์!M461+แพร่!M461+แม่ฮ่องสอน!M461+ลำปาง!M461+ลำพูน!M461+สุโขทัย!M461+อุตรดิตถ์!M461+อุทัยธานี!M461</f>
        <v>86669.64</v>
      </c>
      <c r="N461" s="53">
        <f t="shared" ca="1" si="40"/>
        <v>3.6382795446149712</v>
      </c>
    </row>
    <row r="462" spans="1:14" ht="21.75" customHeight="1" x14ac:dyDescent="0.4">
      <c r="A462" s="230"/>
      <c r="B462" s="231"/>
      <c r="C462" s="43"/>
      <c r="D462" s="232"/>
      <c r="E462" s="45"/>
      <c r="F462" s="45"/>
      <c r="G462" s="46" t="s">
        <v>112</v>
      </c>
      <c r="H462" s="47" t="s">
        <v>20</v>
      </c>
      <c r="I462" s="67"/>
      <c r="J462" s="67"/>
      <c r="K462" s="233"/>
      <c r="L462" s="53"/>
      <c r="M462" s="54">
        <f>กำแพงเพชร!M462+เชียงราย!M462+เชียงใหม่!M462+ตาก!M462+นครสวรรค์!M462+น่าน!M462+พะเยา!M462+พิจิตร!M462+พิษณุโลก!M462+เพชรบูรณ์!M462+แพร่!M462+แม่ฮ่องสอน!M462+ลำปาง!M462+ลำพูน!M462+สุโขทัย!M462+อุตรดิตถ์!M462+อุทัยธานี!M462</f>
        <v>0</v>
      </c>
      <c r="N462" s="53"/>
    </row>
    <row r="463" spans="1:14" ht="21.75" customHeight="1" x14ac:dyDescent="0.4">
      <c r="A463" s="230"/>
      <c r="B463" s="231"/>
      <c r="C463" s="43"/>
      <c r="D463" s="232"/>
      <c r="E463" s="45"/>
      <c r="F463" s="45"/>
      <c r="G463" s="46" t="s">
        <v>113</v>
      </c>
      <c r="H463" s="47" t="s">
        <v>20</v>
      </c>
      <c r="I463" s="67"/>
      <c r="J463" s="67"/>
      <c r="K463" s="233"/>
      <c r="L463" s="53"/>
      <c r="M463" s="54">
        <f>กำแพงเพชร!M463+เชียงราย!M463+เชียงใหม่!M463+ตาก!M463+นครสวรรค์!M463+น่าน!M463+พะเยา!M463+พิจิตร!M463+พิษณุโลก!M463+เพชรบูรณ์!M463+แพร่!M463+แม่ฮ่องสอน!M463+ลำปาง!M463+ลำพูน!M463+สุโขทัย!M463+อุตรดิตถ์!M463+อุทัยธานี!M463</f>
        <v>0</v>
      </c>
      <c r="N463" s="53"/>
    </row>
    <row r="464" spans="1:14" ht="21.75" customHeight="1" x14ac:dyDescent="0.4">
      <c r="A464" s="230"/>
      <c r="B464" s="231"/>
      <c r="C464" s="43"/>
      <c r="D464" s="232"/>
      <c r="E464" s="45"/>
      <c r="F464" s="45"/>
      <c r="G464" s="46" t="s">
        <v>114</v>
      </c>
      <c r="H464" s="47" t="s">
        <v>20</v>
      </c>
      <c r="I464" s="67"/>
      <c r="J464" s="67"/>
      <c r="K464" s="233"/>
      <c r="L464" s="53"/>
      <c r="M464" s="54">
        <f>กำแพงเพชร!M464+เชียงราย!M464+เชียงใหม่!M464+ตาก!M464+นครสวรรค์!M464+น่าน!M464+พะเยา!M464+พิจิตร!M464+พิษณุโลก!M464+เพชรบูรณ์!M464+แพร่!M464+แม่ฮ่องสอน!M464+ลำปาง!M464+ลำพูน!M464+สุโขทัย!M464+อุตรดิตถ์!M464+อุทัยธานี!M464</f>
        <v>68428.639999999999</v>
      </c>
      <c r="N464" s="53"/>
    </row>
    <row r="465" spans="1:14" ht="21.75" customHeight="1" x14ac:dyDescent="0.4">
      <c r="A465" s="230"/>
      <c r="B465" s="231"/>
      <c r="C465" s="43"/>
      <c r="D465" s="232"/>
      <c r="E465" s="45"/>
      <c r="F465" s="45"/>
      <c r="G465" s="46" t="s">
        <v>115</v>
      </c>
      <c r="H465" s="47" t="s">
        <v>20</v>
      </c>
      <c r="I465" s="67"/>
      <c r="J465" s="67"/>
      <c r="K465" s="233"/>
      <c r="L465" s="53"/>
      <c r="M465" s="54">
        <f>กำแพงเพชร!M465+เชียงราย!M465+เชียงใหม่!M465+ตาก!M465+นครสวรรค์!M465+น่าน!M465+พะเยา!M465+พิจิตร!M465+พิษณุโลก!M465+เพชรบูรณ์!M465+แพร่!M465+แม่ฮ่องสอน!M465+ลำปาง!M465+ลำพูน!M465+สุโขทัย!M465+อุตรดิตถ์!M465+อุทัยธานี!M465</f>
        <v>18241</v>
      </c>
      <c r="N465" s="53"/>
    </row>
    <row r="466" spans="1:14" ht="21.75" customHeight="1" x14ac:dyDescent="0.4">
      <c r="A466" s="55"/>
      <c r="B466" s="56"/>
      <c r="C466" s="56"/>
      <c r="D466" s="75"/>
      <c r="E466" s="74" t="s">
        <v>21</v>
      </c>
      <c r="F466" s="260" t="s">
        <v>189</v>
      </c>
      <c r="G466" s="240"/>
      <c r="H466" s="314" t="s">
        <v>16</v>
      </c>
      <c r="I466" s="265">
        <f ca="1">กำแพงเพชร!I466+เชียงราย!I466+เชียงใหม่!I466+ตาก!I466+นครสวรรค์!I466+น่าน!I466+พะเยา!I466+พิจิตร!I466+พิษณุโลก!I466+เพชรบูรณ์!I466+แพร่!I466+แม่ฮ่องสอน!I466+ลำปาง!I466+ลำพูน!I466+สุโขทัย!I466+อุตรดิตถ์!I466+อุทัยธานี!I466</f>
        <v>32550</v>
      </c>
      <c r="J466" s="265">
        <f>กำแพงเพชร!J466+เชียงราย!J466+เชียงใหม่!J466+ตาก!J466+นครสวรรค์!J466+น่าน!J466+พะเยา!J466+พิจิตร!J466+พิษณุโลก!J466+เพชรบูรณ์!J466+แพร่!J466+แม่ฮ่องสอน!J466+ลำปาง!J466+ลำพูน!J466+สุโขทัย!J466+อุตรดิตถ์!J466+อุทัยธานี!J466</f>
        <v>5552</v>
      </c>
      <c r="K466" s="80">
        <f ca="1">IF(I466&gt;0,J466*100/I466,0)</f>
        <v>17.056835637480798</v>
      </c>
      <c r="L466" s="61"/>
      <c r="M466" s="61"/>
      <c r="N466" s="61"/>
    </row>
    <row r="467" spans="1:14" ht="21.75" customHeight="1" x14ac:dyDescent="0.4">
      <c r="A467" s="55"/>
      <c r="B467" s="56"/>
      <c r="C467" s="56"/>
      <c r="D467" s="75"/>
      <c r="E467" s="75"/>
      <c r="F467" s="74" t="s">
        <v>190</v>
      </c>
      <c r="G467" s="76"/>
      <c r="H467" s="315"/>
      <c r="I467" s="48"/>
      <c r="J467" s="48"/>
      <c r="K467" s="49"/>
      <c r="L467" s="61"/>
      <c r="M467" s="61"/>
      <c r="N467" s="61"/>
    </row>
    <row r="468" spans="1:14" ht="21.75" customHeight="1" x14ac:dyDescent="0.4">
      <c r="A468" s="55"/>
      <c r="B468" s="56"/>
      <c r="C468" s="56"/>
      <c r="D468" s="75"/>
      <c r="E468" s="74" t="s">
        <v>21</v>
      </c>
      <c r="F468" s="74" t="s">
        <v>191</v>
      </c>
      <c r="G468" s="76"/>
      <c r="H468" s="315" t="s">
        <v>57</v>
      </c>
      <c r="I468" s="48">
        <f>กำแพงเพชร!I468+เชียงราย!I468+เชียงใหม่!I468+ตาก!I468+นครสวรรค์!I468+น่าน!I468+พะเยา!I468+พิจิตร!I468+พิษณุโลก!I468+เพชรบูรณ์!I468+แพร่!I468+แม่ฮ่องสอน!I468+ลำปาง!I468+ลำพูน!I468+สุโขทัย!I468+อุตรดิตถ์!I468+อุทัยธานี!I468</f>
        <v>0</v>
      </c>
      <c r="J468" s="68">
        <f>กำแพงเพชร!J468+เชียงราย!J468+เชียงใหม่!J468+ตาก!J468+นครสวรรค์!J468+น่าน!J468+พะเยา!J468+พิจิตร!J468+พิษณุโลก!J468+เพชรบูรณ์!J468+แพร่!J468+แม่ฮ่องสอน!J468+ลำปาง!J468+ลำพูน!J468+สุโขทัย!J468+อุตรดิตถ์!J468+อุทัยธานี!J468</f>
        <v>8</v>
      </c>
      <c r="K468" s="49">
        <f t="shared" ref="K468:K472" si="41">IF(I468&gt;0,J468*100/I468,0)</f>
        <v>0</v>
      </c>
      <c r="L468" s="61"/>
      <c r="M468" s="61"/>
      <c r="N468" s="61"/>
    </row>
    <row r="469" spans="1:14" ht="21.75" customHeight="1" x14ac:dyDescent="0.4">
      <c r="A469" s="55"/>
      <c r="B469" s="56"/>
      <c r="C469" s="56"/>
      <c r="D469" s="75"/>
      <c r="E469" s="75"/>
      <c r="F469" s="74" t="s">
        <v>192</v>
      </c>
      <c r="G469" s="76"/>
      <c r="H469" s="315" t="s">
        <v>16</v>
      </c>
      <c r="I469" s="48">
        <f>กำแพงเพชร!I469+เชียงราย!I469+เชียงใหม่!I469+ตาก!I469+นครสวรรค์!I469+น่าน!I469+พะเยา!I469+พิจิตร!I469+พิษณุโลก!I469+เพชรบูรณ์!I469+แพร่!I469+แม่ฮ่องสอน!I469+ลำปาง!I469+ลำพูน!I469+สุโขทัย!I469+อุตรดิตถ์!I469+อุทัยธานี!I469</f>
        <v>0</v>
      </c>
      <c r="J469" s="68">
        <f>กำแพงเพชร!J469+เชียงราย!J469+เชียงใหม่!J469+ตาก!J469+นครสวรรค์!J469+น่าน!J469+พะเยา!J469+พิจิตร!J469+พิษณุโลก!J469+เพชรบูรณ์!J469+แพร่!J469+แม่ฮ่องสอน!J469+ลำปาง!J469+ลำพูน!J469+สุโขทัย!J469+อุตรดิตถ์!J469+อุทัยธานี!J469</f>
        <v>707</v>
      </c>
      <c r="K469" s="49">
        <f t="shared" si="41"/>
        <v>0</v>
      </c>
      <c r="L469" s="61"/>
      <c r="M469" s="61"/>
      <c r="N469" s="61"/>
    </row>
    <row r="470" spans="1:14" ht="21.75" customHeight="1" x14ac:dyDescent="0.4">
      <c r="A470" s="55"/>
      <c r="B470" s="56"/>
      <c r="C470" s="56"/>
      <c r="D470" s="75"/>
      <c r="E470" s="75"/>
      <c r="F470" s="74" t="s">
        <v>193</v>
      </c>
      <c r="G470" s="76"/>
      <c r="H470" s="315" t="s">
        <v>16</v>
      </c>
      <c r="I470" s="48">
        <f>กำแพงเพชร!I470+เชียงราย!I470+เชียงใหม่!I470+ตาก!I470+นครสวรรค์!I470+น่าน!I470+พะเยา!I470+พิจิตร!I470+พิษณุโลก!I470+เพชรบูรณ์!I470+แพร่!I470+แม่ฮ่องสอน!I470+ลำปาง!I470+ลำพูน!I470+สุโขทัย!I470+อุตรดิตถ์!I470+อุทัยธานี!I470</f>
        <v>0</v>
      </c>
      <c r="J470" s="68">
        <f>กำแพงเพชร!J470+เชียงราย!J470+เชียงใหม่!J470+ตาก!J470+นครสวรรค์!J470+น่าน!J470+พะเยา!J470+พิจิตร!J470+พิษณุโลก!J470+เพชรบูรณ์!J470+แพร่!J470+แม่ฮ่องสอน!J470+ลำปาง!J470+ลำพูน!J470+สุโขทัย!J470+อุตรดิตถ์!J470+อุทัยธานี!J470</f>
        <v>4813</v>
      </c>
      <c r="K470" s="49">
        <f t="shared" si="41"/>
        <v>0</v>
      </c>
      <c r="L470" s="61"/>
      <c r="M470" s="61"/>
      <c r="N470" s="61"/>
    </row>
    <row r="471" spans="1:14" ht="21.75" customHeight="1" x14ac:dyDescent="0.4">
      <c r="A471" s="55"/>
      <c r="B471" s="56"/>
      <c r="C471" s="56"/>
      <c r="D471" s="75"/>
      <c r="E471" s="75"/>
      <c r="F471" s="74" t="s">
        <v>194</v>
      </c>
      <c r="G471" s="266"/>
      <c r="H471" s="315" t="s">
        <v>16</v>
      </c>
      <c r="I471" s="48">
        <f>กำแพงเพชร!I471+เชียงราย!I471+เชียงใหม่!I471+ตาก!I471+นครสวรรค์!I471+น่าน!I471+พะเยา!I471+พิจิตร!I471+พิษณุโลก!I471+เพชรบูรณ์!I471+แพร่!I471+แม่ฮ่องสอน!I471+ลำปาง!I471+ลำพูน!I471+สุโขทัย!I471+อุตรดิตถ์!I471+อุทัยธานี!I471</f>
        <v>0</v>
      </c>
      <c r="J471" s="68">
        <f>กำแพงเพชร!J471+เชียงราย!J471+เชียงใหม่!J471+ตาก!J471+นครสวรรค์!J471+น่าน!J471+พะเยา!J471+พิจิตร!J471+พิษณุโลก!J471+เพชรบูรณ์!J471+แพร่!J471+แม่ฮ่องสอน!J471+ลำปาง!J471+ลำพูน!J471+สุโขทัย!J471+อุตรดิตถ์!J471+อุทัยธานี!J471</f>
        <v>6</v>
      </c>
      <c r="K471" s="49">
        <f t="shared" si="41"/>
        <v>0</v>
      </c>
      <c r="L471" s="61"/>
      <c r="M471" s="61"/>
      <c r="N471" s="61"/>
    </row>
    <row r="472" spans="1:14" ht="21.75" customHeight="1" x14ac:dyDescent="0.4">
      <c r="A472" s="55"/>
      <c r="B472" s="56"/>
      <c r="C472" s="56"/>
      <c r="D472" s="75"/>
      <c r="E472" s="75"/>
      <c r="F472" s="74" t="s">
        <v>195</v>
      </c>
      <c r="G472" s="266"/>
      <c r="H472" s="315" t="s">
        <v>16</v>
      </c>
      <c r="I472" s="48">
        <f>กำแพงเพชร!I472+เชียงราย!I472+เชียงใหม่!I472+ตาก!I472+นครสวรรค์!I472+น่าน!I472+พะเยา!I472+พิจิตร!I472+พิษณุโลก!I472+เพชรบูรณ์!I472+แพร่!I472+แม่ฮ่องสอน!I472+ลำปาง!I472+ลำพูน!I472+สุโขทัย!I472+อุตรดิตถ์!I472+อุทัยธานี!I472</f>
        <v>0</v>
      </c>
      <c r="J472" s="68">
        <f>กำแพงเพชร!J472+เชียงราย!J472+เชียงใหม่!J472+ตาก!J472+นครสวรรค์!J472+น่าน!J472+พะเยา!J472+พิจิตร!J472+พิษณุโลก!J472+เพชรบูรณ์!J472+แพร่!J472+แม่ฮ่องสอน!J472+ลำปาง!J472+ลำพูน!J472+สุโขทัย!J472+อุตรดิตถ์!J472+อุทัยธานี!J472</f>
        <v>26</v>
      </c>
      <c r="K472" s="49">
        <f t="shared" si="41"/>
        <v>0</v>
      </c>
      <c r="L472" s="61"/>
      <c r="M472" s="61"/>
      <c r="N472" s="61"/>
    </row>
    <row r="473" spans="1:14" ht="21.75" customHeight="1" x14ac:dyDescent="0.4">
      <c r="A473" s="222"/>
      <c r="B473" s="223">
        <v>9</v>
      </c>
      <c r="C473" s="224" t="s">
        <v>196</v>
      </c>
      <c r="D473" s="224"/>
      <c r="E473" s="224"/>
      <c r="F473" s="224"/>
      <c r="G473" s="225"/>
      <c r="H473" s="226" t="s">
        <v>16</v>
      </c>
      <c r="I473" s="227">
        <f ca="1">กำแพงเพชร!I473+เชียงราย!I473+เชียงใหม่!I473+ตาก!I473+นครสวรรค์!I473+น่าน!I473+พะเยา!I473+พิจิตร!I473+พิษณุโลก!I473+เพชรบูรณ์!I473+แพร่!I473+แม่ฮ่องสอน!I473+ลำปาง!I473+ลำพูน!I473+สุโขทัย!I473+อุตรดิตถ์!I473+อุทัยธานี!I473</f>
        <v>1696</v>
      </c>
      <c r="J473" s="227">
        <f ca="1">กำแพงเพชร!J473+เชียงราย!J473+เชียงใหม่!J473+ตาก!J473+นครสวรรค์!J473+น่าน!J473+พะเยา!J473+พิจิตร!J473+พิษณุโลก!J473+เพชรบูรณ์!J473+แพร่!J473+แม่ฮ่องสอน!J473+ลำปาง!J473+ลำพูน!J473+สุโขทัย!J473+อุตรดิตถ์!J473+อุทัยธานี!J473</f>
        <v>1</v>
      </c>
      <c r="K473" s="228">
        <f ca="1">IF(I473&gt;0,J473*100/I473,0)</f>
        <v>5.8962264150943397E-2</v>
      </c>
      <c r="L473" s="229">
        <f ca="1">กำแพงเพชร!L473+เชียงราย!L473+เชียงใหม่!L473+ตาก!L473+นครสวรรค์!L473+น่าน!L473+พะเยา!L473+พิจิตร!L473+พิษณุโลก!L473+เพชรบูรณ์!L473+แพร่!L473+แม่ฮ่องสอน!L473+ลำปาง!L473+ลำพูน!L473+สุโขทัย!L473+อุตรดิตถ์!L473+อุทัยธานี!L473</f>
        <v>3209796</v>
      </c>
      <c r="M473" s="229">
        <f>กำแพงเพชร!M473+เชียงราย!M473+เชียงใหม่!M473+ตาก!M473+นครสวรรค์!M473+น่าน!M473+พะเยา!M473+พิจิตร!M473+พิษณุโลก!M473+เพชรบูรณ์!M473+แพร่!M473+แม่ฮ่องสอน!M473+ลำปาง!M473+ลำพูน!M473+สุโขทัย!M473+อุตรดิตถ์!M473+อุทัยธานี!M473</f>
        <v>60977.64</v>
      </c>
      <c r="N473" s="229">
        <f t="shared" ref="N473:N477" ca="1" si="42">+IF(L473&gt;0,M473*100/L473,0)</f>
        <v>1.8997356841369357</v>
      </c>
    </row>
    <row r="474" spans="1:14" ht="21.75" customHeight="1" x14ac:dyDescent="0.4">
      <c r="A474" s="42"/>
      <c r="B474" s="43"/>
      <c r="C474" s="43" t="s">
        <v>17</v>
      </c>
      <c r="D474" s="44" t="s">
        <v>18</v>
      </c>
      <c r="E474" s="45"/>
      <c r="F474" s="45"/>
      <c r="G474" s="46" t="s">
        <v>19</v>
      </c>
      <c r="H474" s="47" t="s">
        <v>20</v>
      </c>
      <c r="I474" s="48" t="s">
        <v>21</v>
      </c>
      <c r="J474" s="48"/>
      <c r="K474" s="49"/>
      <c r="L474" s="50">
        <f>กำแพงเพชร!L474+เชียงราย!L474+เชียงใหม่!L474+ตาก!L474+นครสวรรค์!L474+น่าน!L474+พะเยา!L474+พิจิตร!L474+พิษณุโลก!L474+เพชรบูรณ์!L474+แพร่!L474+แม่ฮ่องสอน!L474+ลำปาง!L474+ลำพูน!L474+สุโขทัย!L474+อุตรดิตถ์!L474+อุทัยธานี!L474</f>
        <v>0</v>
      </c>
      <c r="M474" s="53">
        <f>กำแพงเพชร!M474+เชียงราย!M474+เชียงใหม่!M474+ตาก!M474+นครสวรรค์!M474+น่าน!M474+พะเยา!M474+พิจิตร!M474+พิษณุโลก!M474+เพชรบูรณ์!M474+แพร่!M474+แม่ฮ่องสอน!M474+ลำปาง!M474+ลำพูน!M474+สุโขทัย!M474+อุตรดิตถ์!M474+อุทัยธานี!M474</f>
        <v>0</v>
      </c>
      <c r="N474" s="53">
        <f t="shared" si="42"/>
        <v>0</v>
      </c>
    </row>
    <row r="475" spans="1:14" ht="21.75" customHeight="1" x14ac:dyDescent="0.4">
      <c r="A475" s="42"/>
      <c r="B475" s="43"/>
      <c r="C475" s="43"/>
      <c r="D475" s="51"/>
      <c r="E475" s="45"/>
      <c r="F475" s="45" t="s">
        <v>21</v>
      </c>
      <c r="G475" s="46" t="s">
        <v>22</v>
      </c>
      <c r="H475" s="47" t="s">
        <v>20</v>
      </c>
      <c r="I475" s="48"/>
      <c r="J475" s="48"/>
      <c r="K475" s="49"/>
      <c r="L475" s="50">
        <f ca="1">กำแพงเพชร!L475+เชียงราย!L475+เชียงใหม่!L475+ตาก!L475+นครสวรรค์!L475+น่าน!L475+พะเยา!L475+พิจิตร!L475+พิษณุโลก!L475+เพชรบูรณ์!L475+แพร่!L475+แม่ฮ่องสอน!L475+ลำปาง!L475+ลำพูน!L475+สุโขทัย!L475+อุตรดิตถ์!L475+อุทัยธานี!L475</f>
        <v>3209796</v>
      </c>
      <c r="M475" s="53">
        <f>กำแพงเพชร!M475+เชียงราย!M475+เชียงใหม่!M475+ตาก!M475+นครสวรรค์!M475+น่าน!M475+พะเยา!M475+พิจิตร!M475+พิษณุโลก!M475+เพชรบูรณ์!M475+แพร่!M475+แม่ฮ่องสอน!M475+ลำปาง!M475+ลำพูน!M475+สุโขทัย!M475+อุตรดิตถ์!M475+อุทัยธานี!M475</f>
        <v>60977.64</v>
      </c>
      <c r="N475" s="53">
        <f t="shared" ca="1" si="42"/>
        <v>1.8997356841369357</v>
      </c>
    </row>
    <row r="476" spans="1:14" ht="21.75" customHeight="1" x14ac:dyDescent="0.4">
      <c r="A476" s="42"/>
      <c r="B476" s="43"/>
      <c r="C476" s="43"/>
      <c r="D476" s="51"/>
      <c r="E476" s="45"/>
      <c r="F476" s="45"/>
      <c r="G476" s="52" t="s">
        <v>110</v>
      </c>
      <c r="H476" s="47" t="s">
        <v>20</v>
      </c>
      <c r="I476" s="48"/>
      <c r="J476" s="48"/>
      <c r="K476" s="49"/>
      <c r="L476" s="53">
        <f ca="1">กำแพงเพชร!L476+เชียงราย!L476+เชียงใหม่!L476+ตาก!L476+นครสวรรค์!L476+น่าน!L476+พะเยา!L476+พิจิตร!L476+พิษณุโลก!L476+เพชรบูรณ์!L476+แพร่!L476+แม่ฮ่องสอน!L476+ลำปาง!L476+ลำพูน!L476+สุโขทัย!L476+อุตรดิตถ์!L476+อุทัยธานี!L476</f>
        <v>0</v>
      </c>
      <c r="M476" s="53">
        <f>กำแพงเพชร!M476+เชียงราย!M476+เชียงใหม่!M476+ตาก!M476+นครสวรรค์!M476+น่าน!M476+พะเยา!M476+พิจิตร!M476+พิษณุโลก!M476+เพชรบูรณ์!M476+แพร่!M476+แม่ฮ่องสอน!M476+ลำปาง!M476+ลำพูน!M476+สุโขทัย!M476+อุตรดิตถ์!M476+อุทัยธานี!M476</f>
        <v>0</v>
      </c>
      <c r="N476" s="53">
        <f t="shared" ca="1" si="42"/>
        <v>0</v>
      </c>
    </row>
    <row r="477" spans="1:14" ht="21.75" customHeight="1" x14ac:dyDescent="0.4">
      <c r="A477" s="42"/>
      <c r="B477" s="43"/>
      <c r="C477" s="43"/>
      <c r="D477" s="51"/>
      <c r="E477" s="45"/>
      <c r="F477" s="45"/>
      <c r="G477" s="52" t="s">
        <v>111</v>
      </c>
      <c r="H477" s="47" t="s">
        <v>20</v>
      </c>
      <c r="I477" s="48"/>
      <c r="J477" s="48"/>
      <c r="K477" s="49"/>
      <c r="L477" s="53">
        <f ca="1">กำแพงเพชร!L477+เชียงราย!L477+เชียงใหม่!L477+ตาก!L477+นครสวรรค์!L477+น่าน!L477+พะเยา!L477+พิจิตร!L477+พิษณุโลก!L477+เพชรบูรณ์!L477+แพร่!L477+แม่ฮ่องสอน!L477+ลำปาง!L477+ลำพูน!L477+สุโขทัย!L477+อุตรดิตถ์!L477+อุทัยธานี!L477</f>
        <v>3209796</v>
      </c>
      <c r="M477" s="53">
        <f>กำแพงเพชร!M477+เชียงราย!M477+เชียงใหม่!M477+ตาก!M477+นครสวรรค์!M477+น่าน!M477+พะเยา!M477+พิจิตร!M477+พิษณุโลก!M477+เพชรบูรณ์!M477+แพร่!M477+แม่ฮ่องสอน!M477+ลำปาง!M477+ลำพูน!M477+สุโขทัย!M477+อุตรดิตถ์!M477+อุทัยธานี!M477</f>
        <v>60977.64</v>
      </c>
      <c r="N477" s="53">
        <f t="shared" ca="1" si="42"/>
        <v>1.8997356841369357</v>
      </c>
    </row>
    <row r="478" spans="1:14" ht="21.75" customHeight="1" x14ac:dyDescent="0.4">
      <c r="A478" s="230"/>
      <c r="B478" s="231"/>
      <c r="C478" s="43"/>
      <c r="D478" s="232"/>
      <c r="E478" s="45"/>
      <c r="F478" s="45"/>
      <c r="G478" s="46" t="s">
        <v>112</v>
      </c>
      <c r="H478" s="47" t="s">
        <v>20</v>
      </c>
      <c r="I478" s="67"/>
      <c r="J478" s="67"/>
      <c r="K478" s="233"/>
      <c r="L478" s="53"/>
      <c r="M478" s="54">
        <f>กำแพงเพชร!M478+เชียงราย!M478+เชียงใหม่!M478+ตาก!M478+นครสวรรค์!M478+น่าน!M478+พะเยา!M478+พิจิตร!M478+พิษณุโลก!M478+เพชรบูรณ์!M478+แพร่!M478+แม่ฮ่องสอน!M478+ลำปาง!M478+ลำพูน!M478+สุโขทัย!M478+อุตรดิตถ์!M478+อุทัยธานี!M478</f>
        <v>0</v>
      </c>
      <c r="N478" s="53"/>
    </row>
    <row r="479" spans="1:14" ht="21.75" customHeight="1" x14ac:dyDescent="0.4">
      <c r="A479" s="230"/>
      <c r="B479" s="231"/>
      <c r="C479" s="43"/>
      <c r="D479" s="232"/>
      <c r="E479" s="45"/>
      <c r="F479" s="45"/>
      <c r="G479" s="46" t="s">
        <v>113</v>
      </c>
      <c r="H479" s="47" t="s">
        <v>20</v>
      </c>
      <c r="I479" s="67"/>
      <c r="J479" s="67"/>
      <c r="K479" s="233"/>
      <c r="L479" s="53"/>
      <c r="M479" s="54">
        <f>กำแพงเพชร!M479+เชียงราย!M479+เชียงใหม่!M479+ตาก!M479+นครสวรรค์!M479+น่าน!M479+พะเยา!M479+พิจิตร!M479+พิษณุโลก!M479+เพชรบูรณ์!M479+แพร่!M479+แม่ฮ่องสอน!M479+ลำปาง!M479+ลำพูน!M479+สุโขทัย!M479+อุตรดิตถ์!M479+อุทัยธานี!M479</f>
        <v>0</v>
      </c>
      <c r="N479" s="53"/>
    </row>
    <row r="480" spans="1:14" ht="21.75" customHeight="1" x14ac:dyDescent="0.4">
      <c r="A480" s="230"/>
      <c r="B480" s="231"/>
      <c r="C480" s="43"/>
      <c r="D480" s="232"/>
      <c r="E480" s="45"/>
      <c r="F480" s="45"/>
      <c r="G480" s="46" t="s">
        <v>114</v>
      </c>
      <c r="H480" s="47" t="s">
        <v>20</v>
      </c>
      <c r="I480" s="67"/>
      <c r="J480" s="67"/>
      <c r="K480" s="233"/>
      <c r="L480" s="53"/>
      <c r="M480" s="54">
        <f>กำแพงเพชร!M480+เชียงราย!M480+เชียงใหม่!M480+ตาก!M480+นครสวรรค์!M480+น่าน!M480+พะเยา!M480+พิจิตร!M480+พิษณุโลก!M480+เพชรบูรณ์!M480+แพร่!M480+แม่ฮ่องสอน!M480+ลำปาง!M480+ลำพูน!M480+สุโขทัย!M480+อุตรดิตถ์!M480+อุทัยธานี!M480</f>
        <v>33477.64</v>
      </c>
      <c r="N480" s="53"/>
    </row>
    <row r="481" spans="1:14" ht="21.75" customHeight="1" x14ac:dyDescent="0.4">
      <c r="A481" s="230"/>
      <c r="B481" s="231"/>
      <c r="C481" s="43"/>
      <c r="D481" s="232"/>
      <c r="E481" s="45"/>
      <c r="F481" s="45"/>
      <c r="G481" s="46" t="s">
        <v>115</v>
      </c>
      <c r="H481" s="47" t="s">
        <v>20</v>
      </c>
      <c r="I481" s="67"/>
      <c r="J481" s="67"/>
      <c r="K481" s="233"/>
      <c r="L481" s="53"/>
      <c r="M481" s="54">
        <f>กำแพงเพชร!M481+เชียงราย!M481+เชียงใหม่!M481+ตาก!M481+นครสวรรค์!M481+น่าน!M481+พะเยา!M481+พิจิตร!M481+พิษณุโลก!M481+เพชรบูรณ์!M481+แพร่!M481+แม่ฮ่องสอน!M481+ลำปาง!M481+ลำพูน!M481+สุโขทัย!M481+อุตรดิตถ์!M481+อุทัยธานี!M481</f>
        <v>27500</v>
      </c>
      <c r="N481" s="53"/>
    </row>
    <row r="482" spans="1:14" ht="21.75" customHeight="1" x14ac:dyDescent="0.4">
      <c r="A482" s="316"/>
      <c r="B482" s="51"/>
      <c r="C482" s="43"/>
      <c r="D482" s="155"/>
      <c r="E482" s="74" t="s">
        <v>197</v>
      </c>
      <c r="F482" s="75"/>
      <c r="G482" s="76"/>
      <c r="H482" s="60" t="s">
        <v>15</v>
      </c>
      <c r="I482" s="200">
        <f ca="1">กำแพงเพชร!I482+เชียงราย!I482+เชียงใหม่!I482+ตาก!I482+นครสวรรค์!I482+น่าน!I482+พะเยา!I482+พิจิตร!I482+พิษณุโลก!I482+เพชรบูรณ์!I482+แพร่!I482+แม่ฮ่องสอน!I482+ลำปาง!I482+ลำพูน!I482+สุโขทัย!I482+อุตรดิตถ์!I482+อุทัยธานี!I482</f>
        <v>1696</v>
      </c>
      <c r="J482" s="68">
        <f ca="1">กำแพงเพชร!J482+เชียงราย!J482+เชียงใหม่!J482+ตาก!J482+นครสวรรค์!J482+น่าน!J482+พะเยา!J482+พิจิตร!J482+พิษณุโลก!J482+เพชรบูรณ์!J482+แพร่!J482+แม่ฮ่องสอน!J482+ลำปาง!J482+ลำพูน!J482+สุโขทัย!J482+อุตรดิตถ์!J482+อุทัยธานี!J482</f>
        <v>38</v>
      </c>
      <c r="K482" s="49">
        <f ca="1">IF(I482&gt;0,J482*100/I482,0)</f>
        <v>2.2405660377358489</v>
      </c>
      <c r="L482" s="61"/>
      <c r="M482" s="61"/>
      <c r="N482" s="61"/>
    </row>
    <row r="483" spans="1:14" ht="21.75" customHeight="1" x14ac:dyDescent="0.4">
      <c r="A483" s="316"/>
      <c r="B483" s="51"/>
      <c r="C483" s="43"/>
      <c r="D483" s="155"/>
      <c r="E483" s="75"/>
      <c r="F483" s="75"/>
      <c r="G483" s="76"/>
      <c r="H483" s="60" t="s">
        <v>103</v>
      </c>
      <c r="I483" s="200">
        <f ca="1">กำแพงเพชร!I483+เชียงราย!I483+เชียงใหม่!I483+ตาก!I483+นครสวรรค์!I483+น่าน!I483+พะเยา!I483+พิจิตร!I483+พิษณุโลก!I483+เพชรบูรณ์!I483+แพร่!I483+แม่ฮ่องสอน!I483+ลำปาง!I483+ลำพูน!I483+สุโขทัย!I483+อุตรดิตถ์!I483+อุทัยธานี!I483</f>
        <v>0</v>
      </c>
      <c r="J483" s="68">
        <f ca="1">กำแพงเพชร!J483+เชียงราย!J483+เชียงใหม่!J483+ตาก!J483+นครสวรรค์!J483+น่าน!J483+พะเยา!J483+พิจิตร!J483+พิษณุโลก!J483+เพชรบูรณ์!J483+แพร่!J483+แม่ฮ่องสอน!J483+ลำปาง!J483+ลำพูน!J483+สุโขทัย!J483+อุตรดิตถ์!J483+อุทัยธานี!J483</f>
        <v>64.42</v>
      </c>
      <c r="K483" s="201"/>
      <c r="L483" s="61"/>
      <c r="M483" s="61"/>
      <c r="N483" s="61"/>
    </row>
    <row r="484" spans="1:14" ht="21.75" customHeight="1" x14ac:dyDescent="0.4">
      <c r="A484" s="316"/>
      <c r="B484" s="51"/>
      <c r="C484" s="43"/>
      <c r="D484" s="155"/>
      <c r="E484" s="74" t="s">
        <v>104</v>
      </c>
      <c r="F484" s="75"/>
      <c r="G484" s="76"/>
      <c r="H484" s="60" t="s">
        <v>16</v>
      </c>
      <c r="I484" s="200">
        <f ca="1">กำแพงเพชร!I484+เชียงราย!I484+เชียงใหม่!I484+ตาก!I484+นครสวรรค์!I484+น่าน!I484+พะเยา!I484+พิจิตร!I484+พิษณุโลก!I484+เพชรบูรณ์!I484+แพร่!I484+แม่ฮ่องสอน!I484+ลำปาง!I484+ลำพูน!I484+สุโขทัย!I484+อุตรดิตถ์!I484+อุทัยธานี!I484</f>
        <v>1696</v>
      </c>
      <c r="J484" s="68">
        <f ca="1">กำแพงเพชร!J484+เชียงราย!J484+เชียงใหม่!J484+ตาก!J484+นครสวรรค์!J484+น่าน!J484+พะเยา!J484+พิจิตร!J484+พิษณุโลก!J484+เพชรบูรณ์!J484+แพร่!J484+แม่ฮ่องสอน!J484+ลำปาง!J484+ลำพูน!J484+สุโขทัย!J484+อุตรดิตถ์!J484+อุทัยธานี!J484</f>
        <v>3</v>
      </c>
      <c r="K484" s="49">
        <f ca="1">IF(I484&gt;0,J484*100/I484,0)</f>
        <v>0.17688679245283018</v>
      </c>
      <c r="L484" s="61"/>
      <c r="M484" s="61"/>
      <c r="N484" s="61"/>
    </row>
    <row r="485" spans="1:14" ht="21.75" customHeight="1" x14ac:dyDescent="0.4">
      <c r="A485" s="316"/>
      <c r="B485" s="51"/>
      <c r="C485" s="43"/>
      <c r="D485" s="155"/>
      <c r="E485" s="75"/>
      <c r="F485" s="75"/>
      <c r="G485" s="76"/>
      <c r="H485" s="60" t="s">
        <v>103</v>
      </c>
      <c r="I485" s="200">
        <f ca="1">กำแพงเพชร!I485+เชียงราย!I485+เชียงใหม่!I485+ตาก!I485+นครสวรรค์!I485+น่าน!I485+พะเยา!I485+พิจิตร!I485+พิษณุโลก!I485+เพชรบูรณ์!I485+แพร่!I485+แม่ฮ่องสอน!I485+ลำปาง!I485+ลำพูน!I485+สุโขทัย!I485+อุตรดิตถ์!I485+อุทัยธานี!I485</f>
        <v>0</v>
      </c>
      <c r="J485" s="68">
        <f ca="1">กำแพงเพชร!J485+เชียงราย!J485+เชียงใหม่!J485+ตาก!J485+นครสวรรค์!J485+น่าน!J485+พะเยา!J485+พิจิตร!J485+พิษณุโลก!J485+เพชรบูรณ์!J485+แพร่!J485+แม่ฮ่องสอน!J485+ลำปาง!J485+ลำพูน!J485+สุโขทัย!J485+อุตรดิตถ์!J485+อุทัยธานี!J485</f>
        <v>1.71</v>
      </c>
      <c r="K485" s="201"/>
      <c r="L485" s="61"/>
      <c r="M485" s="61"/>
      <c r="N485" s="61"/>
    </row>
    <row r="486" spans="1:14" ht="21.75" customHeight="1" x14ac:dyDescent="0.4">
      <c r="A486" s="316"/>
      <c r="B486" s="51"/>
      <c r="C486" s="43"/>
      <c r="D486" s="155"/>
      <c r="E486" s="74" t="s">
        <v>105</v>
      </c>
      <c r="F486" s="75"/>
      <c r="G486" s="76"/>
      <c r="H486" s="60" t="s">
        <v>16</v>
      </c>
      <c r="I486" s="200">
        <f ca="1">กำแพงเพชร!I486+เชียงราย!I486+เชียงใหม่!I486+ตาก!I486+นครสวรรค์!I486+น่าน!I486+พะเยา!I486+พิจิตร!I486+พิษณุโลก!I486+เพชรบูรณ์!I486+แพร่!I486+แม่ฮ่องสอน!I486+ลำปาง!I486+ลำพูน!I486+สุโขทัย!I486+อุตรดิตถ์!I486+อุทัยธานี!I486</f>
        <v>1696</v>
      </c>
      <c r="J486" s="68">
        <f ca="1">กำแพงเพชร!J486+เชียงราย!J486+เชียงใหม่!J486+ตาก!J486+นครสวรรค์!J486+น่าน!J486+พะเยา!J486+พิจิตร!J486+พิษณุโลก!J486+เพชรบูรณ์!J486+แพร่!J486+แม่ฮ่องสอน!J486+ลำปาง!J486+ลำพูน!J486+สุโขทัย!J486+อุตรดิตถ์!J486+อุทัยธานี!J486</f>
        <v>0</v>
      </c>
      <c r="K486" s="49">
        <f ca="1">IF(I486&gt;0,J486*100/I486,0)</f>
        <v>0</v>
      </c>
      <c r="L486" s="61"/>
      <c r="M486" s="61"/>
      <c r="N486" s="61"/>
    </row>
    <row r="487" spans="1:14" ht="21.75" customHeight="1" x14ac:dyDescent="0.4">
      <c r="A487" s="316"/>
      <c r="B487" s="51"/>
      <c r="C487" s="43"/>
      <c r="D487" s="155"/>
      <c r="E487" s="75"/>
      <c r="F487" s="75"/>
      <c r="G487" s="76"/>
      <c r="H487" s="60" t="s">
        <v>103</v>
      </c>
      <c r="I487" s="200">
        <f ca="1">กำแพงเพชร!I487+เชียงราย!I487+เชียงใหม่!I487+ตาก!I487+นครสวรรค์!I487+น่าน!I487+พะเยา!I487+พิจิตร!I487+พิษณุโลก!I487+เพชรบูรณ์!I487+แพร่!I487+แม่ฮ่องสอน!I487+ลำปาง!I487+ลำพูน!I487+สุโขทัย!I487+อุตรดิตถ์!I487+อุทัยธานี!I487</f>
        <v>0</v>
      </c>
      <c r="J487" s="68">
        <f ca="1">กำแพงเพชร!J487+เชียงราย!J487+เชียงใหม่!J487+ตาก!J487+นครสวรรค์!J487+น่าน!J487+พะเยา!J487+พิจิตร!J487+พิษณุโลก!J487+เพชรบูรณ์!J487+แพร่!J487+แม่ฮ่องสอน!J487+ลำปาง!J487+ลำพูน!J487+สุโขทัย!J487+อุตรดิตถ์!J487+อุทัยธานี!J487</f>
        <v>0</v>
      </c>
      <c r="K487" s="201"/>
      <c r="L487" s="61"/>
      <c r="M487" s="61"/>
      <c r="N487" s="61"/>
    </row>
    <row r="488" spans="1:14" ht="21.75" customHeight="1" x14ac:dyDescent="0.4">
      <c r="A488" s="316"/>
      <c r="B488" s="51"/>
      <c r="C488" s="43"/>
      <c r="D488" s="155"/>
      <c r="E488" s="74" t="s">
        <v>106</v>
      </c>
      <c r="F488" s="75"/>
      <c r="G488" s="76"/>
      <c r="H488" s="60" t="s">
        <v>16</v>
      </c>
      <c r="I488" s="200">
        <f ca="1">กำแพงเพชร!I488+เชียงราย!I488+เชียงใหม่!I488+ตาก!I488+นครสวรรค์!I488+น่าน!I488+พะเยา!I488+พิจิตร!I488+พิษณุโลก!I488+เพชรบูรณ์!I488+แพร่!I488+แม่ฮ่องสอน!I488+ลำปาง!I488+ลำพูน!I488+สุโขทัย!I488+อุตรดิตถ์!I488+อุทัยธานี!I488</f>
        <v>1696</v>
      </c>
      <c r="J488" s="68">
        <f ca="1">กำแพงเพชร!J488+เชียงราย!J488+เชียงใหม่!J488+ตาก!J488+นครสวรรค์!J488+น่าน!J488+พะเยา!J488+พิจิตร!J488+พิษณุโลก!J488+เพชรบูรณ์!J488+แพร่!J488+แม่ฮ่องสอน!J488+ลำปาง!J488+ลำพูน!J488+สุโขทัย!J488+อุตรดิตถ์!J488+อุทัยธานี!J488</f>
        <v>1</v>
      </c>
      <c r="K488" s="49">
        <f ca="1">IF(I488&gt;0,J488*100/I488,0)</f>
        <v>5.8962264150943397E-2</v>
      </c>
      <c r="L488" s="61"/>
      <c r="M488" s="61"/>
      <c r="N488" s="61"/>
    </row>
    <row r="489" spans="1:14" ht="21.75" customHeight="1" x14ac:dyDescent="0.4">
      <c r="A489" s="317"/>
      <c r="B489" s="318"/>
      <c r="C489" s="319"/>
      <c r="D489" s="320"/>
      <c r="E489" s="295"/>
      <c r="F489" s="295"/>
      <c r="G489" s="296"/>
      <c r="H489" s="321" t="s">
        <v>103</v>
      </c>
      <c r="I489" s="322">
        <f ca="1">กำแพงเพชร!I489+เชียงราย!I489+เชียงใหม่!I489+ตาก!I489+นครสวรรค์!I489+น่าน!I489+พะเยา!I489+พิจิตร!I489+พิษณุโลก!I489+เพชรบูรณ์!I489+แพร่!I489+แม่ฮ่องสอน!I489+ลำปาง!I489+ลำพูน!I489+สุโขทัย!I489+อุตรดิตถ์!I489+อุทัยธานี!I489</f>
        <v>0</v>
      </c>
      <c r="J489" s="299">
        <f ca="1">กำแพงเพชร!J489+เชียงราย!J489+เชียงใหม่!J489+ตาก!J489+นครสวรรค์!J489+น่าน!J489+พะเยา!J489+พิจิตร!J489+พิษณุโลก!J489+เพชรบูรณ์!J489+แพร่!J489+แม่ฮ่องสอน!J489+ลำปาง!J489+ลำพูน!J489+สุโขทัย!J489+อุตรดิตถ์!J489+อุทัยธานี!J489</f>
        <v>0.6</v>
      </c>
      <c r="K489" s="323"/>
      <c r="L489" s="300"/>
      <c r="M489" s="300"/>
      <c r="N489" s="300"/>
    </row>
    <row r="490" spans="1:14" ht="21.75" customHeight="1" x14ac:dyDescent="0.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ca="1">กำแพงเพชร!I490+เชียงราย!I490+เชียงใหม่!I490+ตาก!I490+นครสวรรค์!I490+น่าน!I490+พะเยา!I490+พิจิตร!I490+พิษณุโลก!I490+เพชรบูรณ์!I490+แพร่!I490+แม่ฮ่องสอน!I490+ลำปาง!I490+ลำพูน!I490+สุโขทัย!I490+อุตรดิตถ์!I490+อุทัยธานี!I490</f>
        <v>1470</v>
      </c>
      <c r="J490" s="257">
        <f>กำแพงเพชร!J490+เชียงราย!J490+เชียงใหม่!J490+ตาก!J490+นครสวรรค์!J490+น่าน!J490+พะเยา!J490+พิจิตร!J490+พิษณุโลก!J490+เพชรบูรณ์!J490+แพร่!J490+แม่ฮ่องสอน!J490+ลำปาง!J490+ลำพูน!J490+สุโขทัย!J490+อุตรดิตถ์!J490+อุทัยธานี!J490</f>
        <v>0</v>
      </c>
      <c r="K490" s="258">
        <f ca="1">IF(I490&gt;0,J490*100/I490,0)</f>
        <v>0</v>
      </c>
      <c r="L490" s="259">
        <f ca="1">กำแพงเพชร!L490+เชียงราย!L490+เชียงใหม่!L490+ตาก!L490+นครสวรรค์!L490+น่าน!L490+พะเยา!L490+พิจิตร!L490+พิษณุโลก!L490+เพชรบูรณ์!L490+แพร่!L490+แม่ฮ่องสอน!L490+ลำปาง!L490+ลำพูน!L490+สุโขทัย!L490+อุตรดิตถ์!L490+อุทัยธานี!L490</f>
        <v>135050</v>
      </c>
      <c r="M490" s="259">
        <f>กำแพงเพชร!M490+เชียงราย!M490+เชียงใหม่!M490+ตาก!M490+นครสวรรค์!M490+น่าน!M490+พะเยา!M490+พิจิตร!M490+พิษณุโลก!M490+เพชรบูรณ์!M490+แพร่!M490+แม่ฮ่องสอน!M490+ลำปาง!M490+ลำพูน!M490+สุโขทัย!M490+อุตรดิตถ์!M490+อุทัยธานี!M490</f>
        <v>6167.6</v>
      </c>
      <c r="N490" s="259">
        <f t="shared" ref="N490:N494" ca="1" si="43">+IF(L490&gt;0,M490*100/L490,0)</f>
        <v>4.5669011477230654</v>
      </c>
    </row>
    <row r="491" spans="1:14" ht="21.75" customHeight="1" x14ac:dyDescent="0.4">
      <c r="A491" s="42"/>
      <c r="B491" s="43"/>
      <c r="C491" s="43" t="s">
        <v>17</v>
      </c>
      <c r="D491" s="44" t="s">
        <v>18</v>
      </c>
      <c r="E491" s="45"/>
      <c r="F491" s="45"/>
      <c r="G491" s="46" t="s">
        <v>19</v>
      </c>
      <c r="H491" s="47" t="s">
        <v>20</v>
      </c>
      <c r="I491" s="48" t="s">
        <v>21</v>
      </c>
      <c r="J491" s="48"/>
      <c r="K491" s="49"/>
      <c r="L491" s="50">
        <f>กำแพงเพชร!L491+เชียงราย!L491+เชียงใหม่!L491+ตาก!L491+นครสวรรค์!L491+น่าน!L491+พะเยา!L491+พิจิตร!L491+พิษณุโลก!L491+เพชรบูรณ์!L491+แพร่!L491+แม่ฮ่องสอน!L491+ลำปาง!L491+ลำพูน!L491+สุโขทัย!L491+อุตรดิตถ์!L491+อุทัยธานี!L491</f>
        <v>0</v>
      </c>
      <c r="M491" s="53">
        <f>กำแพงเพชร!M491+เชียงราย!M491+เชียงใหม่!M491+ตาก!M491+นครสวรรค์!M491+น่าน!M491+พะเยา!M491+พิจิตร!M491+พิษณุโลก!M491+เพชรบูรณ์!M491+แพร่!M491+แม่ฮ่องสอน!M491+ลำปาง!M491+ลำพูน!M491+สุโขทัย!M491+อุตรดิตถ์!M491+อุทัยธานี!M491</f>
        <v>0</v>
      </c>
      <c r="N491" s="53">
        <f t="shared" si="43"/>
        <v>0</v>
      </c>
    </row>
    <row r="492" spans="1:14" ht="21.75" customHeight="1" x14ac:dyDescent="0.4">
      <c r="A492" s="42"/>
      <c r="B492" s="43"/>
      <c r="C492" s="43"/>
      <c r="D492" s="51"/>
      <c r="E492" s="45"/>
      <c r="F492" s="45" t="s">
        <v>21</v>
      </c>
      <c r="G492" s="46" t="s">
        <v>22</v>
      </c>
      <c r="H492" s="47" t="s">
        <v>20</v>
      </c>
      <c r="I492" s="48"/>
      <c r="J492" s="48"/>
      <c r="K492" s="49"/>
      <c r="L492" s="50">
        <f ca="1">กำแพงเพชร!L492+เชียงราย!L492+เชียงใหม่!L492+ตาก!L492+นครสวรรค์!L492+น่าน!L492+พะเยา!L492+พิจิตร!L492+พิษณุโลก!L492+เพชรบูรณ์!L492+แพร่!L492+แม่ฮ่องสอน!L492+ลำปาง!L492+ลำพูน!L492+สุโขทัย!L492+อุตรดิตถ์!L492+อุทัยธานี!L492</f>
        <v>135050</v>
      </c>
      <c r="M492" s="53">
        <f>กำแพงเพชร!M492+เชียงราย!M492+เชียงใหม่!M492+ตาก!M492+นครสวรรค์!M492+น่าน!M492+พะเยา!M492+พิจิตร!M492+พิษณุโลก!M492+เพชรบูรณ์!M492+แพร่!M492+แม่ฮ่องสอน!M492+ลำปาง!M492+ลำพูน!M492+สุโขทัย!M492+อุตรดิตถ์!M492+อุทัยธานี!M492</f>
        <v>6167.6</v>
      </c>
      <c r="N492" s="53">
        <f t="shared" ca="1" si="43"/>
        <v>4.5669011477230654</v>
      </c>
    </row>
    <row r="493" spans="1:14" ht="21.75" customHeight="1" x14ac:dyDescent="0.4">
      <c r="A493" s="42"/>
      <c r="B493" s="43"/>
      <c r="C493" s="43"/>
      <c r="D493" s="51"/>
      <c r="E493" s="45"/>
      <c r="F493" s="45"/>
      <c r="G493" s="52" t="s">
        <v>110</v>
      </c>
      <c r="H493" s="47" t="s">
        <v>20</v>
      </c>
      <c r="I493" s="48"/>
      <c r="J493" s="48"/>
      <c r="K493" s="49"/>
      <c r="L493" s="53">
        <f ca="1">กำแพงเพชร!L493+เชียงราย!L493+เชียงใหม่!L493+ตาก!L493+นครสวรรค์!L493+น่าน!L493+พะเยา!L493+พิจิตร!L493+พิษณุโลก!L493+เพชรบูรณ์!L493+แพร่!L493+แม่ฮ่องสอน!L493+ลำปาง!L493+ลำพูน!L493+สุโขทัย!L493+อุตรดิตถ์!L493+อุทัยธานี!L493</f>
        <v>0</v>
      </c>
      <c r="M493" s="53">
        <f>กำแพงเพชร!M493+เชียงราย!M493+เชียงใหม่!M493+ตาก!M493+นครสวรรค์!M493+น่าน!M493+พะเยา!M493+พิจิตร!M493+พิษณุโลก!M493+เพชรบูรณ์!M493+แพร่!M493+แม่ฮ่องสอน!M493+ลำปาง!M493+ลำพูน!M493+สุโขทัย!M493+อุตรดิตถ์!M493+อุทัยธานี!M493</f>
        <v>0</v>
      </c>
      <c r="N493" s="53">
        <f t="shared" ca="1" si="43"/>
        <v>0</v>
      </c>
    </row>
    <row r="494" spans="1:14" ht="21.75" customHeight="1" x14ac:dyDescent="0.4">
      <c r="A494" s="42"/>
      <c r="B494" s="43"/>
      <c r="C494" s="43"/>
      <c r="D494" s="51"/>
      <c r="E494" s="45"/>
      <c r="F494" s="45"/>
      <c r="G494" s="52" t="s">
        <v>111</v>
      </c>
      <c r="H494" s="47" t="s">
        <v>20</v>
      </c>
      <c r="I494" s="48"/>
      <c r="J494" s="48"/>
      <c r="K494" s="49"/>
      <c r="L494" s="53">
        <f ca="1">กำแพงเพชร!L494+เชียงราย!L494+เชียงใหม่!L494+ตาก!L494+นครสวรรค์!L494+น่าน!L494+พะเยา!L494+พิจิตร!L494+พิษณุโลก!L494+เพชรบูรณ์!L494+แพร่!L494+แม่ฮ่องสอน!L494+ลำปาง!L494+ลำพูน!L494+สุโขทัย!L494+อุตรดิตถ์!L494+อุทัยธานี!L494</f>
        <v>135050</v>
      </c>
      <c r="M494" s="53">
        <f>กำแพงเพชร!M494+เชียงราย!M494+เชียงใหม่!M494+ตาก!M494+นครสวรรค์!M494+น่าน!M494+พะเยา!M494+พิจิตร!M494+พิษณุโลก!M494+เพชรบูรณ์!M494+แพร่!M494+แม่ฮ่องสอน!M494+ลำปาง!M494+ลำพูน!M494+สุโขทัย!M494+อุตรดิตถ์!M494+อุทัยธานี!M494</f>
        <v>6167.6</v>
      </c>
      <c r="N494" s="53">
        <f t="shared" ca="1" si="43"/>
        <v>4.5669011477230654</v>
      </c>
    </row>
    <row r="495" spans="1:14" ht="21.75" customHeight="1" x14ac:dyDescent="0.4">
      <c r="A495" s="230"/>
      <c r="B495" s="231"/>
      <c r="C495" s="43"/>
      <c r="D495" s="232"/>
      <c r="E495" s="45"/>
      <c r="F495" s="45"/>
      <c r="G495" s="46" t="s">
        <v>112</v>
      </c>
      <c r="H495" s="47" t="s">
        <v>20</v>
      </c>
      <c r="I495" s="67"/>
      <c r="J495" s="67"/>
      <c r="K495" s="233"/>
      <c r="L495" s="53"/>
      <c r="M495" s="54">
        <f>กำแพงเพชร!M495+เชียงราย!M495+เชียงใหม่!M495+ตาก!M495+นครสวรรค์!M495+น่าน!M495+พะเยา!M495+พิจิตร!M495+พิษณุโลก!M495+เพชรบูรณ์!M495+แพร่!M495+แม่ฮ่องสอน!M495+ลำปาง!M495+ลำพูน!M495+สุโขทัย!M495+อุตรดิตถ์!M495+อุทัยธานี!M495</f>
        <v>0</v>
      </c>
      <c r="N495" s="53"/>
    </row>
    <row r="496" spans="1:14" ht="21.75" customHeight="1" x14ac:dyDescent="0.4">
      <c r="A496" s="230"/>
      <c r="B496" s="231"/>
      <c r="C496" s="43"/>
      <c r="D496" s="232"/>
      <c r="E496" s="45"/>
      <c r="F496" s="45"/>
      <c r="G496" s="46" t="s">
        <v>113</v>
      </c>
      <c r="H496" s="47" t="s">
        <v>20</v>
      </c>
      <c r="I496" s="67"/>
      <c r="J496" s="67"/>
      <c r="K496" s="233"/>
      <c r="L496" s="53"/>
      <c r="M496" s="54">
        <f>กำแพงเพชร!M496+เชียงราย!M496+เชียงใหม่!M496+ตาก!M496+นครสวรรค์!M496+น่าน!M496+พะเยา!M496+พิจิตร!M496+พิษณุโลก!M496+เพชรบูรณ์!M496+แพร่!M496+แม่ฮ่องสอน!M496+ลำปาง!M496+ลำพูน!M496+สุโขทัย!M496+อุตรดิตถ์!M496+อุทัยธานี!M496</f>
        <v>0</v>
      </c>
      <c r="N496" s="53"/>
    </row>
    <row r="497" spans="1:14" ht="21.75" customHeight="1" x14ac:dyDescent="0.4">
      <c r="A497" s="230"/>
      <c r="B497" s="231"/>
      <c r="C497" s="43"/>
      <c r="D497" s="232"/>
      <c r="E497" s="45"/>
      <c r="F497" s="45"/>
      <c r="G497" s="46" t="s">
        <v>114</v>
      </c>
      <c r="H497" s="47" t="s">
        <v>20</v>
      </c>
      <c r="I497" s="67"/>
      <c r="J497" s="67"/>
      <c r="K497" s="233"/>
      <c r="L497" s="53"/>
      <c r="M497" s="54">
        <f>กำแพงเพชร!M497+เชียงราย!M497+เชียงใหม่!M497+ตาก!M497+นครสวรรค์!M497+น่าน!M497+พะเยา!M497+พิจิตร!M497+พิษณุโลก!M497+เพชรบูรณ์!M497+แพร่!M497+แม่ฮ่องสอน!M497+ลำปาง!M497+ลำพูน!M497+สุโขทัย!M497+อุตรดิตถ์!M497+อุทัยธานี!M497</f>
        <v>0</v>
      </c>
      <c r="N497" s="53"/>
    </row>
    <row r="498" spans="1:14" ht="21.75" customHeight="1" x14ac:dyDescent="0.4">
      <c r="A498" s="230"/>
      <c r="B498" s="231"/>
      <c r="C498" s="43"/>
      <c r="D498" s="232"/>
      <c r="E498" s="45"/>
      <c r="F498" s="45"/>
      <c r="G498" s="46" t="s">
        <v>115</v>
      </c>
      <c r="H498" s="47" t="s">
        <v>20</v>
      </c>
      <c r="I498" s="67"/>
      <c r="J498" s="67"/>
      <c r="K498" s="233"/>
      <c r="L498" s="53"/>
      <c r="M498" s="54">
        <f>กำแพงเพชร!M498+เชียงราย!M498+เชียงใหม่!M498+ตาก!M498+นครสวรรค์!M498+น่าน!M498+พะเยา!M498+พิจิตร!M498+พิษณุโลก!M498+เพชรบูรณ์!M498+แพร่!M498+แม่ฮ่องสอน!M498+ลำปาง!M498+ลำพูน!M498+สุโขทัย!M498+อุตรดิตถ์!M498+อุทัยธานี!M498</f>
        <v>6167.6</v>
      </c>
      <c r="N498" s="53"/>
    </row>
    <row r="499" spans="1:14" ht="21.75" customHeight="1" x14ac:dyDescent="0.4">
      <c r="A499" s="55"/>
      <c r="B499" s="56"/>
      <c r="C499" s="43" t="s">
        <v>17</v>
      </c>
      <c r="D499" s="57" t="s">
        <v>25</v>
      </c>
      <c r="E499" s="58"/>
      <c r="F499" s="58"/>
      <c r="G499" s="59"/>
      <c r="H499" s="60"/>
      <c r="I499" s="48"/>
      <c r="J499" s="48"/>
      <c r="K499" s="49"/>
      <c r="L499" s="61"/>
      <c r="M499" s="61"/>
      <c r="N499" s="61"/>
    </row>
    <row r="500" spans="1:14" ht="21.75" customHeight="1" x14ac:dyDescent="0.4">
      <c r="A500" s="55"/>
      <c r="B500" s="56"/>
      <c r="C500" s="56"/>
      <c r="D500" s="62">
        <v>1</v>
      </c>
      <c r="E500" s="63" t="s">
        <v>26</v>
      </c>
      <c r="F500" s="64"/>
      <c r="G500" s="65"/>
      <c r="H500" s="66"/>
      <c r="I500" s="67"/>
      <c r="J500" s="68">
        <f>กำแพงเพชร!J500+เชียงราย!J500+เชียงใหม่!J500+ตาก!J500+นครสวรรค์!J500+น่าน!J500+พะเยา!J500+พิจิตร!J500+พิษณุโลก!J500+เพชรบูรณ์!J500+แพร่!J500+แม่ฮ่องสอน!J500+ลำปาง!J500+ลำพูน!J500+สุโขทัย!J500+อุตรดิตถ์!J500+อุทัยธานี!J500</f>
        <v>1</v>
      </c>
      <c r="K500" s="49"/>
      <c r="L500" s="61"/>
      <c r="M500" s="61"/>
      <c r="N500" s="61"/>
    </row>
    <row r="501" spans="1:14" ht="21.75" customHeight="1" x14ac:dyDescent="0.4">
      <c r="A501" s="55"/>
      <c r="B501" s="56"/>
      <c r="C501" s="56"/>
      <c r="D501" s="69">
        <v>2</v>
      </c>
      <c r="E501" s="70" t="s">
        <v>27</v>
      </c>
      <c r="F501" s="71"/>
      <c r="G501" s="72"/>
      <c r="H501" s="66"/>
      <c r="I501" s="67"/>
      <c r="J501" s="68">
        <f>กำแพงเพชร!J501+เชียงราย!J501+เชียงใหม่!J501+ตาก!J501+นครสวรรค์!J501+น่าน!J501+พะเยา!J501+พิจิตร!J501+พิษณุโลก!J501+เพชรบูรณ์!J501+แพร่!J501+แม่ฮ่องสอน!J501+ลำปาง!J501+ลำพูน!J501+สุโขทัย!J501+อุตรดิตถ์!J501+อุทัยธานี!J501</f>
        <v>11</v>
      </c>
      <c r="K501" s="49"/>
      <c r="L501" s="61" t="s">
        <v>21</v>
      </c>
      <c r="M501" s="61" t="s">
        <v>21</v>
      </c>
      <c r="N501" s="61"/>
    </row>
    <row r="502" spans="1:14" ht="21.75" hidden="1" customHeight="1" x14ac:dyDescent="0.4">
      <c r="A502" s="324"/>
      <c r="B502" s="325"/>
      <c r="C502" s="325"/>
      <c r="D502" s="326"/>
      <c r="E502" s="327" t="s">
        <v>28</v>
      </c>
      <c r="F502" s="328"/>
      <c r="G502" s="329"/>
      <c r="H502" s="330"/>
      <c r="I502" s="331"/>
      <c r="J502" s="331">
        <f>กำแพงเพชร!J502+เชียงราย!J502+เชียงใหม่!J502+ตาก!J502+นครสวรรค์!J502+น่าน!J502+พะเยา!J502+พิจิตร!J502+พิษณุโลก!J502+เพชรบูรณ์!J502+แพร่!J502+แม่ฮ่องสอน!J502+ลำปาง!J502+ลำพูน!J502+สุโขทัย!J502+อุตรดิตถ์!J502+อุทัยธานี!J502</f>
        <v>0</v>
      </c>
      <c r="K502" s="332"/>
      <c r="L502" s="333"/>
      <c r="M502" s="333"/>
      <c r="N502" s="333"/>
    </row>
    <row r="503" spans="1:14" ht="21.75" hidden="1" customHeight="1" x14ac:dyDescent="0.4">
      <c r="A503" s="324"/>
      <c r="B503" s="325"/>
      <c r="C503" s="325"/>
      <c r="D503" s="326"/>
      <c r="E503" s="327" t="s">
        <v>29</v>
      </c>
      <c r="F503" s="328"/>
      <c r="G503" s="329"/>
      <c r="H503" s="330"/>
      <c r="I503" s="331"/>
      <c r="J503" s="331">
        <f>กำแพงเพชร!J503+เชียงราย!J503+เชียงใหม่!J503+ตาก!J503+นครสวรรค์!J503+น่าน!J503+พะเยา!J503+พิจิตร!J503+พิษณุโลก!J503+เพชรบูรณ์!J503+แพร่!J503+แม่ฮ่องสอน!J503+ลำปาง!J503+ลำพูน!J503+สุโขทัย!J503+อุตรดิตถ์!J503+อุทัยธานี!J503</f>
        <v>0</v>
      </c>
      <c r="K503" s="332"/>
      <c r="L503" s="333"/>
      <c r="M503" s="333"/>
      <c r="N503" s="333"/>
    </row>
    <row r="504" spans="1:14" ht="21.75" customHeight="1" x14ac:dyDescent="0.4">
      <c r="A504" s="55"/>
      <c r="B504" s="56"/>
      <c r="C504" s="56"/>
      <c r="D504" s="73"/>
      <c r="E504" s="75"/>
      <c r="F504" s="75" t="s">
        <v>199</v>
      </c>
      <c r="G504" s="76"/>
      <c r="H504" s="60" t="s">
        <v>103</v>
      </c>
      <c r="I504" s="48">
        <f ca="1">กำแพงเพชร!I504+เชียงราย!I504+เชียงใหม่!I504+ตาก!I504+นครสวรรค์!I504+น่าน!I504+พะเยา!I504+พิจิตร!I504+พิษณุโลก!I504+เพชรบูรณ์!I504+แพร่!I504+แม่ฮ่องสอน!I504+ลำปาง!I504+ลำพูน!I504+สุโขทัย!I504+อุตรดิตถ์!I504+อุทัยธานี!I504</f>
        <v>1470</v>
      </c>
      <c r="J504" s="48">
        <f>กำแพงเพชร!J504+เชียงราย!J504+เชียงใหม่!J504+ตาก!J504+นครสวรรค์!J504+น่าน!J504+พะเยา!J504+พิจิตร!J504+พิษณุโลก!J504+เพชรบูรณ์!J504+แพร่!J504+แม่ฮ่องสอน!J504+ลำปาง!J504+ลำพูน!J504+สุโขทัย!J504+อุตรดิตถ์!J504+อุทัยธานี!J504</f>
        <v>0</v>
      </c>
      <c r="K504" s="49">
        <f t="shared" ref="K504:K512" ca="1" si="44">IF(I$504&gt;0,J504*100/I$504,0)</f>
        <v>0</v>
      </c>
      <c r="L504" s="61"/>
      <c r="M504" s="61"/>
      <c r="N504" s="61"/>
    </row>
    <row r="505" spans="1:14" ht="21.75" customHeight="1" x14ac:dyDescent="0.4">
      <c r="A505" s="55"/>
      <c r="B505" s="56"/>
      <c r="C505" s="56"/>
      <c r="D505" s="73"/>
      <c r="E505" s="77"/>
      <c r="F505" s="75"/>
      <c r="G505" s="99" t="s">
        <v>200</v>
      </c>
      <c r="H505" s="60" t="s">
        <v>103</v>
      </c>
      <c r="I505" s="67">
        <v>0</v>
      </c>
      <c r="J505" s="68">
        <f>กำแพงเพชร!J505+เชียงราย!J505+เชียงใหม่!J505+ตาก!J505+นครสวรรค์!J505+น่าน!J505+พะเยา!J505+พิจิตร!J505+พิษณุโลก!J505+เพชรบูรณ์!J505+แพร่!J505+แม่ฮ่องสอน!J505+ลำปาง!J505+ลำพูน!J505+สุโขทัย!J505+อุตรดิตถ์!J505+อุทัยธานี!J505</f>
        <v>0</v>
      </c>
      <c r="K505" s="49">
        <f t="shared" ca="1" si="44"/>
        <v>0</v>
      </c>
      <c r="L505" s="61"/>
      <c r="M505" s="61"/>
      <c r="N505" s="61"/>
    </row>
    <row r="506" spans="1:14" ht="21.75" customHeight="1" x14ac:dyDescent="0.4">
      <c r="A506" s="55"/>
      <c r="B506" s="56"/>
      <c r="C506" s="56"/>
      <c r="D506" s="73"/>
      <c r="E506" s="77"/>
      <c r="F506" s="75"/>
      <c r="G506" s="99" t="s">
        <v>201</v>
      </c>
      <c r="H506" s="60" t="s">
        <v>103</v>
      </c>
      <c r="I506" s="67">
        <v>0</v>
      </c>
      <c r="J506" s="68">
        <f>กำแพงเพชร!J506+เชียงราย!J506+เชียงใหม่!J506+ตาก!J506+นครสวรรค์!J506+น่าน!J506+พะเยา!J506+พิจิตร!J506+พิษณุโลก!J506+เพชรบูรณ์!J506+แพร่!J506+แม่ฮ่องสอน!J506+ลำปาง!J506+ลำพูน!J506+สุโขทัย!J506+อุตรดิตถ์!J506+อุทัยธานี!J506</f>
        <v>0</v>
      </c>
      <c r="K506" s="49">
        <f t="shared" ca="1" si="44"/>
        <v>0</v>
      </c>
      <c r="L506" s="61"/>
      <c r="M506" s="61"/>
      <c r="N506" s="61"/>
    </row>
    <row r="507" spans="1:14" ht="21.75" customHeight="1" x14ac:dyDescent="0.4">
      <c r="A507" s="55"/>
      <c r="B507" s="56"/>
      <c r="C507" s="56"/>
      <c r="D507" s="73"/>
      <c r="E507" s="77"/>
      <c r="F507" s="75"/>
      <c r="G507" s="99" t="s">
        <v>202</v>
      </c>
      <c r="H507" s="60" t="s">
        <v>103</v>
      </c>
      <c r="I507" s="67">
        <v>0</v>
      </c>
      <c r="J507" s="68">
        <f>กำแพงเพชร!J507+เชียงราย!J507+เชียงใหม่!J507+ตาก!J507+นครสวรรค์!J507+น่าน!J507+พะเยา!J507+พิจิตร!J507+พิษณุโลก!J507+เพชรบูรณ์!J507+แพร่!J507+แม่ฮ่องสอน!J507+ลำปาง!J507+ลำพูน!J507+สุโขทัย!J507+อุตรดิตถ์!J507+อุทัยธานี!J507</f>
        <v>0</v>
      </c>
      <c r="K507" s="49">
        <f t="shared" ca="1" si="44"/>
        <v>0</v>
      </c>
      <c r="L507" s="61"/>
      <c r="M507" s="61"/>
      <c r="N507" s="61"/>
    </row>
    <row r="508" spans="1:14" ht="21.75" customHeight="1" x14ac:dyDescent="0.4">
      <c r="A508" s="55"/>
      <c r="B508" s="56"/>
      <c r="C508" s="56"/>
      <c r="D508" s="73"/>
      <c r="E508" s="77"/>
      <c r="F508" s="75"/>
      <c r="G508" s="99" t="s">
        <v>203</v>
      </c>
      <c r="H508" s="60" t="s">
        <v>103</v>
      </c>
      <c r="I508" s="67">
        <v>0</v>
      </c>
      <c r="J508" s="68">
        <f>กำแพงเพชร!J508+เชียงราย!J508+เชียงใหม่!J508+ตาก!J508+นครสวรรค์!J508+น่าน!J508+พะเยา!J508+พิจิตร!J508+พิษณุโลก!J508+เพชรบูรณ์!J508+แพร่!J508+แม่ฮ่องสอน!J508+ลำปาง!J508+ลำพูน!J508+สุโขทัย!J508+อุตรดิตถ์!J508+อุทัยธานี!J508</f>
        <v>0</v>
      </c>
      <c r="K508" s="49">
        <f t="shared" ca="1" si="44"/>
        <v>0</v>
      </c>
      <c r="L508" s="61"/>
      <c r="M508" s="61"/>
      <c r="N508" s="61"/>
    </row>
    <row r="509" spans="1:14" ht="21.75" customHeight="1" x14ac:dyDescent="0.4">
      <c r="A509" s="55"/>
      <c r="B509" s="56"/>
      <c r="C509" s="56"/>
      <c r="D509" s="73"/>
      <c r="E509" s="77"/>
      <c r="F509" s="75"/>
      <c r="G509" s="74" t="s">
        <v>204</v>
      </c>
      <c r="H509" s="60" t="s">
        <v>103</v>
      </c>
      <c r="I509" s="67">
        <v>0</v>
      </c>
      <c r="J509" s="68">
        <f>กำแพงเพชร!J509+เชียงราย!J509+เชียงใหม่!J509+ตาก!J509+นครสวรรค์!J509+น่าน!J509+พะเยา!J509+พิจิตร!J509+พิษณุโลก!J509+เพชรบูรณ์!J509+แพร่!J509+แม่ฮ่องสอน!J509+ลำปาง!J509+ลำพูน!J509+สุโขทัย!J509+อุตรดิตถ์!J509+อุทัยธานี!J509</f>
        <v>0</v>
      </c>
      <c r="K509" s="49">
        <f t="shared" ca="1" si="44"/>
        <v>0</v>
      </c>
      <c r="L509" s="61"/>
      <c r="M509" s="61"/>
      <c r="N509" s="61"/>
    </row>
    <row r="510" spans="1:14" ht="21.75" customHeight="1" x14ac:dyDescent="0.4">
      <c r="A510" s="55"/>
      <c r="B510" s="56"/>
      <c r="C510" s="56"/>
      <c r="D510" s="73"/>
      <c r="E510" s="77"/>
      <c r="F510" s="75"/>
      <c r="G510" s="74" t="s">
        <v>205</v>
      </c>
      <c r="H510" s="60" t="s">
        <v>103</v>
      </c>
      <c r="I510" s="67">
        <v>0</v>
      </c>
      <c r="J510" s="67">
        <f>กำแพงเพชร!J510+เชียงราย!J510+เชียงใหม่!J510+ตาก!J510+นครสวรรค์!J510+น่าน!J510+พะเยา!J510+พิจิตร!J510+พิษณุโลก!J510+เพชรบูรณ์!J510+แพร่!J510+แม่ฮ่องสอน!J510+ลำปาง!J510+ลำพูน!J510+สุโขทัย!J510+อุตรดิตถ์!J510+อุทัยธานี!J510</f>
        <v>0</v>
      </c>
      <c r="K510" s="49">
        <f t="shared" ca="1" si="44"/>
        <v>0</v>
      </c>
      <c r="L510" s="61"/>
      <c r="M510" s="61"/>
      <c r="N510" s="61"/>
    </row>
    <row r="511" spans="1:14" ht="21.75" customHeight="1" x14ac:dyDescent="0.4">
      <c r="A511" s="55"/>
      <c r="B511" s="56"/>
      <c r="C511" s="56"/>
      <c r="D511" s="73"/>
      <c r="E511" s="77"/>
      <c r="F511" s="75"/>
      <c r="G511" s="334" t="s">
        <v>206</v>
      </c>
      <c r="H511" s="60" t="s">
        <v>103</v>
      </c>
      <c r="I511" s="67">
        <v>0</v>
      </c>
      <c r="J511" s="68">
        <f>กำแพงเพชร!J511+เชียงราย!J511+เชียงใหม่!J511+ตาก!J511+นครสวรรค์!J511+น่าน!J511+พะเยา!J511+พิจิตร!J511+พิษณุโลก!J511+เพชรบูรณ์!J511+แพร่!J511+แม่ฮ่องสอน!J511+ลำปาง!J511+ลำพูน!J511+สุโขทัย!J511+อุตรดิตถ์!J511+อุทัยธานี!J511</f>
        <v>0</v>
      </c>
      <c r="K511" s="49">
        <f t="shared" ca="1" si="44"/>
        <v>0</v>
      </c>
      <c r="L511" s="61"/>
      <c r="M511" s="61"/>
      <c r="N511" s="61"/>
    </row>
    <row r="512" spans="1:14" ht="21.75" customHeight="1" x14ac:dyDescent="0.4">
      <c r="A512" s="55"/>
      <c r="B512" s="56"/>
      <c r="C512" s="56"/>
      <c r="D512" s="73"/>
      <c r="E512" s="77"/>
      <c r="F512" s="75"/>
      <c r="G512" s="334" t="s">
        <v>207</v>
      </c>
      <c r="H512" s="60" t="s">
        <v>103</v>
      </c>
      <c r="I512" s="67">
        <v>0</v>
      </c>
      <c r="J512" s="68">
        <f>กำแพงเพชร!J512+เชียงราย!J512+เชียงใหม่!J512+ตาก!J512+นครสวรรค์!J512+น่าน!J512+พะเยา!J512+พิจิตร!J512+พิษณุโลก!J512+เพชรบูรณ์!J512+แพร่!J512+แม่ฮ่องสอน!J512+ลำปาง!J512+ลำพูน!J512+สุโขทัย!J512+อุตรดิตถ์!J512+อุทัยธานี!J512</f>
        <v>0</v>
      </c>
      <c r="K512" s="49">
        <f t="shared" ca="1" si="44"/>
        <v>0</v>
      </c>
      <c r="L512" s="61"/>
      <c r="M512" s="61"/>
      <c r="N512" s="61"/>
    </row>
    <row r="513" spans="1:14" ht="21.75" customHeight="1" x14ac:dyDescent="0.4">
      <c r="A513" s="55"/>
      <c r="B513" s="56"/>
      <c r="C513" s="56"/>
      <c r="D513" s="73"/>
      <c r="E513" s="75"/>
      <c r="F513" s="74" t="s">
        <v>208</v>
      </c>
      <c r="G513" s="76"/>
      <c r="H513" s="60" t="s">
        <v>103</v>
      </c>
      <c r="I513" s="48">
        <f ca="1">กำแพงเพชร!I513+เชียงราย!I513+เชียงใหม่!I513+ตาก!I513+นครสวรรค์!I513+น่าน!I513+พะเยา!I513+พิจิตร!I513+พิษณุโลก!I513+เพชรบูรณ์!I513+แพร่!I513+แม่ฮ่องสอน!I513+ลำปาง!I513+ลำพูน!I513+สุโขทัย!I513+อุตรดิตถ์!I513+อุทัยธานี!I513</f>
        <v>3997</v>
      </c>
      <c r="J513" s="48">
        <f>กำแพงเพชร!J513+เชียงราย!J513+เชียงใหม่!J513+ตาก!J513+นครสวรรค์!J513+น่าน!J513+พะเยา!J513+พิจิตร!J513+พิษณุโลก!J513+เพชรบูรณ์!J513+แพร่!J513+แม่ฮ่องสอน!J513+ลำปาง!J513+ลำพูน!J513+สุโขทัย!J513+อุตรดิตถ์!J513+อุทัยธานี!J513</f>
        <v>0</v>
      </c>
      <c r="K513" s="49">
        <f t="shared" ref="K513:K519" ca="1" si="45">IF(I$513&gt;0,J513*100/I$513,0)</f>
        <v>0</v>
      </c>
      <c r="L513" s="61"/>
      <c r="M513" s="61"/>
      <c r="N513" s="61"/>
    </row>
    <row r="514" spans="1:14" ht="21.75" customHeight="1" x14ac:dyDescent="0.4">
      <c r="A514" s="55"/>
      <c r="B514" s="56"/>
      <c r="C514" s="56"/>
      <c r="D514" s="73"/>
      <c r="E514" s="77"/>
      <c r="F514" s="75"/>
      <c r="G514" s="99" t="s">
        <v>205</v>
      </c>
      <c r="H514" s="60" t="s">
        <v>103</v>
      </c>
      <c r="I514" s="67">
        <v>0</v>
      </c>
      <c r="J514" s="48">
        <f>กำแพงเพชร!J514+เชียงราย!J514+เชียงใหม่!J514+ตาก!J514+นครสวรรค์!J514+น่าน!J514+พะเยา!J514+พิจิตร!J514+พิษณุโลก!J514+เพชรบูรณ์!J514+แพร่!J514+แม่ฮ่องสอน!J514+ลำปาง!J514+ลำพูน!J514+สุโขทัย!J514+อุตรดิตถ์!J514+อุทัยธานี!J514</f>
        <v>0</v>
      </c>
      <c r="K514" s="49">
        <f t="shared" ca="1" si="45"/>
        <v>0</v>
      </c>
      <c r="L514" s="61"/>
      <c r="M514" s="61"/>
      <c r="N514" s="61"/>
    </row>
    <row r="515" spans="1:14" ht="21.75" customHeight="1" x14ac:dyDescent="0.4">
      <c r="A515" s="55"/>
      <c r="B515" s="56"/>
      <c r="C515" s="56"/>
      <c r="D515" s="73"/>
      <c r="E515" s="77"/>
      <c r="F515" s="75"/>
      <c r="G515" s="334" t="s">
        <v>206</v>
      </c>
      <c r="H515" s="60" t="s">
        <v>103</v>
      </c>
      <c r="I515" s="67">
        <v>0</v>
      </c>
      <c r="J515" s="68">
        <f>กำแพงเพชร!J515+เชียงราย!J515+เชียงใหม่!J515+ตาก!J515+นครสวรรค์!J515+น่าน!J515+พะเยา!J515+พิจิตร!J515+พิษณุโลก!J515+เพชรบูรณ์!J515+แพร่!J515+แม่ฮ่องสอน!J515+ลำปาง!J515+ลำพูน!J515+สุโขทัย!J515+อุตรดิตถ์!J515+อุทัยธานี!J515</f>
        <v>0</v>
      </c>
      <c r="K515" s="49">
        <f t="shared" ca="1" si="45"/>
        <v>0</v>
      </c>
      <c r="L515" s="61"/>
      <c r="M515" s="61"/>
      <c r="N515" s="61"/>
    </row>
    <row r="516" spans="1:14" ht="21.75" customHeight="1" x14ac:dyDescent="0.4">
      <c r="A516" s="55"/>
      <c r="B516" s="56"/>
      <c r="C516" s="56"/>
      <c r="D516" s="73"/>
      <c r="E516" s="77"/>
      <c r="F516" s="75"/>
      <c r="G516" s="334" t="s">
        <v>207</v>
      </c>
      <c r="H516" s="60" t="s">
        <v>103</v>
      </c>
      <c r="I516" s="67">
        <v>0</v>
      </c>
      <c r="J516" s="68">
        <f>กำแพงเพชร!J516+เชียงราย!J516+เชียงใหม่!J516+ตาก!J516+นครสวรรค์!J516+น่าน!J516+พะเยา!J516+พิจิตร!J516+พิษณุโลก!J516+เพชรบูรณ์!J516+แพร่!J516+แม่ฮ่องสอน!J516+ลำปาง!J516+ลำพูน!J516+สุโขทัย!J516+อุตรดิตถ์!J516+อุทัยธานี!J516</f>
        <v>0</v>
      </c>
      <c r="K516" s="49">
        <f t="shared" ca="1" si="45"/>
        <v>0</v>
      </c>
      <c r="L516" s="61"/>
      <c r="M516" s="61"/>
      <c r="N516" s="61"/>
    </row>
    <row r="517" spans="1:14" ht="21.75" customHeight="1" x14ac:dyDescent="0.4">
      <c r="A517" s="55"/>
      <c r="B517" s="56"/>
      <c r="C517" s="56"/>
      <c r="D517" s="73"/>
      <c r="E517" s="77"/>
      <c r="F517" s="75"/>
      <c r="G517" s="99" t="s">
        <v>209</v>
      </c>
      <c r="H517" s="60" t="s">
        <v>103</v>
      </c>
      <c r="I517" s="67">
        <v>0</v>
      </c>
      <c r="J517" s="67">
        <f>กำแพงเพชร!J517+เชียงราย!J517+เชียงใหม่!J517+ตาก!J517+นครสวรรค์!J517+น่าน!J517+พะเยา!J517+พิจิตร!J517+พิษณุโลก!J517+เพชรบูรณ์!J517+แพร่!J517+แม่ฮ่องสอน!J517+ลำปาง!J517+ลำพูน!J517+สุโขทัย!J517+อุตรดิตถ์!J517+อุทัยธานี!J517</f>
        <v>100</v>
      </c>
      <c r="K517" s="49">
        <f t="shared" ca="1" si="45"/>
        <v>2.5018764073054789</v>
      </c>
      <c r="L517" s="61"/>
      <c r="M517" s="61"/>
      <c r="N517" s="61"/>
    </row>
    <row r="518" spans="1:14" ht="21.75" customHeight="1" x14ac:dyDescent="0.4">
      <c r="A518" s="55"/>
      <c r="B518" s="56"/>
      <c r="C518" s="56"/>
      <c r="D518" s="73"/>
      <c r="E518" s="77"/>
      <c r="F518" s="75"/>
      <c r="G518" s="334" t="s">
        <v>210</v>
      </c>
      <c r="H518" s="60" t="s">
        <v>103</v>
      </c>
      <c r="I518" s="67">
        <v>0</v>
      </c>
      <c r="J518" s="68">
        <f>กำแพงเพชร!J518+เชียงราย!J518+เชียงใหม่!J518+ตาก!J518+นครสวรรค์!J518+น่าน!J518+พะเยา!J518+พิจิตร!J518+พิษณุโลก!J518+เพชรบูรณ์!J518+แพร่!J518+แม่ฮ่องสอน!J518+ลำปาง!J518+ลำพูน!J518+สุโขทัย!J518+อุตรดิตถ์!J518+อุทัยธานี!J518</f>
        <v>0</v>
      </c>
      <c r="K518" s="49">
        <f t="shared" ca="1" si="45"/>
        <v>0</v>
      </c>
      <c r="L518" s="61"/>
      <c r="M518" s="61"/>
      <c r="N518" s="61"/>
    </row>
    <row r="519" spans="1:14" ht="21.75" customHeight="1" x14ac:dyDescent="0.4">
      <c r="A519" s="55"/>
      <c r="B519" s="56"/>
      <c r="C519" s="56"/>
      <c r="D519" s="73"/>
      <c r="E519" s="77"/>
      <c r="F519" s="75"/>
      <c r="G519" s="334" t="s">
        <v>211</v>
      </c>
      <c r="H519" s="60" t="s">
        <v>103</v>
      </c>
      <c r="I519" s="67">
        <v>0</v>
      </c>
      <c r="J519" s="68">
        <f>กำแพงเพชร!J519+เชียงราย!J519+เชียงใหม่!J519+ตาก!J519+นครสวรรค์!J519+น่าน!J519+พะเยา!J519+พิจิตร!J519+พิษณุโลก!J519+เพชรบูรณ์!J519+แพร่!J519+แม่ฮ่องสอน!J519+ลำปาง!J519+ลำพูน!J519+สุโขทัย!J519+อุตรดิตถ์!J519+อุทัยธานี!J519</f>
        <v>100</v>
      </c>
      <c r="K519" s="49">
        <f t="shared" ca="1" si="45"/>
        <v>2.5018764073054789</v>
      </c>
      <c r="L519" s="61"/>
      <c r="M519" s="61"/>
      <c r="N519" s="61"/>
    </row>
    <row r="520" spans="1:14" ht="21.75" customHeight="1" x14ac:dyDescent="0.4">
      <c r="A520" s="335" t="s">
        <v>212</v>
      </c>
      <c r="B520" s="336"/>
      <c r="C520" s="336"/>
      <c r="D520" s="336"/>
      <c r="E520" s="336"/>
      <c r="F520" s="336"/>
      <c r="G520" s="337"/>
      <c r="H520" s="338"/>
      <c r="I520" s="339"/>
      <c r="J520" s="339"/>
      <c r="K520" s="340"/>
      <c r="L520" s="340"/>
      <c r="M520" s="340"/>
      <c r="N520" s="341"/>
    </row>
    <row r="521" spans="1:14" ht="21.75" customHeight="1" x14ac:dyDescent="0.4">
      <c r="A521" s="316"/>
      <c r="B521" s="45" t="s">
        <v>213</v>
      </c>
      <c r="C521" s="43"/>
      <c r="D521" s="51"/>
      <c r="E521" s="45"/>
      <c r="F521" s="45"/>
      <c r="G521" s="46"/>
      <c r="H521" s="342" t="s">
        <v>20</v>
      </c>
      <c r="I521" s="200">
        <f ca="1">กำแพงเพชร!I521+เชียงราย!I521+เชียงใหม่!I521+ตาก!I521+นครสวรรค์!I521+น่าน!I521+พะเยา!I521+พิจิตร!I521+พิษณุโลก!I521+เพชรบูรณ์!I521+แพร่!I521+แม่ฮ่องสอน!I521+ลำปาง!I521+ลำพูน!I521+สุโขทัย!I521+อุตรดิตถ์!I521+อุทัยธานี!I521</f>
        <v>104074459.58999999</v>
      </c>
      <c r="J521" s="200">
        <f ca="1">กำแพงเพชร!J521+เชียงราย!J521+เชียงใหม่!J521+ตาก!J521+นครสวรรค์!J521+น่าน!J521+พะเยา!J521+พิจิตร!J521+พิษณุโลก!J521+เพชรบูรณ์!J521+แพร่!J521+แม่ฮ่องสอน!J521+ลำปาง!J521+ลำพูน!J521+สุโขทัย!J521+อุตรดิตถ์!J521+อุทัยธานี!J521</f>
        <v>143355.79</v>
      </c>
      <c r="K521" s="201">
        <f t="shared" ref="K521:K528" ca="1" si="46">IF(I521&gt;0,J521*100/I521,0)</f>
        <v>0.13774348727319682</v>
      </c>
      <c r="L521" s="201"/>
      <c r="M521" s="201"/>
      <c r="N521" s="53"/>
    </row>
    <row r="522" spans="1:14" ht="21.75" customHeight="1" x14ac:dyDescent="0.4">
      <c r="A522" s="316"/>
      <c r="B522" s="43"/>
      <c r="C522" s="43"/>
      <c r="D522" s="51"/>
      <c r="E522" s="45"/>
      <c r="F522" s="45"/>
      <c r="G522" s="46"/>
      <c r="H522" s="342" t="s">
        <v>16</v>
      </c>
      <c r="I522" s="200">
        <f ca="1">กำแพงเพชร!I522+เชียงราย!I522+เชียงใหม่!I522+ตาก!I522+นครสวรรค์!I522+น่าน!I522+พะเยา!I522+พิจิตร!I522+พิษณุโลก!I522+เพชรบูรณ์!I522+แพร่!I522+แม่ฮ่องสอน!I522+ลำปาง!I522+ลำพูน!I522+สุโขทัย!I522+อุตรดิตถ์!I522+อุทัยธานี!I522</f>
        <v>4861</v>
      </c>
      <c r="J522" s="200">
        <f ca="1">กำแพงเพชร!J522+เชียงราย!J522+เชียงใหม่!J522+ตาก!J522+นครสวรรค์!J522+น่าน!J522+พะเยา!J522+พิจิตร!J522+พิษณุโลก!J522+เพชรบูรณ์!J522+แพร่!J522+แม่ฮ่องสอน!J522+ลำปาง!J522+ลำพูน!J522+สุโขทัย!J522+อุตรดิตถ์!J522+อุทัยธานี!J522</f>
        <v>13</v>
      </c>
      <c r="K522" s="201">
        <f t="shared" ca="1" si="46"/>
        <v>0.26743468422135364</v>
      </c>
      <c r="L522" s="201"/>
      <c r="M522" s="201"/>
      <c r="N522" s="53"/>
    </row>
    <row r="523" spans="1:14" ht="21.75" customHeight="1" x14ac:dyDescent="0.4">
      <c r="A523" s="316"/>
      <c r="B523" s="45" t="s">
        <v>214</v>
      </c>
      <c r="C523" s="43"/>
      <c r="D523" s="51"/>
      <c r="E523" s="45"/>
      <c r="F523" s="45"/>
      <c r="G523" s="46"/>
      <c r="H523" s="342" t="s">
        <v>20</v>
      </c>
      <c r="I523" s="200">
        <f ca="1">กำแพงเพชร!I523+เชียงราย!I523+เชียงใหม่!I523+ตาก!I523+นครสวรรค์!I523+น่าน!I523+พะเยา!I523+พิจิตร!I523+พิษณุโลก!I523+เพชรบูรณ์!I523+แพร่!I523+แม่ฮ่องสอน!I523+ลำปาง!I523+ลำพูน!I523+สุโขทัย!I523+อุตรดิตถ์!I523+อุทัยธานี!I523</f>
        <v>127467733.01999995</v>
      </c>
      <c r="J523" s="200">
        <f ca="1">กำแพงเพชร!J523+เชียงราย!J523+เชียงใหม่!J523+ตาก!J523+นครสวรรค์!J523+น่าน!J523+พะเยา!J523+พิจิตร!J523+พิษณุโลก!J523+เพชรบูรณ์!J523+แพร่!J523+แม่ฮ่องสอน!J523+ลำปาง!J523+ลำพูน!J523+สุโขทัย!J523+อุตรดิตถ์!J523+อุทัยธานี!J523</f>
        <v>1022289.7200000001</v>
      </c>
      <c r="K523" s="201">
        <f t="shared" ca="1" si="46"/>
        <v>0.80199882415701296</v>
      </c>
      <c r="L523" s="201"/>
      <c r="M523" s="201"/>
      <c r="N523" s="53"/>
    </row>
    <row r="524" spans="1:14" ht="21.75" customHeight="1" x14ac:dyDescent="0.4">
      <c r="A524" s="316"/>
      <c r="B524" s="43"/>
      <c r="C524" s="43"/>
      <c r="D524" s="51"/>
      <c r="E524" s="45"/>
      <c r="F524" s="45"/>
      <c r="G524" s="46"/>
      <c r="H524" s="342" t="s">
        <v>16</v>
      </c>
      <c r="I524" s="200">
        <f ca="1">กำแพงเพชร!I524+เชียงราย!I524+เชียงใหม่!I524+ตาก!I524+นครสวรรค์!I524+น่าน!I524+พะเยา!I524+พิจิตร!I524+พิษณุโลก!I524+เพชรบูรณ์!I524+แพร่!I524+แม่ฮ่องสอน!I524+ลำปาง!I524+ลำพูน!I524+สุโขทัย!I524+อุตรดิตถ์!I524+อุทัยธานี!I524</f>
        <v>4654</v>
      </c>
      <c r="J524" s="200">
        <f ca="1">กำแพงเพชร!J524+เชียงราย!J524+เชียงใหม่!J524+ตาก!J524+นครสวรรค์!J524+น่าน!J524+พะเยา!J524+พิจิตร!J524+พิษณุโลก!J524+เพชรบูรณ์!J524+แพร่!J524+แม่ฮ่องสอน!J524+ลำปาง!J524+ลำพูน!J524+สุโขทัย!J524+อุตรดิตถ์!J524+อุทัยธานี!J524</f>
        <v>153</v>
      </c>
      <c r="K524" s="201">
        <f t="shared" ca="1" si="46"/>
        <v>3.2874946282767512</v>
      </c>
      <c r="L524" s="201"/>
      <c r="M524" s="201"/>
      <c r="N524" s="53"/>
    </row>
    <row r="525" spans="1:14" ht="21.75" customHeight="1" x14ac:dyDescent="0.4">
      <c r="A525" s="316"/>
      <c r="B525" s="45" t="s">
        <v>215</v>
      </c>
      <c r="C525" s="43"/>
      <c r="D525" s="51"/>
      <c r="E525" s="45"/>
      <c r="F525" s="45"/>
      <c r="G525" s="46"/>
      <c r="H525" s="342" t="s">
        <v>20</v>
      </c>
      <c r="I525" s="200">
        <f ca="1">กำแพงเพชร!I525+เชียงราย!I525+เชียงใหม่!I525+ตาก!I525+นครสวรรค์!I525+น่าน!I525+พะเยา!I525+พิจิตร!I525+พิษณุโลก!I525+เพชรบูรณ์!I525+แพร่!I525+แม่ฮ่องสอน!I525+ลำปาง!I525+ลำพูน!I525+สุโขทัย!I525+อุตรดิตถ์!I525+อุทัยธานี!I525</f>
        <v>66972577.629999995</v>
      </c>
      <c r="J525" s="200">
        <f ca="1">กำแพงเพชร!J525+เชียงราย!J525+เชียงใหม่!J525+ตาก!J525+นครสวรรค์!J525+น่าน!J525+พะเยา!J525+พิจิตร!J525+พิษณุโลก!J525+เพชรบูรณ์!J525+แพร่!J525+แม่ฮ่องสอน!J525+ลำปาง!J525+ลำพูน!J525+สุโขทัย!J525+อุตรดิตถ์!J525+อุทัยธานี!J525</f>
        <v>1394607.76</v>
      </c>
      <c r="K525" s="201">
        <f t="shared" ca="1" si="46"/>
        <v>2.0823564051912693</v>
      </c>
      <c r="L525" s="201"/>
      <c r="M525" s="201"/>
      <c r="N525" s="53"/>
    </row>
    <row r="526" spans="1:14" ht="21.75" customHeight="1" x14ac:dyDescent="0.4">
      <c r="A526" s="316"/>
      <c r="B526" s="45"/>
      <c r="C526" s="43"/>
      <c r="D526" s="51"/>
      <c r="E526" s="45"/>
      <c r="F526" s="45"/>
      <c r="G526" s="46"/>
      <c r="H526" s="342" t="s">
        <v>16</v>
      </c>
      <c r="I526" s="200">
        <f ca="1">กำแพงเพชร!I526+เชียงราย!I526+เชียงใหม่!I526+ตาก!I526+นครสวรรค์!I526+น่าน!I526+พะเยา!I526+พิจิตร!I526+พิษณุโลก!I526+เพชรบูรณ์!I526+แพร่!I526+แม่ฮ่องสอน!I526+ลำปาง!I526+ลำพูน!I526+สุโขทัย!I526+อุตรดิตถ์!I526+อุทัยธานี!I526</f>
        <v>3632</v>
      </c>
      <c r="J526" s="200">
        <f ca="1">กำแพงเพชร!J526+เชียงราย!J526+เชียงใหม่!J526+ตาก!J526+นครสวรรค์!J526+น่าน!J526+พะเยา!J526+พิจิตร!J526+พิษณุโลก!J526+เพชรบูรณ์!J526+แพร่!J526+แม่ฮ่องสอน!J526+ลำปาง!J526+ลำพูน!J526+สุโขทัย!J526+อุตรดิตถ์!J526+อุทัยธานี!J526</f>
        <v>114</v>
      </c>
      <c r="K526" s="201">
        <f t="shared" ca="1" si="46"/>
        <v>3.1387665198237884</v>
      </c>
      <c r="L526" s="201"/>
      <c r="M526" s="201"/>
      <c r="N526" s="53"/>
    </row>
    <row r="527" spans="1:14" ht="21.75" customHeight="1" x14ac:dyDescent="0.4">
      <c r="A527" s="316"/>
      <c r="B527" s="45" t="s">
        <v>216</v>
      </c>
      <c r="C527" s="43"/>
      <c r="D527" s="51"/>
      <c r="E527" s="45"/>
      <c r="F527" s="45"/>
      <c r="G527" s="46"/>
      <c r="H527" s="342" t="s">
        <v>20</v>
      </c>
      <c r="I527" s="200">
        <f ca="1">กำแพงเพชร!I527+เชียงราย!I527+เชียงใหม่!I527+ตาก!I527+นครสวรรค์!I527+น่าน!I527+พะเยา!I527+พิจิตร!I527+พิษณุโลก!I527+เพชรบูรณ์!I527+แพร่!I527+แม่ฮ่องสอน!I527+ลำปาง!I527+ลำพูน!I527+สุโขทัย!I527+อุตรดิตถ์!I527+อุทัยธานี!I527</f>
        <v>84535000</v>
      </c>
      <c r="J527" s="200">
        <f ca="1">กำแพงเพชร!J527+เชียงราย!J527+เชียงใหม่!J527+ตาก!J527+นครสวรรค์!J527+น่าน!J527+พะเยา!J527+พิจิตร!J527+พิษณุโลก!J527+เพชรบูรณ์!J527+แพร่!J527+แม่ฮ่องสอน!J527+ลำปาง!J527+ลำพูน!J527+สุโขทัย!J527+อุตรดิตถ์!J527+อุทัยธานี!J527</f>
        <v>0</v>
      </c>
      <c r="K527" s="201">
        <f t="shared" ca="1" si="46"/>
        <v>0</v>
      </c>
      <c r="L527" s="201"/>
      <c r="M527" s="201"/>
      <c r="N527" s="53"/>
    </row>
    <row r="528" spans="1:14" ht="21.75" customHeight="1" x14ac:dyDescent="0.4">
      <c r="A528" s="317"/>
      <c r="B528" s="319"/>
      <c r="C528" s="319"/>
      <c r="D528" s="318"/>
      <c r="E528" s="343"/>
      <c r="F528" s="343"/>
      <c r="G528" s="344"/>
      <c r="H528" s="345" t="s">
        <v>16</v>
      </c>
      <c r="I528" s="322">
        <f ca="1">กำแพงเพชร!I528+เชียงราย!I528+เชียงใหม่!I528+ตาก!I528+นครสวรรค์!I528+น่าน!I528+พะเยา!I528+พิจิตร!I528+พิษณุโลก!I528+เพชรบูรณ์!I528+แพร่!I528+แม่ฮ่องสอน!I528+ลำปาง!I528+ลำพูน!I528+สุโขทัย!I528+อุตรดิตถ์!I528+อุทัยธานี!I528</f>
        <v>2519</v>
      </c>
      <c r="J528" s="322">
        <f ca="1">กำแพงเพชร!J528+เชียงราย!J528+เชียงใหม่!J528+ตาก!J528+นครสวรรค์!J528+น่าน!J528+พะเยา!J528+พิจิตร!J528+พิษณุโลก!J528+เพชรบูรณ์!J528+แพร่!J528+แม่ฮ่องสอน!J528+ลำปาง!J528+ลำพูน!J528+สุโขทัย!J528+อุตรดิตถ์!J528+อุทัยธานี!J528</f>
        <v>0</v>
      </c>
      <c r="K528" s="323">
        <f t="shared" ca="1" si="46"/>
        <v>0</v>
      </c>
      <c r="L528" s="323"/>
      <c r="M528" s="323"/>
      <c r="N528" s="346"/>
    </row>
    <row r="529" spans="1:14" ht="21.75" customHeight="1" x14ac:dyDescent="0.4">
      <c r="A529" s="347"/>
      <c r="B529" s="347"/>
      <c r="C529" s="347"/>
      <c r="D529" s="347"/>
      <c r="E529" s="348" t="s">
        <v>217</v>
      </c>
      <c r="F529" s="348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&amp;P/&amp;N&amp;R&amp;F</oddFooter>
  </headerFooter>
  <rowBreaks count="7" manualBreakCount="7">
    <brk id="65" max="16383" man="1"/>
    <brk id="128" max="16383" man="1"/>
    <brk id="197" max="16383" man="1"/>
    <brk id="274" max="16383" man="1"/>
    <brk id="329" max="16383" man="1"/>
    <brk id="389" max="16383" man="1"/>
    <brk id="456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L18" sqref="L18"/>
      <selection pane="bottomLeft" activeCell="L18" sqref="L18"/>
    </sheetView>
  </sheetViews>
  <sheetFormatPr defaultColWidth="12.625" defaultRowHeight="15" customHeight="1" x14ac:dyDescent="0.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4">
      <c r="A1" s="403" t="s">
        <v>0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</row>
    <row r="2" spans="1:14" ht="18" customHeight="1" x14ac:dyDescent="0.4">
      <c r="A2" s="403" t="s">
        <v>237</v>
      </c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404"/>
    </row>
    <row r="3" spans="1:14" ht="18" customHeight="1" x14ac:dyDescent="0.4">
      <c r="A3" s="403" t="s">
        <v>249</v>
      </c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04"/>
    </row>
    <row r="4" spans="1:14" ht="33.75" customHeight="1" x14ac:dyDescent="0.4">
      <c r="A4" s="2"/>
      <c r="B4" s="2"/>
      <c r="C4" s="2"/>
      <c r="D4" s="2"/>
      <c r="E4" s="2"/>
      <c r="F4" s="2"/>
      <c r="G4" s="2"/>
      <c r="H4" s="2"/>
      <c r="I4" s="2"/>
      <c r="J4" s="354" t="s">
        <v>2</v>
      </c>
      <c r="K4" s="4"/>
      <c r="L4" s="5"/>
      <c r="M4" s="355" t="s">
        <v>3</v>
      </c>
      <c r="N4" s="2"/>
    </row>
    <row r="5" spans="1:14" ht="21.75" customHeight="1" x14ac:dyDescent="0.55000000000000004">
      <c r="A5" s="405" t="s">
        <v>4</v>
      </c>
      <c r="B5" s="406"/>
      <c r="C5" s="406"/>
      <c r="D5" s="406"/>
      <c r="E5" s="406"/>
      <c r="F5" s="406"/>
      <c r="G5" s="407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2728130</v>
      </c>
      <c r="M6" s="16">
        <f t="shared" si="0"/>
        <v>151573.85999999999</v>
      </c>
      <c r="N6" s="17">
        <f ca="1">IF(L6&gt;0,M6*100/L6,0)</f>
        <v>5.5559617760150717</v>
      </c>
    </row>
    <row r="7" spans="1:14" ht="21.75" customHeight="1" x14ac:dyDescent="0.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3</v>
      </c>
      <c r="J9" s="38">
        <f t="shared" si="1"/>
        <v>0</v>
      </c>
      <c r="K9" s="41">
        <f t="shared" ref="K9:K10" ca="1" si="2">IF(I9&gt;0,J9*100/I9,0)</f>
        <v>0</v>
      </c>
      <c r="L9" s="40">
        <f ca="1">L11+L12</f>
        <v>1646600</v>
      </c>
      <c r="M9" s="40">
        <f>SUM(M11:M12)</f>
        <v>21266.86</v>
      </c>
      <c r="N9" s="41">
        <f ca="1">IF(L9&gt;0,M9*100/L9,0)</f>
        <v>1.2915620065589699</v>
      </c>
    </row>
    <row r="10" spans="1:14" ht="21.75" customHeight="1" x14ac:dyDescent="0.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188</v>
      </c>
      <c r="J10" s="38">
        <f t="shared" si="3"/>
        <v>0</v>
      </c>
      <c r="K10" s="41">
        <f t="shared" ca="1" si="2"/>
        <v>0</v>
      </c>
      <c r="L10" s="40"/>
      <c r="M10" s="40"/>
      <c r="N10" s="41"/>
    </row>
    <row r="11" spans="1:14" ht="21.75" customHeight="1" x14ac:dyDescent="0.4">
      <c r="A11" s="42"/>
      <c r="B11" s="43"/>
      <c r="C11" s="43" t="s">
        <v>17</v>
      </c>
      <c r="D11" s="44" t="s">
        <v>18</v>
      </c>
      <c r="E11" s="45"/>
      <c r="F11" s="45"/>
      <c r="G11" s="46" t="s">
        <v>19</v>
      </c>
      <c r="H11" s="47" t="s">
        <v>20</v>
      </c>
      <c r="I11" s="48" t="s">
        <v>21</v>
      </c>
      <c r="J11" s="48"/>
      <c r="K11" s="49"/>
      <c r="L11" s="50">
        <v>0</v>
      </c>
      <c r="M11" s="50">
        <v>0</v>
      </c>
      <c r="N11" s="50">
        <f t="shared" ref="N11:N14" si="4">+IF(L11&gt;0,M11*100/L11,0)</f>
        <v>0</v>
      </c>
    </row>
    <row r="12" spans="1:14" ht="21.75" customHeight="1" x14ac:dyDescent="0.4">
      <c r="A12" s="42"/>
      <c r="B12" s="43"/>
      <c r="C12" s="43"/>
      <c r="D12" s="51"/>
      <c r="E12" s="45"/>
      <c r="F12" s="45" t="s">
        <v>21</v>
      </c>
      <c r="G12" s="46" t="s">
        <v>22</v>
      </c>
      <c r="H12" s="47" t="s">
        <v>20</v>
      </c>
      <c r="I12" s="48"/>
      <c r="J12" s="48"/>
      <c r="K12" s="49"/>
      <c r="L12" s="53">
        <f ca="1">IFERROR(__xludf.DUMMYFUNCTION("IMPORTRANGE(""https://docs.google.com/spreadsheets/d/1C3CXT74ZlgGe6_JY_1olB1XN4rF0dxEuIIF-xsYjHgg/edit?usp=sharing"",""พรบ!C28"")"),1646600)</f>
        <v>1646600</v>
      </c>
      <c r="M12" s="50">
        <f>SUM(M13:M14)</f>
        <v>21266.86</v>
      </c>
      <c r="N12" s="50">
        <f t="shared" ca="1" si="4"/>
        <v>1.2915620065589699</v>
      </c>
    </row>
    <row r="13" spans="1:14" ht="21.75" customHeight="1" x14ac:dyDescent="0.4">
      <c r="A13" s="42"/>
      <c r="B13" s="43"/>
      <c r="C13" s="43"/>
      <c r="D13" s="51"/>
      <c r="E13" s="45"/>
      <c r="F13" s="45"/>
      <c r="G13" s="52" t="s">
        <v>23</v>
      </c>
      <c r="H13" s="47" t="s">
        <v>20</v>
      </c>
      <c r="I13" s="48"/>
      <c r="J13" s="48"/>
      <c r="K13" s="49"/>
      <c r="L13" s="53">
        <f ca="1">IFERROR(__xludf.DUMMYFUNCTION("IMPORTRANGE(""https://docs.google.com/spreadsheets/d/1C3CXT74ZlgGe6_JY_1olB1XN4rF0dxEuIIF-xsYjHgg/edit?usp=sharing"",""พรบ!D28"")"),192000)</f>
        <v>192000</v>
      </c>
      <c r="M13" s="54">
        <v>0</v>
      </c>
      <c r="N13" s="53">
        <f t="shared" ca="1" si="4"/>
        <v>0</v>
      </c>
    </row>
    <row r="14" spans="1:14" ht="21.75" customHeight="1" x14ac:dyDescent="0.4">
      <c r="A14" s="42"/>
      <c r="B14" s="43"/>
      <c r="C14" s="43"/>
      <c r="D14" s="51"/>
      <c r="E14" s="45"/>
      <c r="F14" s="45"/>
      <c r="G14" s="52" t="s">
        <v>24</v>
      </c>
      <c r="H14" s="47" t="s">
        <v>20</v>
      </c>
      <c r="I14" s="48"/>
      <c r="J14" s="48"/>
      <c r="K14" s="49"/>
      <c r="L14" s="53">
        <f ca="1">IFERROR(__xludf.DUMMYFUNCTION("IMPORTRANGE(""https://docs.google.com/spreadsheets/d/1C3CXT74ZlgGe6_JY_1olB1XN4rF0dxEuIIF-xsYjHgg/edit?usp=sharing"",""พรบ!E28"")"),1454600)</f>
        <v>1454600</v>
      </c>
      <c r="M14" s="54">
        <v>21266.86</v>
      </c>
      <c r="N14" s="53">
        <f t="shared" ca="1" si="4"/>
        <v>1.4620417984325589</v>
      </c>
    </row>
    <row r="15" spans="1:14" ht="21.75" customHeight="1" x14ac:dyDescent="0.4">
      <c r="A15" s="55"/>
      <c r="B15" s="56"/>
      <c r="C15" s="43" t="s">
        <v>17</v>
      </c>
      <c r="D15" s="57" t="s">
        <v>25</v>
      </c>
      <c r="E15" s="58"/>
      <c r="F15" s="58"/>
      <c r="G15" s="59"/>
      <c r="H15" s="60"/>
      <c r="I15" s="48"/>
      <c r="J15" s="48"/>
      <c r="K15" s="49"/>
      <c r="L15" s="61"/>
      <c r="M15" s="61"/>
      <c r="N15" s="61"/>
    </row>
    <row r="16" spans="1:14" ht="21.75" customHeight="1" x14ac:dyDescent="0.4">
      <c r="A16" s="55"/>
      <c r="B16" s="56"/>
      <c r="C16" s="56"/>
      <c r="D16" s="62">
        <v>1</v>
      </c>
      <c r="E16" s="63" t="s">
        <v>26</v>
      </c>
      <c r="F16" s="64"/>
      <c r="G16" s="65"/>
      <c r="H16" s="66"/>
      <c r="I16" s="67"/>
      <c r="J16" s="68">
        <v>0</v>
      </c>
      <c r="K16" s="49"/>
      <c r="L16" s="61"/>
      <c r="M16" s="61"/>
      <c r="N16" s="61"/>
    </row>
    <row r="17" spans="1:14" ht="21.75" customHeight="1" x14ac:dyDescent="0.4">
      <c r="A17" s="55"/>
      <c r="B17" s="56"/>
      <c r="C17" s="56"/>
      <c r="D17" s="69">
        <v>2</v>
      </c>
      <c r="E17" s="70" t="s">
        <v>27</v>
      </c>
      <c r="F17" s="71"/>
      <c r="G17" s="72"/>
      <c r="H17" s="66"/>
      <c r="I17" s="67"/>
      <c r="J17" s="68">
        <v>1</v>
      </c>
      <c r="K17" s="49"/>
      <c r="L17" s="61" t="s">
        <v>21</v>
      </c>
      <c r="M17" s="61" t="s">
        <v>21</v>
      </c>
      <c r="N17" s="61"/>
    </row>
    <row r="18" spans="1:14" ht="21.75" customHeight="1" x14ac:dyDescent="0.4">
      <c r="A18" s="55"/>
      <c r="B18" s="56"/>
      <c r="C18" s="56"/>
      <c r="D18" s="73"/>
      <c r="E18" s="74" t="s">
        <v>28</v>
      </c>
      <c r="F18" s="75"/>
      <c r="G18" s="76"/>
      <c r="H18" s="66"/>
      <c r="I18" s="67"/>
      <c r="J18" s="68">
        <v>1</v>
      </c>
      <c r="K18" s="49"/>
      <c r="L18" s="61"/>
      <c r="M18" s="61"/>
      <c r="N18" s="61"/>
    </row>
    <row r="19" spans="1:14" ht="21.75" customHeight="1" x14ac:dyDescent="0.4">
      <c r="A19" s="55"/>
      <c r="B19" s="56"/>
      <c r="C19" s="56"/>
      <c r="D19" s="73"/>
      <c r="E19" s="74" t="s">
        <v>29</v>
      </c>
      <c r="F19" s="75"/>
      <c r="G19" s="76"/>
      <c r="H19" s="66"/>
      <c r="I19" s="67"/>
      <c r="J19" s="68">
        <v>1</v>
      </c>
      <c r="K19" s="49"/>
      <c r="L19" s="61"/>
      <c r="M19" s="61"/>
      <c r="N19" s="61"/>
    </row>
    <row r="20" spans="1:14" ht="21.75" customHeight="1" x14ac:dyDescent="0.4">
      <c r="A20" s="55"/>
      <c r="B20" s="56"/>
      <c r="C20" s="56"/>
      <c r="D20" s="73"/>
      <c r="E20" s="77"/>
      <c r="F20" s="74" t="s">
        <v>30</v>
      </c>
      <c r="G20" s="75"/>
      <c r="H20" s="78" t="s">
        <v>15</v>
      </c>
      <c r="I20" s="79">
        <f t="shared" ref="I20:J20" ca="1" si="5">+I22+I24+I26</f>
        <v>3</v>
      </c>
      <c r="J20" s="79">
        <f t="shared" si="5"/>
        <v>0</v>
      </c>
      <c r="K20" s="80">
        <f t="shared" ref="K20:K28" ca="1" si="6">IF(I20&gt;0,J20*100/I20,0)</f>
        <v>0</v>
      </c>
      <c r="L20" s="61"/>
      <c r="M20" s="61"/>
      <c r="N20" s="61"/>
    </row>
    <row r="21" spans="1:14" ht="21.75" customHeight="1" x14ac:dyDescent="0.4">
      <c r="A21" s="55"/>
      <c r="B21" s="56"/>
      <c r="C21" s="56"/>
      <c r="D21" s="73"/>
      <c r="E21" s="77"/>
      <c r="F21" s="75"/>
      <c r="G21" s="76"/>
      <c r="H21" s="78" t="s">
        <v>16</v>
      </c>
      <c r="I21" s="79">
        <f t="shared" ref="I21:J21" ca="1" si="7">+I23+I25+I27</f>
        <v>188</v>
      </c>
      <c r="J21" s="79">
        <f t="shared" si="7"/>
        <v>0</v>
      </c>
      <c r="K21" s="80">
        <f t="shared" ca="1" si="6"/>
        <v>0</v>
      </c>
      <c r="L21" s="61"/>
      <c r="M21" s="61"/>
      <c r="N21" s="61"/>
    </row>
    <row r="22" spans="1:14" ht="21.75" customHeight="1" x14ac:dyDescent="0.4">
      <c r="A22" s="55"/>
      <c r="B22" s="56"/>
      <c r="C22" s="56"/>
      <c r="D22" s="73"/>
      <c r="E22" s="77"/>
      <c r="F22" s="75"/>
      <c r="G22" s="75" t="s">
        <v>31</v>
      </c>
      <c r="H22" s="60" t="s">
        <v>15</v>
      </c>
      <c r="I22" s="48">
        <f ca="1">IFERROR(__xludf.DUMMYFUNCTION("IMPORTRANGE(""https://docs.google.com/spreadsheets/d/1C3CXT74ZlgGe6_JY_1olB1XN4rF0dxEuIIF-xsYjHgg/edit?usp=sharing"",""พรบ!H28"")"),0)</f>
        <v>0</v>
      </c>
      <c r="J22" s="67">
        <v>0</v>
      </c>
      <c r="K22" s="49">
        <f t="shared" ca="1" si="6"/>
        <v>0</v>
      </c>
      <c r="L22" s="61"/>
      <c r="M22" s="61"/>
      <c r="N22" s="61"/>
    </row>
    <row r="23" spans="1:14" ht="21.75" customHeight="1" x14ac:dyDescent="0.4">
      <c r="A23" s="55"/>
      <c r="B23" s="56"/>
      <c r="C23" s="56"/>
      <c r="D23" s="73"/>
      <c r="E23" s="77"/>
      <c r="F23" s="75"/>
      <c r="G23" s="76"/>
      <c r="H23" s="60" t="s">
        <v>16</v>
      </c>
      <c r="I23" s="48">
        <f ca="1">IFERROR(__xludf.DUMMYFUNCTION("IMPORTRANGE(""https://docs.google.com/spreadsheets/d/1C3CXT74ZlgGe6_JY_1olB1XN4rF0dxEuIIF-xsYjHgg/edit?usp=sharing"",""พรบ!I28"")"),0)</f>
        <v>0</v>
      </c>
      <c r="J23" s="67">
        <v>0</v>
      </c>
      <c r="K23" s="49">
        <f t="shared" ca="1" si="6"/>
        <v>0</v>
      </c>
      <c r="L23" s="61"/>
      <c r="M23" s="61"/>
      <c r="N23" s="61"/>
    </row>
    <row r="24" spans="1:14" ht="21.75" customHeight="1" x14ac:dyDescent="0.4">
      <c r="A24" s="55"/>
      <c r="B24" s="56"/>
      <c r="C24" s="56"/>
      <c r="D24" s="73"/>
      <c r="E24" s="77"/>
      <c r="F24" s="75"/>
      <c r="G24" s="75" t="s">
        <v>32</v>
      </c>
      <c r="H24" s="60" t="s">
        <v>15</v>
      </c>
      <c r="I24" s="48">
        <f ca="1">IFERROR(__xludf.DUMMYFUNCTION("IMPORTRANGE(""https://docs.google.com/spreadsheets/d/1C3CXT74ZlgGe6_JY_1olB1XN4rF0dxEuIIF-xsYjHgg/edit?usp=sharing"",""พรบ!J28"")"),0)</f>
        <v>0</v>
      </c>
      <c r="J24" s="67">
        <v>0</v>
      </c>
      <c r="K24" s="49">
        <f t="shared" ca="1" si="6"/>
        <v>0</v>
      </c>
      <c r="L24" s="61"/>
      <c r="M24" s="61"/>
      <c r="N24" s="61"/>
    </row>
    <row r="25" spans="1:14" ht="21.75" customHeight="1" x14ac:dyDescent="0.4">
      <c r="A25" s="55"/>
      <c r="B25" s="56"/>
      <c r="C25" s="56"/>
      <c r="D25" s="73"/>
      <c r="E25" s="77"/>
      <c r="F25" s="75"/>
      <c r="G25" s="76"/>
      <c r="H25" s="60" t="s">
        <v>16</v>
      </c>
      <c r="I25" s="48">
        <f ca="1">IFERROR(__xludf.DUMMYFUNCTION("IMPORTRANGE(""https://docs.google.com/spreadsheets/d/1C3CXT74ZlgGe6_JY_1olB1XN4rF0dxEuIIF-xsYjHgg/edit?usp=sharing"",""พรบ!K28"")"),0)</f>
        <v>0</v>
      </c>
      <c r="J25" s="67">
        <v>0</v>
      </c>
      <c r="K25" s="49">
        <f t="shared" ca="1" si="6"/>
        <v>0</v>
      </c>
      <c r="L25" s="61"/>
      <c r="M25" s="61"/>
      <c r="N25" s="61"/>
    </row>
    <row r="26" spans="1:14" ht="21.75" customHeight="1" x14ac:dyDescent="0.4">
      <c r="A26" s="55"/>
      <c r="B26" s="56"/>
      <c r="C26" s="56"/>
      <c r="D26" s="73"/>
      <c r="E26" s="77"/>
      <c r="F26" s="75"/>
      <c r="G26" s="75" t="s">
        <v>33</v>
      </c>
      <c r="H26" s="60" t="s">
        <v>15</v>
      </c>
      <c r="I26" s="48">
        <f ca="1">IFERROR(__xludf.DUMMYFUNCTION("IMPORTRANGE(""https://docs.google.com/spreadsheets/d/1C3CXT74ZlgGe6_JY_1olB1XN4rF0dxEuIIF-xsYjHgg/edit?usp=sharing"",""พรบ!L28"")"),3)</f>
        <v>3</v>
      </c>
      <c r="J26" s="68">
        <v>0</v>
      </c>
      <c r="K26" s="49">
        <f t="shared" ca="1" si="6"/>
        <v>0</v>
      </c>
      <c r="L26" s="61"/>
      <c r="M26" s="61"/>
      <c r="N26" s="61"/>
    </row>
    <row r="27" spans="1:14" ht="21.75" customHeight="1" x14ac:dyDescent="0.4">
      <c r="A27" s="55"/>
      <c r="B27" s="56"/>
      <c r="C27" s="56"/>
      <c r="D27" s="73"/>
      <c r="E27" s="77"/>
      <c r="F27" s="75"/>
      <c r="G27" s="76"/>
      <c r="H27" s="60" t="s">
        <v>16</v>
      </c>
      <c r="I27" s="48">
        <f ca="1">IFERROR(__xludf.DUMMYFUNCTION("IMPORTRANGE(""https://docs.google.com/spreadsheets/d/1C3CXT74ZlgGe6_JY_1olB1XN4rF0dxEuIIF-xsYjHgg/edit?usp=sharing"",""พรบ!M28"")"),188)</f>
        <v>188</v>
      </c>
      <c r="J27" s="68">
        <v>0</v>
      </c>
      <c r="K27" s="49">
        <f t="shared" ca="1" si="6"/>
        <v>0</v>
      </c>
      <c r="L27" s="61"/>
      <c r="M27" s="61"/>
      <c r="N27" s="61"/>
    </row>
    <row r="28" spans="1:14" ht="21.75" customHeight="1" x14ac:dyDescent="0.4">
      <c r="A28" s="55"/>
      <c r="B28" s="56"/>
      <c r="C28" s="56"/>
      <c r="D28" s="73"/>
      <c r="E28" s="77"/>
      <c r="F28" s="74" t="s">
        <v>34</v>
      </c>
      <c r="G28" s="75"/>
      <c r="H28" s="60" t="s">
        <v>16</v>
      </c>
      <c r="I28" s="48">
        <f ca="1">IFERROR(__xludf.DUMMYFUNCTION("IMPORTRANGE(""https://docs.google.com/spreadsheets/d/1C3CXT74ZlgGe6_JY_1olB1XN4rF0dxEuIIF-xsYjHgg/edit?usp=sharing"",""พรบ!N28"")"),0)</f>
        <v>0</v>
      </c>
      <c r="J28" s="67">
        <v>0</v>
      </c>
      <c r="K28" s="49">
        <f t="shared" ca="1" si="6"/>
        <v>0</v>
      </c>
      <c r="L28" s="61"/>
      <c r="M28" s="61"/>
      <c r="N28" s="61"/>
    </row>
    <row r="29" spans="1:14" ht="21.75" customHeight="1" x14ac:dyDescent="0.4">
      <c r="A29" s="55"/>
      <c r="B29" s="56"/>
      <c r="C29" s="56"/>
      <c r="D29" s="73"/>
      <c r="E29" s="74" t="s">
        <v>35</v>
      </c>
      <c r="F29" s="75"/>
      <c r="G29" s="76"/>
      <c r="H29" s="66"/>
      <c r="I29" s="67"/>
      <c r="J29" s="68">
        <v>0</v>
      </c>
      <c r="K29" s="49"/>
      <c r="L29" s="61"/>
      <c r="M29" s="61"/>
      <c r="N29" s="61"/>
    </row>
    <row r="30" spans="1:14" ht="21.75" customHeight="1" x14ac:dyDescent="0.4">
      <c r="A30" s="55"/>
      <c r="B30" s="56"/>
      <c r="C30" s="56"/>
      <c r="D30" s="81">
        <v>3</v>
      </c>
      <c r="E30" s="82" t="s">
        <v>36</v>
      </c>
      <c r="F30" s="83"/>
      <c r="G30" s="84"/>
      <c r="H30" s="66"/>
      <c r="I30" s="67"/>
      <c r="J30" s="85">
        <v>0</v>
      </c>
      <c r="K30" s="49"/>
      <c r="L30" s="61"/>
      <c r="M30" s="61"/>
      <c r="N30" s="61"/>
    </row>
    <row r="31" spans="1:14" ht="21.75" customHeight="1" x14ac:dyDescent="0.4">
      <c r="A31" s="86" t="s">
        <v>37</v>
      </c>
      <c r="B31" s="87"/>
      <c r="C31" s="88"/>
      <c r="D31" s="87"/>
      <c r="E31" s="89"/>
      <c r="F31" s="89"/>
      <c r="G31" s="90"/>
      <c r="H31" s="91"/>
      <c r="I31" s="92"/>
      <c r="J31" s="92"/>
      <c r="K31" s="93"/>
      <c r="L31" s="94"/>
      <c r="M31" s="94"/>
      <c r="N31" s="95"/>
    </row>
    <row r="32" spans="1:14" ht="21.75" customHeight="1" x14ac:dyDescent="0.4">
      <c r="A32" s="34"/>
      <c r="B32" s="35" t="s">
        <v>38</v>
      </c>
      <c r="C32" s="35"/>
      <c r="D32" s="36"/>
      <c r="E32" s="35"/>
      <c r="F32" s="35"/>
      <c r="G32" s="96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41">
        <f t="shared" ref="K32:K33" ca="1" si="9">IF(I32&gt;0,J32*100/I32,0)</f>
        <v>0</v>
      </c>
      <c r="L32" s="97">
        <f ca="1">L34+L35</f>
        <v>0</v>
      </c>
      <c r="M32" s="97">
        <f>SUM(M34:M35)</f>
        <v>0</v>
      </c>
      <c r="N32" s="41">
        <f ca="1">IF(L32&gt;0,M32*100/L32,0)</f>
        <v>0</v>
      </c>
    </row>
    <row r="33" spans="1:14" ht="21.75" customHeight="1" x14ac:dyDescent="0.4">
      <c r="A33" s="34"/>
      <c r="B33" s="35"/>
      <c r="C33" s="35"/>
      <c r="D33" s="36" t="s">
        <v>39</v>
      </c>
      <c r="E33" s="35"/>
      <c r="F33" s="35"/>
      <c r="G33" s="96"/>
      <c r="H33" s="37" t="s">
        <v>40</v>
      </c>
      <c r="I33" s="38">
        <f ca="1">I48</f>
        <v>0</v>
      </c>
      <c r="J33" s="38">
        <f>+J48</f>
        <v>0</v>
      </c>
      <c r="K33" s="41">
        <f t="shared" ca="1" si="9"/>
        <v>0</v>
      </c>
      <c r="L33" s="97"/>
      <c r="M33" s="97"/>
      <c r="N33" s="41"/>
    </row>
    <row r="34" spans="1:14" ht="21.75" customHeight="1" x14ac:dyDescent="0.4">
      <c r="A34" s="42"/>
      <c r="B34" s="43"/>
      <c r="C34" s="43" t="s">
        <v>17</v>
      </c>
      <c r="D34" s="44" t="s">
        <v>18</v>
      </c>
      <c r="E34" s="45"/>
      <c r="F34" s="45"/>
      <c r="G34" s="46" t="s">
        <v>19</v>
      </c>
      <c r="H34" s="47" t="s">
        <v>20</v>
      </c>
      <c r="I34" s="48" t="s">
        <v>21</v>
      </c>
      <c r="J34" s="48"/>
      <c r="K34" s="49"/>
      <c r="L34" s="53">
        <v>0</v>
      </c>
      <c r="M34" s="50">
        <v>0</v>
      </c>
      <c r="N34" s="50">
        <f t="shared" ref="N34:N37" si="10">+IF(L34&gt;0,M34*100/L34,0)</f>
        <v>0</v>
      </c>
    </row>
    <row r="35" spans="1:14" ht="21.75" customHeight="1" x14ac:dyDescent="0.4">
      <c r="A35" s="42"/>
      <c r="B35" s="43"/>
      <c r="C35" s="43"/>
      <c r="D35" s="51"/>
      <c r="E35" s="45"/>
      <c r="F35" s="45" t="s">
        <v>21</v>
      </c>
      <c r="G35" s="46" t="s">
        <v>22</v>
      </c>
      <c r="H35" s="47" t="s">
        <v>20</v>
      </c>
      <c r="I35" s="48"/>
      <c r="J35" s="48"/>
      <c r="K35" s="49"/>
      <c r="L35" s="53">
        <f ca="1">IFERROR(__xludf.DUMMYFUNCTION("IMPORTRANGE(""https://docs.google.com/spreadsheets/d/1C3CXT74ZlgGe6_JY_1olB1XN4rF0dxEuIIF-xsYjHgg/edit?usp=sharing"",""พรบ!O28"")"),0)</f>
        <v>0</v>
      </c>
      <c r="M35" s="50">
        <f>SUM(M36:M37)</f>
        <v>0</v>
      </c>
      <c r="N35" s="50">
        <f t="shared" ca="1" si="10"/>
        <v>0</v>
      </c>
    </row>
    <row r="36" spans="1:14" ht="21.75" customHeight="1" x14ac:dyDescent="0.4">
      <c r="A36" s="42"/>
      <c r="B36" s="43"/>
      <c r="C36" s="43"/>
      <c r="D36" s="51"/>
      <c r="E36" s="45"/>
      <c r="F36" s="45"/>
      <c r="G36" s="52" t="s">
        <v>23</v>
      </c>
      <c r="H36" s="47" t="s">
        <v>20</v>
      </c>
      <c r="I36" s="48"/>
      <c r="J36" s="48"/>
      <c r="K36" s="49"/>
      <c r="L36" s="53">
        <f ca="1">IFERROR(__xludf.DUMMYFUNCTION("IMPORTRANGE(""https://docs.google.com/spreadsheets/d/1C3CXT74ZlgGe6_JY_1olB1XN4rF0dxEuIIF-xsYjHgg/edit?usp=sharing"",""พรบ!P28"")"),0)</f>
        <v>0</v>
      </c>
      <c r="M36" s="53">
        <v>0</v>
      </c>
      <c r="N36" s="53">
        <f t="shared" ca="1" si="10"/>
        <v>0</v>
      </c>
    </row>
    <row r="37" spans="1:14" ht="21.75" customHeight="1" x14ac:dyDescent="0.4">
      <c r="A37" s="42"/>
      <c r="B37" s="43"/>
      <c r="C37" s="43"/>
      <c r="D37" s="51"/>
      <c r="E37" s="45"/>
      <c r="F37" s="45"/>
      <c r="G37" s="52" t="s">
        <v>24</v>
      </c>
      <c r="H37" s="47" t="s">
        <v>20</v>
      </c>
      <c r="I37" s="48"/>
      <c r="J37" s="67"/>
      <c r="K37" s="233"/>
      <c r="L37" s="53">
        <f ca="1">IFERROR(__xludf.DUMMYFUNCTION("IMPORTRANGE(""https://docs.google.com/spreadsheets/d/1C3CXT74ZlgGe6_JY_1olB1XN4rF0dxEuIIF-xsYjHgg/edit?usp=sharing"",""พรบ!Q28"")"),0)</f>
        <v>0</v>
      </c>
      <c r="M37" s="53">
        <v>0</v>
      </c>
      <c r="N37" s="53">
        <f t="shared" ca="1" si="10"/>
        <v>0</v>
      </c>
    </row>
    <row r="38" spans="1:14" ht="21.75" customHeight="1" x14ac:dyDescent="0.4">
      <c r="A38" s="55"/>
      <c r="B38" s="56"/>
      <c r="C38" s="43" t="s">
        <v>17</v>
      </c>
      <c r="D38" s="57" t="s">
        <v>25</v>
      </c>
      <c r="E38" s="58"/>
      <c r="F38" s="58"/>
      <c r="G38" s="59"/>
      <c r="H38" s="60"/>
      <c r="I38" s="48"/>
      <c r="J38" s="67"/>
      <c r="K38" s="233"/>
      <c r="L38" s="53"/>
      <c r="M38" s="53"/>
      <c r="N38" s="61"/>
    </row>
    <row r="39" spans="1:14" ht="21.75" customHeight="1" x14ac:dyDescent="0.4">
      <c r="A39" s="55"/>
      <c r="B39" s="56"/>
      <c r="C39" s="56"/>
      <c r="D39" s="62">
        <v>1</v>
      </c>
      <c r="E39" s="63" t="s">
        <v>26</v>
      </c>
      <c r="F39" s="64"/>
      <c r="G39" s="65"/>
      <c r="H39" s="66"/>
      <c r="I39" s="67"/>
      <c r="J39" s="67">
        <v>0</v>
      </c>
      <c r="K39" s="233"/>
      <c r="L39" s="53"/>
      <c r="M39" s="53"/>
      <c r="N39" s="61"/>
    </row>
    <row r="40" spans="1:14" ht="21.75" customHeight="1" x14ac:dyDescent="0.4">
      <c r="A40" s="55"/>
      <c r="B40" s="56"/>
      <c r="C40" s="56"/>
      <c r="D40" s="69">
        <v>2</v>
      </c>
      <c r="E40" s="70" t="s">
        <v>27</v>
      </c>
      <c r="F40" s="71"/>
      <c r="G40" s="72"/>
      <c r="H40" s="66"/>
      <c r="I40" s="67"/>
      <c r="J40" s="67">
        <v>0</v>
      </c>
      <c r="K40" s="233"/>
      <c r="L40" s="53" t="s">
        <v>21</v>
      </c>
      <c r="M40" s="53" t="s">
        <v>21</v>
      </c>
      <c r="N40" s="61"/>
    </row>
    <row r="41" spans="1:14" ht="21.75" customHeight="1" x14ac:dyDescent="0.4">
      <c r="A41" s="55"/>
      <c r="B41" s="56"/>
      <c r="C41" s="56"/>
      <c r="D41" s="73"/>
      <c r="E41" s="74" t="s">
        <v>28</v>
      </c>
      <c r="F41" s="75"/>
      <c r="G41" s="76"/>
      <c r="H41" s="66"/>
      <c r="I41" s="67"/>
      <c r="J41" s="67">
        <v>0</v>
      </c>
      <c r="K41" s="233"/>
      <c r="L41" s="53"/>
      <c r="M41" s="53"/>
      <c r="N41" s="61"/>
    </row>
    <row r="42" spans="1:14" ht="21.75" customHeight="1" x14ac:dyDescent="0.4">
      <c r="A42" s="55"/>
      <c r="B42" s="56"/>
      <c r="C42" s="56"/>
      <c r="D42" s="73"/>
      <c r="E42" s="74" t="s">
        <v>29</v>
      </c>
      <c r="F42" s="75"/>
      <c r="G42" s="76"/>
      <c r="H42" s="66"/>
      <c r="I42" s="67"/>
      <c r="J42" s="67">
        <v>0</v>
      </c>
      <c r="K42" s="233"/>
      <c r="L42" s="53"/>
      <c r="M42" s="53"/>
      <c r="N42" s="61"/>
    </row>
    <row r="43" spans="1:14" ht="21.75" customHeight="1" x14ac:dyDescent="0.4">
      <c r="A43" s="55"/>
      <c r="B43" s="56"/>
      <c r="C43" s="56"/>
      <c r="D43" s="73"/>
      <c r="E43" s="75"/>
      <c r="F43" s="75" t="s">
        <v>41</v>
      </c>
      <c r="G43" s="75"/>
      <c r="H43" s="60" t="s">
        <v>42</v>
      </c>
      <c r="I43" s="48">
        <f ca="1">IFERROR(__xludf.DUMMYFUNCTION("IMPORTRANGE(""https://docs.google.com/spreadsheets/d/1C3CXT74ZlgGe6_JY_1olB1XN4rF0dxEuIIF-xsYjHgg/edit?usp=sharing"",""พรบ!R28"")"),0)</f>
        <v>0</v>
      </c>
      <c r="J43" s="67">
        <v>0</v>
      </c>
      <c r="K43" s="233">
        <f t="shared" ref="K43:K48" ca="1" si="11">IF(I43&gt;0,J43*100/I43,0)</f>
        <v>0</v>
      </c>
      <c r="L43" s="53"/>
      <c r="M43" s="53"/>
      <c r="N43" s="61"/>
    </row>
    <row r="44" spans="1:14" ht="21.75" customHeight="1" x14ac:dyDescent="0.4">
      <c r="A44" s="55"/>
      <c r="B44" s="56"/>
      <c r="C44" s="56"/>
      <c r="D44" s="73"/>
      <c r="E44" s="77"/>
      <c r="F44" s="74" t="s">
        <v>43</v>
      </c>
      <c r="G44" s="75"/>
      <c r="H44" s="60" t="s">
        <v>16</v>
      </c>
      <c r="I44" s="48">
        <f ca="1">IFERROR(__xludf.DUMMYFUNCTION("IMPORTRANGE(""https://docs.google.com/spreadsheets/d/1C3CXT74ZlgGe6_JY_1olB1XN4rF0dxEuIIF-xsYjHgg/edit?usp=sharing"",""พรบ!S28"")"),0)</f>
        <v>0</v>
      </c>
      <c r="J44" s="67">
        <v>0</v>
      </c>
      <c r="K44" s="233">
        <f t="shared" ca="1" si="11"/>
        <v>0</v>
      </c>
      <c r="L44" s="53"/>
      <c r="M44" s="53"/>
      <c r="N44" s="61"/>
    </row>
    <row r="45" spans="1:14" ht="21.75" customHeight="1" x14ac:dyDescent="0.4">
      <c r="A45" s="55"/>
      <c r="B45" s="56"/>
      <c r="C45" s="56"/>
      <c r="D45" s="73"/>
      <c r="E45" s="77"/>
      <c r="F45" s="75"/>
      <c r="G45" s="98" t="s">
        <v>44</v>
      </c>
      <c r="H45" s="60" t="s">
        <v>16</v>
      </c>
      <c r="I45" s="48">
        <f ca="1">IFERROR(__xludf.DUMMYFUNCTION("IMPORTRANGE(""https://docs.google.com/spreadsheets/d/1C3CXT74ZlgGe6_JY_1olB1XN4rF0dxEuIIF-xsYjHgg/edit?usp=sharing"",""พรบ!T28"")"),0)</f>
        <v>0</v>
      </c>
      <c r="J45" s="67">
        <v>0</v>
      </c>
      <c r="K45" s="233">
        <f t="shared" ca="1" si="11"/>
        <v>0</v>
      </c>
      <c r="L45" s="53"/>
      <c r="M45" s="53"/>
      <c r="N45" s="61"/>
    </row>
    <row r="46" spans="1:14" ht="21.75" customHeight="1" x14ac:dyDescent="0.4">
      <c r="A46" s="55"/>
      <c r="B46" s="56"/>
      <c r="C46" s="56"/>
      <c r="D46" s="73"/>
      <c r="E46" s="77"/>
      <c r="F46" s="75"/>
      <c r="G46" s="98" t="s">
        <v>45</v>
      </c>
      <c r="H46" s="60" t="s">
        <v>16</v>
      </c>
      <c r="I46" s="48">
        <f ca="1">IFERROR(__xludf.DUMMYFUNCTION("IMPORTRANGE(""https://docs.google.com/spreadsheets/d/1C3CXT74ZlgGe6_JY_1olB1XN4rF0dxEuIIF-xsYjHgg/edit?usp=sharing"",""พรบ!U28"")"),0)</f>
        <v>0</v>
      </c>
      <c r="J46" s="67">
        <v>0</v>
      </c>
      <c r="K46" s="233">
        <f t="shared" ca="1" si="11"/>
        <v>0</v>
      </c>
      <c r="L46" s="53"/>
      <c r="M46" s="53"/>
      <c r="N46" s="61"/>
    </row>
    <row r="47" spans="1:14" ht="21.75" customHeight="1" x14ac:dyDescent="0.4">
      <c r="A47" s="55"/>
      <c r="B47" s="56"/>
      <c r="C47" s="56"/>
      <c r="D47" s="73"/>
      <c r="E47" s="77"/>
      <c r="F47" s="75"/>
      <c r="G47" s="99" t="s">
        <v>46</v>
      </c>
      <c r="H47" s="60" t="s">
        <v>16</v>
      </c>
      <c r="I47" s="48">
        <f ca="1">IFERROR(__xludf.DUMMYFUNCTION("IMPORTRANGE(""https://docs.google.com/spreadsheets/d/1C3CXT74ZlgGe6_JY_1olB1XN4rF0dxEuIIF-xsYjHgg/edit?usp=sharing"",""พรบ!V28"")"),0)</f>
        <v>0</v>
      </c>
      <c r="J47" s="67">
        <v>0</v>
      </c>
      <c r="K47" s="233">
        <f t="shared" ca="1" si="11"/>
        <v>0</v>
      </c>
      <c r="L47" s="53"/>
      <c r="M47" s="53"/>
      <c r="N47" s="61"/>
    </row>
    <row r="48" spans="1:14" ht="21.75" customHeight="1" x14ac:dyDescent="0.4">
      <c r="A48" s="55"/>
      <c r="B48" s="56"/>
      <c r="C48" s="56"/>
      <c r="D48" s="73"/>
      <c r="E48" s="77"/>
      <c r="F48" s="75" t="s">
        <v>47</v>
      </c>
      <c r="G48" s="75"/>
      <c r="H48" s="60" t="s">
        <v>40</v>
      </c>
      <c r="I48" s="48">
        <f ca="1">IFERROR(__xludf.DUMMYFUNCTION("IMPORTRANGE(""https://docs.google.com/spreadsheets/d/1C3CXT74ZlgGe6_JY_1olB1XN4rF0dxEuIIF-xsYjHgg/edit?usp=sharing"",""พรบ!W28"")"),0)</f>
        <v>0</v>
      </c>
      <c r="J48" s="67">
        <v>0</v>
      </c>
      <c r="K48" s="233">
        <f t="shared" ca="1" si="11"/>
        <v>0</v>
      </c>
      <c r="L48" s="53"/>
      <c r="M48" s="53"/>
      <c r="N48" s="61"/>
    </row>
    <row r="49" spans="1:14" ht="21.75" customHeight="1" x14ac:dyDescent="0.4">
      <c r="A49" s="55"/>
      <c r="B49" s="56"/>
      <c r="C49" s="56"/>
      <c r="D49" s="73"/>
      <c r="E49" s="74" t="s">
        <v>35</v>
      </c>
      <c r="F49" s="75"/>
      <c r="G49" s="76"/>
      <c r="H49" s="66"/>
      <c r="I49" s="67"/>
      <c r="J49" s="67">
        <v>0</v>
      </c>
      <c r="K49" s="233"/>
      <c r="L49" s="53"/>
      <c r="M49" s="53"/>
      <c r="N49" s="61"/>
    </row>
    <row r="50" spans="1:14" ht="21.75" customHeight="1" x14ac:dyDescent="0.4">
      <c r="A50" s="55"/>
      <c r="B50" s="56"/>
      <c r="C50" s="56"/>
      <c r="D50" s="81">
        <v>3</v>
      </c>
      <c r="E50" s="82" t="s">
        <v>36</v>
      </c>
      <c r="F50" s="83"/>
      <c r="G50" s="84"/>
      <c r="H50" s="66"/>
      <c r="I50" s="67"/>
      <c r="J50" s="360">
        <v>0</v>
      </c>
      <c r="K50" s="233"/>
      <c r="L50" s="53"/>
      <c r="M50" s="53"/>
      <c r="N50" s="61"/>
    </row>
    <row r="51" spans="1:14" ht="21.75" customHeight="1" x14ac:dyDescent="0.4">
      <c r="A51" s="86" t="s">
        <v>48</v>
      </c>
      <c r="B51" s="100"/>
      <c r="C51" s="101"/>
      <c r="D51" s="100"/>
      <c r="E51" s="102"/>
      <c r="F51" s="102"/>
      <c r="G51" s="103"/>
      <c r="H51" s="91"/>
      <c r="I51" s="92"/>
      <c r="J51" s="92"/>
      <c r="K51" s="93"/>
      <c r="L51" s="94"/>
      <c r="M51" s="94"/>
      <c r="N51" s="95"/>
    </row>
    <row r="52" spans="1:14" ht="21.75" customHeight="1" x14ac:dyDescent="0.4">
      <c r="A52" s="34"/>
      <c r="B52" s="35" t="s">
        <v>49</v>
      </c>
      <c r="C52" s="104"/>
      <c r="D52" s="36"/>
      <c r="E52" s="35"/>
      <c r="F52" s="35"/>
      <c r="G52" s="96"/>
      <c r="H52" s="37" t="s">
        <v>16</v>
      </c>
      <c r="I52" s="38">
        <f ca="1">I62</f>
        <v>0</v>
      </c>
      <c r="J52" s="38">
        <f>+J62</f>
        <v>0</v>
      </c>
      <c r="K52" s="41">
        <f ca="1">IF(I52&gt;0,J52*100/I52,0)</f>
        <v>0</v>
      </c>
      <c r="L52" s="40">
        <f ca="1">L53+L54</f>
        <v>0</v>
      </c>
      <c r="M52" s="40">
        <f>SUM(M53:M54)</f>
        <v>0</v>
      </c>
      <c r="N52" s="41">
        <f ca="1">IF(L52&gt;0,M52*100/L52,0)</f>
        <v>0</v>
      </c>
    </row>
    <row r="53" spans="1:14" ht="21.75" customHeight="1" x14ac:dyDescent="0.4">
      <c r="A53" s="42"/>
      <c r="B53" s="43"/>
      <c r="C53" s="43" t="s">
        <v>17</v>
      </c>
      <c r="D53" s="44" t="s">
        <v>18</v>
      </c>
      <c r="E53" s="45"/>
      <c r="F53" s="45"/>
      <c r="G53" s="46" t="s">
        <v>19</v>
      </c>
      <c r="H53" s="47" t="s">
        <v>20</v>
      </c>
      <c r="I53" s="48" t="s">
        <v>21</v>
      </c>
      <c r="J53" s="48"/>
      <c r="K53" s="49"/>
      <c r="L53" s="50">
        <v>0</v>
      </c>
      <c r="M53" s="50">
        <v>0</v>
      </c>
      <c r="N53" s="50">
        <f t="shared" ref="N53:N56" si="12">+IF(L53&gt;0,M53*100/L53,0)</f>
        <v>0</v>
      </c>
    </row>
    <row r="54" spans="1:14" ht="21.75" customHeight="1" x14ac:dyDescent="0.4">
      <c r="A54" s="42"/>
      <c r="B54" s="43"/>
      <c r="C54" s="43"/>
      <c r="D54" s="51"/>
      <c r="E54" s="45"/>
      <c r="F54" s="45" t="s">
        <v>21</v>
      </c>
      <c r="G54" s="46" t="s">
        <v>22</v>
      </c>
      <c r="H54" s="47" t="s">
        <v>20</v>
      </c>
      <c r="I54" s="48"/>
      <c r="J54" s="48"/>
      <c r="K54" s="49"/>
      <c r="L54" s="50">
        <f t="shared" ref="L54:M54" ca="1" si="13">SUM(L55:L56)</f>
        <v>0</v>
      </c>
      <c r="M54" s="50">
        <f t="shared" si="13"/>
        <v>0</v>
      </c>
      <c r="N54" s="50">
        <f t="shared" ca="1" si="12"/>
        <v>0</v>
      </c>
    </row>
    <row r="55" spans="1:14" ht="21.75" customHeight="1" x14ac:dyDescent="0.4">
      <c r="A55" s="42"/>
      <c r="B55" s="43"/>
      <c r="C55" s="43"/>
      <c r="D55" s="51"/>
      <c r="E55" s="45"/>
      <c r="F55" s="45"/>
      <c r="G55" s="52" t="s">
        <v>23</v>
      </c>
      <c r="H55" s="47" t="s">
        <v>20</v>
      </c>
      <c r="I55" s="48"/>
      <c r="J55" s="67"/>
      <c r="K55" s="233"/>
      <c r="L55" s="53">
        <f ca="1">IFERROR(__xludf.DUMMYFUNCTION("IMPORTRANGE(""https://docs.google.com/spreadsheets/d/1C3CXT74ZlgGe6_JY_1olB1XN4rF0dxEuIIF-xsYjHgg/edit?usp=sharing"",""พรบ!Y28"")"),0)</f>
        <v>0</v>
      </c>
      <c r="M55" s="53">
        <v>0</v>
      </c>
      <c r="N55" s="53">
        <f t="shared" ca="1" si="12"/>
        <v>0</v>
      </c>
    </row>
    <row r="56" spans="1:14" ht="21.75" customHeight="1" x14ac:dyDescent="0.4">
      <c r="A56" s="42"/>
      <c r="B56" s="43"/>
      <c r="C56" s="43"/>
      <c r="D56" s="51"/>
      <c r="E56" s="45"/>
      <c r="F56" s="45"/>
      <c r="G56" s="52" t="s">
        <v>24</v>
      </c>
      <c r="H56" s="47" t="s">
        <v>20</v>
      </c>
      <c r="I56" s="48"/>
      <c r="J56" s="67"/>
      <c r="K56" s="233"/>
      <c r="L56" s="53">
        <f ca="1">IFERROR(__xludf.DUMMYFUNCTION("IMPORTRANGE(""https://docs.google.com/spreadsheets/d/1C3CXT74ZlgGe6_JY_1olB1XN4rF0dxEuIIF-xsYjHgg/edit?usp=sharing"",""พรบ!Z28"")"),0)</f>
        <v>0</v>
      </c>
      <c r="M56" s="53">
        <v>0</v>
      </c>
      <c r="N56" s="53">
        <f t="shared" ca="1" si="12"/>
        <v>0</v>
      </c>
    </row>
    <row r="57" spans="1:14" ht="21.75" customHeight="1" x14ac:dyDescent="0.4">
      <c r="A57" s="55"/>
      <c r="B57" s="56"/>
      <c r="C57" s="43" t="s">
        <v>17</v>
      </c>
      <c r="D57" s="57" t="s">
        <v>250</v>
      </c>
      <c r="E57" s="58"/>
      <c r="F57" s="58"/>
      <c r="G57" s="59"/>
      <c r="H57" s="60"/>
      <c r="I57" s="48"/>
      <c r="J57" s="67"/>
      <c r="K57" s="233"/>
      <c r="L57" s="53"/>
      <c r="M57" s="53"/>
      <c r="N57" s="61"/>
    </row>
    <row r="58" spans="1:14" ht="21.75" customHeight="1" x14ac:dyDescent="0.4">
      <c r="A58" s="55"/>
      <c r="B58" s="56"/>
      <c r="C58" s="56"/>
      <c r="D58" s="62">
        <v>1</v>
      </c>
      <c r="E58" s="63" t="s">
        <v>26</v>
      </c>
      <c r="F58" s="64"/>
      <c r="G58" s="65"/>
      <c r="H58" s="66"/>
      <c r="I58" s="67"/>
      <c r="J58" s="67">
        <v>0</v>
      </c>
      <c r="K58" s="233"/>
      <c r="L58" s="53"/>
      <c r="M58" s="53"/>
      <c r="N58" s="61"/>
    </row>
    <row r="59" spans="1:14" ht="21.75" customHeight="1" x14ac:dyDescent="0.4">
      <c r="A59" s="55"/>
      <c r="B59" s="56"/>
      <c r="C59" s="56"/>
      <c r="D59" s="69">
        <v>2</v>
      </c>
      <c r="E59" s="70" t="s">
        <v>27</v>
      </c>
      <c r="F59" s="71"/>
      <c r="G59" s="72"/>
      <c r="H59" s="66"/>
      <c r="I59" s="67"/>
      <c r="J59" s="67">
        <v>0</v>
      </c>
      <c r="K59" s="233"/>
      <c r="L59" s="53" t="s">
        <v>21</v>
      </c>
      <c r="M59" s="53" t="s">
        <v>21</v>
      </c>
      <c r="N59" s="61"/>
    </row>
    <row r="60" spans="1:14" ht="21.75" customHeight="1" x14ac:dyDescent="0.4">
      <c r="A60" s="55"/>
      <c r="B60" s="56"/>
      <c r="C60" s="56"/>
      <c r="D60" s="73"/>
      <c r="E60" s="74" t="s">
        <v>28</v>
      </c>
      <c r="F60" s="75"/>
      <c r="G60" s="76"/>
      <c r="H60" s="66"/>
      <c r="I60" s="67"/>
      <c r="J60" s="67">
        <v>0</v>
      </c>
      <c r="K60" s="233"/>
      <c r="L60" s="53"/>
      <c r="M60" s="53"/>
      <c r="N60" s="61"/>
    </row>
    <row r="61" spans="1:14" ht="21.75" customHeight="1" x14ac:dyDescent="0.4">
      <c r="A61" s="55"/>
      <c r="B61" s="56"/>
      <c r="C61" s="56"/>
      <c r="D61" s="73"/>
      <c r="E61" s="74" t="s">
        <v>29</v>
      </c>
      <c r="F61" s="75"/>
      <c r="G61" s="76"/>
      <c r="H61" s="66"/>
      <c r="I61" s="67"/>
      <c r="J61" s="67">
        <v>0</v>
      </c>
      <c r="K61" s="233"/>
      <c r="L61" s="53"/>
      <c r="M61" s="53"/>
      <c r="N61" s="61"/>
    </row>
    <row r="62" spans="1:14" ht="21.75" customHeight="1" x14ac:dyDescent="0.4">
      <c r="A62" s="55"/>
      <c r="B62" s="56"/>
      <c r="C62" s="56"/>
      <c r="D62" s="73"/>
      <c r="E62" s="77"/>
      <c r="F62" s="74" t="s">
        <v>50</v>
      </c>
      <c r="G62" s="76"/>
      <c r="H62" s="60" t="s">
        <v>16</v>
      </c>
      <c r="I62" s="67">
        <f ca="1">IFERROR(__xludf.DUMMYFUNCTION("IMPORTRANGE(""https://docs.google.com/spreadsheets/d/1C3CXT74ZlgGe6_JY_1olB1XN4rF0dxEuIIF-xsYjHgg/edit?usp=sharing"",""พรบ!AA28"")"),0)</f>
        <v>0</v>
      </c>
      <c r="J62" s="67">
        <v>0</v>
      </c>
      <c r="K62" s="233">
        <f t="shared" ref="K62:K63" ca="1" si="14">IF(I62&gt;0,J62*100/I62,0)</f>
        <v>0</v>
      </c>
      <c r="L62" s="53"/>
      <c r="M62" s="53"/>
      <c r="N62" s="61"/>
    </row>
    <row r="63" spans="1:14" ht="21.75" customHeight="1" x14ac:dyDescent="0.4">
      <c r="A63" s="55"/>
      <c r="B63" s="56"/>
      <c r="C63" s="56"/>
      <c r="D63" s="73"/>
      <c r="E63" s="77"/>
      <c r="F63" s="74" t="s">
        <v>51</v>
      </c>
      <c r="G63" s="76"/>
      <c r="H63" s="60" t="s">
        <v>16</v>
      </c>
      <c r="I63" s="67">
        <f ca="1">I62</f>
        <v>0</v>
      </c>
      <c r="J63" s="67">
        <v>0</v>
      </c>
      <c r="K63" s="233">
        <f t="shared" ca="1" si="14"/>
        <v>0</v>
      </c>
      <c r="L63" s="53"/>
      <c r="M63" s="53"/>
      <c r="N63" s="61"/>
    </row>
    <row r="64" spans="1:14" ht="21.75" customHeight="1" x14ac:dyDescent="0.4">
      <c r="A64" s="55"/>
      <c r="B64" s="56"/>
      <c r="C64" s="56"/>
      <c r="D64" s="73"/>
      <c r="E64" s="74" t="s">
        <v>35</v>
      </c>
      <c r="F64" s="75"/>
      <c r="G64" s="76"/>
      <c r="H64" s="66"/>
      <c r="I64" s="67"/>
      <c r="J64" s="67">
        <v>0</v>
      </c>
      <c r="K64" s="233"/>
      <c r="L64" s="53"/>
      <c r="M64" s="53"/>
      <c r="N64" s="61"/>
    </row>
    <row r="65" spans="1:14" ht="21.75" customHeight="1" x14ac:dyDescent="0.4">
      <c r="A65" s="105"/>
      <c r="B65" s="106"/>
      <c r="C65" s="106"/>
      <c r="D65" s="107">
        <v>3</v>
      </c>
      <c r="E65" s="108" t="s">
        <v>36</v>
      </c>
      <c r="F65" s="109"/>
      <c r="G65" s="110"/>
      <c r="H65" s="111"/>
      <c r="I65" s="112"/>
      <c r="J65" s="356">
        <v>0</v>
      </c>
      <c r="K65" s="357"/>
      <c r="L65" s="358"/>
      <c r="M65" s="358"/>
      <c r="N65" s="115"/>
    </row>
    <row r="66" spans="1:14" ht="21.75" customHeight="1" x14ac:dyDescent="0.4">
      <c r="A66" s="116" t="s">
        <v>52</v>
      </c>
      <c r="B66" s="117"/>
      <c r="C66" s="117"/>
      <c r="D66" s="117"/>
      <c r="E66" s="118"/>
      <c r="F66" s="118"/>
      <c r="G66" s="119"/>
      <c r="H66" s="120"/>
      <c r="I66" s="121"/>
      <c r="J66" s="121"/>
      <c r="K66" s="122"/>
      <c r="L66" s="123"/>
      <c r="M66" s="123"/>
      <c r="N66" s="123"/>
    </row>
    <row r="67" spans="1:14" ht="21.75" customHeight="1" x14ac:dyDescent="0.4">
      <c r="A67" s="124" t="s">
        <v>53</v>
      </c>
      <c r="B67" s="125"/>
      <c r="C67" s="125"/>
      <c r="D67" s="126"/>
      <c r="E67" s="126"/>
      <c r="F67" s="126"/>
      <c r="G67" s="127"/>
      <c r="H67" s="128"/>
      <c r="I67" s="129"/>
      <c r="J67" s="129"/>
      <c r="K67" s="130"/>
      <c r="L67" s="130"/>
      <c r="M67" s="130"/>
      <c r="N67" s="131"/>
    </row>
    <row r="68" spans="1:14" ht="21.75" customHeight="1" x14ac:dyDescent="0.4">
      <c r="A68" s="132"/>
      <c r="B68" s="133" t="s">
        <v>54</v>
      </c>
      <c r="C68" s="134"/>
      <c r="D68" s="133"/>
      <c r="E68" s="133"/>
      <c r="F68" s="133"/>
      <c r="G68" s="135"/>
      <c r="H68" s="136" t="s">
        <v>16</v>
      </c>
      <c r="I68" s="137">
        <f t="shared" ref="I68:J68" ca="1" si="15">I126+I129</f>
        <v>15</v>
      </c>
      <c r="J68" s="137">
        <f t="shared" si="15"/>
        <v>15</v>
      </c>
      <c r="K68" s="138">
        <f ca="1">IF(I68&gt;0,J68*100/I68,0)</f>
        <v>100</v>
      </c>
      <c r="L68" s="139">
        <f t="shared" ref="L68:M68" ca="1" si="16">SUM(L70:L71)</f>
        <v>348000</v>
      </c>
      <c r="M68" s="139">
        <f t="shared" si="16"/>
        <v>46511.55</v>
      </c>
      <c r="N68" s="138">
        <f ca="1">IF(L68&gt;0,M68*100/L68,0)</f>
        <v>13.365387931034483</v>
      </c>
    </row>
    <row r="69" spans="1:14" ht="21.75" customHeight="1" x14ac:dyDescent="0.4">
      <c r="A69" s="132"/>
      <c r="B69" s="133" t="s">
        <v>55</v>
      </c>
      <c r="C69" s="134"/>
      <c r="D69" s="133"/>
      <c r="E69" s="133"/>
      <c r="F69" s="133"/>
      <c r="G69" s="135"/>
      <c r="H69" s="136"/>
      <c r="I69" s="137"/>
      <c r="J69" s="137"/>
      <c r="K69" s="138"/>
      <c r="L69" s="139"/>
      <c r="M69" s="139"/>
      <c r="N69" s="138"/>
    </row>
    <row r="70" spans="1:14" ht="21.75" customHeight="1" x14ac:dyDescent="0.4">
      <c r="A70" s="42"/>
      <c r="B70" s="43"/>
      <c r="C70" s="43" t="s">
        <v>17</v>
      </c>
      <c r="D70" s="44" t="s">
        <v>18</v>
      </c>
      <c r="E70" s="45"/>
      <c r="F70" s="45"/>
      <c r="G70" s="46" t="s">
        <v>19</v>
      </c>
      <c r="H70" s="47" t="s">
        <v>20</v>
      </c>
      <c r="I70" s="48" t="s">
        <v>21</v>
      </c>
      <c r="J70" s="48"/>
      <c r="K70" s="49"/>
      <c r="L70" s="50">
        <v>0</v>
      </c>
      <c r="M70" s="50">
        <v>0</v>
      </c>
      <c r="N70" s="50">
        <f t="shared" ref="N70:N77" si="17">+IF(L70&gt;0,M70*100/L70,0)</f>
        <v>0</v>
      </c>
    </row>
    <row r="71" spans="1:14" ht="21.75" customHeight="1" x14ac:dyDescent="0.4">
      <c r="A71" s="42"/>
      <c r="B71" s="43"/>
      <c r="C71" s="43"/>
      <c r="D71" s="51"/>
      <c r="E71" s="45"/>
      <c r="F71" s="45" t="s">
        <v>21</v>
      </c>
      <c r="G71" s="46" t="s">
        <v>22</v>
      </c>
      <c r="H71" s="47" t="s">
        <v>20</v>
      </c>
      <c r="I71" s="48"/>
      <c r="J71" s="48"/>
      <c r="K71" s="49"/>
      <c r="L71" s="50">
        <f ca="1">L72+L73</f>
        <v>348000</v>
      </c>
      <c r="M71" s="140">
        <f>SUM(M72:M73)</f>
        <v>46511.55</v>
      </c>
      <c r="N71" s="50">
        <f t="shared" ca="1" si="17"/>
        <v>13.365387931034483</v>
      </c>
    </row>
    <row r="72" spans="1:14" ht="21.75" customHeight="1" x14ac:dyDescent="0.4">
      <c r="A72" s="42"/>
      <c r="B72" s="43"/>
      <c r="C72" s="43"/>
      <c r="D72" s="51"/>
      <c r="E72" s="45"/>
      <c r="F72" s="45"/>
      <c r="G72" s="52" t="s">
        <v>23</v>
      </c>
      <c r="H72" s="47" t="s">
        <v>20</v>
      </c>
      <c r="I72" s="48"/>
      <c r="J72" s="48"/>
      <c r="K72" s="49"/>
      <c r="L72" s="53">
        <f ca="1">IFERROR(__xludf.DUMMYFUNCTION("IMPORTRANGE(""https://docs.google.com/spreadsheets/d/1C3CXT74ZlgGe6_JY_1olB1XN4rF0dxEuIIF-xsYjHgg/edit?usp=sharing"",""พรบ!AD28"")"),264000)</f>
        <v>264000</v>
      </c>
      <c r="M72" s="54">
        <v>36971.550000000003</v>
      </c>
      <c r="N72" s="53">
        <f t="shared" ca="1" si="17"/>
        <v>14.004375000000001</v>
      </c>
    </row>
    <row r="73" spans="1:14" ht="21.75" customHeight="1" x14ac:dyDescent="0.4">
      <c r="A73" s="42"/>
      <c r="B73" s="43"/>
      <c r="C73" s="43"/>
      <c r="D73" s="51"/>
      <c r="E73" s="45"/>
      <c r="F73" s="45"/>
      <c r="G73" s="52" t="s">
        <v>24</v>
      </c>
      <c r="H73" s="47" t="s">
        <v>20</v>
      </c>
      <c r="I73" s="48"/>
      <c r="J73" s="48"/>
      <c r="K73" s="49"/>
      <c r="L73" s="53">
        <f t="shared" ref="L73:M73" ca="1" si="18">L77+L92+L104+L117+L132</f>
        <v>84000</v>
      </c>
      <c r="M73" s="53">
        <f t="shared" si="18"/>
        <v>9540</v>
      </c>
      <c r="N73" s="53">
        <f t="shared" ca="1" si="17"/>
        <v>11.357142857142858</v>
      </c>
    </row>
    <row r="74" spans="1:14" ht="21.75" customHeight="1" x14ac:dyDescent="0.4">
      <c r="A74" s="141"/>
      <c r="B74" s="142"/>
      <c r="C74" s="143" t="s">
        <v>56</v>
      </c>
      <c r="D74" s="143"/>
      <c r="E74" s="143"/>
      <c r="F74" s="143"/>
      <c r="G74" s="144"/>
      <c r="H74" s="145" t="s">
        <v>57</v>
      </c>
      <c r="I74" s="146">
        <f t="shared" ref="I74:J74" ca="1" si="19">I83</f>
        <v>4</v>
      </c>
      <c r="J74" s="146">
        <f t="shared" si="19"/>
        <v>1</v>
      </c>
      <c r="K74" s="147">
        <f ca="1">IF(I74&gt;0,J74*100/I74,0)</f>
        <v>25</v>
      </c>
      <c r="L74" s="148">
        <f ca="1">L75+L76</f>
        <v>7500</v>
      </c>
      <c r="M74" s="148">
        <f>SUM(M75:M76)</f>
        <v>0</v>
      </c>
      <c r="N74" s="148">
        <f t="shared" ca="1" si="17"/>
        <v>0</v>
      </c>
    </row>
    <row r="75" spans="1:14" ht="21.75" customHeight="1" x14ac:dyDescent="0.4">
      <c r="A75" s="42"/>
      <c r="B75" s="43"/>
      <c r="C75" s="43" t="s">
        <v>17</v>
      </c>
      <c r="D75" s="44" t="s">
        <v>18</v>
      </c>
      <c r="E75" s="45"/>
      <c r="F75" s="45"/>
      <c r="G75" s="46" t="s">
        <v>19</v>
      </c>
      <c r="H75" s="47" t="s">
        <v>20</v>
      </c>
      <c r="I75" s="48" t="s">
        <v>21</v>
      </c>
      <c r="J75" s="48"/>
      <c r="K75" s="49"/>
      <c r="L75" s="50">
        <v>0</v>
      </c>
      <c r="M75" s="50">
        <v>0</v>
      </c>
      <c r="N75" s="50">
        <f t="shared" si="17"/>
        <v>0</v>
      </c>
    </row>
    <row r="76" spans="1:14" ht="21.75" customHeight="1" x14ac:dyDescent="0.4">
      <c r="A76" s="42"/>
      <c r="B76" s="43"/>
      <c r="C76" s="43"/>
      <c r="D76" s="51"/>
      <c r="E76" s="45"/>
      <c r="F76" s="45" t="s">
        <v>21</v>
      </c>
      <c r="G76" s="46" t="s">
        <v>22</v>
      </c>
      <c r="H76" s="47" t="s">
        <v>20</v>
      </c>
      <c r="I76" s="48"/>
      <c r="J76" s="48"/>
      <c r="K76" s="49"/>
      <c r="L76" s="50">
        <f t="shared" ref="L76:M76" ca="1" si="20">L77</f>
        <v>7500</v>
      </c>
      <c r="M76" s="50">
        <f t="shared" si="20"/>
        <v>0</v>
      </c>
      <c r="N76" s="50">
        <f t="shared" ca="1" si="17"/>
        <v>0</v>
      </c>
    </row>
    <row r="77" spans="1:14" ht="21.75" customHeight="1" x14ac:dyDescent="0.4">
      <c r="A77" s="42"/>
      <c r="B77" s="43"/>
      <c r="C77" s="43"/>
      <c r="D77" s="51"/>
      <c r="E77" s="45"/>
      <c r="F77" s="45"/>
      <c r="G77" s="52" t="s">
        <v>24</v>
      </c>
      <c r="H77" s="47" t="s">
        <v>20</v>
      </c>
      <c r="I77" s="48"/>
      <c r="J77" s="48"/>
      <c r="K77" s="49"/>
      <c r="L77" s="53">
        <f ca="1">IFERROR(__xludf.DUMMYFUNCTION("IMPORTRANGE(""https://docs.google.com/spreadsheets/d/1C3CXT74ZlgGe6_JY_1olB1XN4rF0dxEuIIF-xsYjHgg/edit?usp=sharing"",""พรบ!AF28"")"),7500)</f>
        <v>7500</v>
      </c>
      <c r="M77" s="54">
        <v>0</v>
      </c>
      <c r="N77" s="53">
        <f t="shared" ca="1" si="17"/>
        <v>0</v>
      </c>
    </row>
    <row r="78" spans="1:14" ht="21.75" customHeight="1" x14ac:dyDescent="0.4">
      <c r="A78" s="55"/>
      <c r="B78" s="56"/>
      <c r="C78" s="43" t="s">
        <v>17</v>
      </c>
      <c r="D78" s="57" t="s">
        <v>25</v>
      </c>
      <c r="E78" s="58"/>
      <c r="F78" s="58"/>
      <c r="G78" s="59"/>
      <c r="H78" s="60"/>
      <c r="I78" s="48"/>
      <c r="J78" s="48"/>
      <c r="K78" s="49"/>
      <c r="L78" s="61"/>
      <c r="M78" s="61"/>
      <c r="N78" s="61"/>
    </row>
    <row r="79" spans="1:14" ht="21.75" customHeight="1" x14ac:dyDescent="0.4">
      <c r="A79" s="55"/>
      <c r="B79" s="56"/>
      <c r="C79" s="56"/>
      <c r="D79" s="62">
        <v>1</v>
      </c>
      <c r="E79" s="63" t="s">
        <v>26</v>
      </c>
      <c r="F79" s="64"/>
      <c r="G79" s="65"/>
      <c r="H79" s="66"/>
      <c r="I79" s="67"/>
      <c r="J79" s="68">
        <v>0</v>
      </c>
      <c r="K79" s="49"/>
      <c r="L79" s="61"/>
      <c r="M79" s="61"/>
      <c r="N79" s="61"/>
    </row>
    <row r="80" spans="1:14" ht="21.75" customHeight="1" x14ac:dyDescent="0.4">
      <c r="A80" s="55"/>
      <c r="B80" s="56"/>
      <c r="C80" s="56"/>
      <c r="D80" s="69">
        <v>2</v>
      </c>
      <c r="E80" s="70" t="s">
        <v>27</v>
      </c>
      <c r="F80" s="71"/>
      <c r="G80" s="72"/>
      <c r="H80" s="66"/>
      <c r="I80" s="67"/>
      <c r="J80" s="68">
        <v>1</v>
      </c>
      <c r="K80" s="49"/>
      <c r="L80" s="61" t="s">
        <v>21</v>
      </c>
      <c r="M80" s="61" t="s">
        <v>21</v>
      </c>
      <c r="N80" s="61"/>
    </row>
    <row r="81" spans="1:14" ht="21.75" customHeight="1" x14ac:dyDescent="0.4">
      <c r="A81" s="55"/>
      <c r="B81" s="56"/>
      <c r="C81" s="56"/>
      <c r="D81" s="73"/>
      <c r="E81" s="74" t="s">
        <v>28</v>
      </c>
      <c r="F81" s="75"/>
      <c r="G81" s="76"/>
      <c r="H81" s="66"/>
      <c r="I81" s="67"/>
      <c r="J81" s="68">
        <v>1</v>
      </c>
      <c r="K81" s="49"/>
      <c r="L81" s="61"/>
      <c r="M81" s="61"/>
      <c r="N81" s="61"/>
    </row>
    <row r="82" spans="1:14" ht="21.75" customHeight="1" x14ac:dyDescent="0.4">
      <c r="A82" s="55"/>
      <c r="B82" s="56"/>
      <c r="C82" s="56"/>
      <c r="D82" s="73"/>
      <c r="E82" s="74" t="s">
        <v>29</v>
      </c>
      <c r="F82" s="75"/>
      <c r="G82" s="76"/>
      <c r="H82" s="66"/>
      <c r="I82" s="67"/>
      <c r="J82" s="68">
        <v>1</v>
      </c>
      <c r="K82" s="49"/>
      <c r="L82" s="61"/>
      <c r="M82" s="61"/>
      <c r="N82" s="61"/>
    </row>
    <row r="83" spans="1:14" ht="21.75" customHeight="1" x14ac:dyDescent="0.4">
      <c r="A83" s="55"/>
      <c r="B83" s="56"/>
      <c r="C83" s="56"/>
      <c r="D83" s="73"/>
      <c r="E83" s="77"/>
      <c r="F83" s="74" t="s">
        <v>58</v>
      </c>
      <c r="G83" s="76"/>
      <c r="H83" s="60" t="s">
        <v>57</v>
      </c>
      <c r="I83" s="67">
        <f ca="1">IFERROR(__xludf.DUMMYFUNCTION("IMPORTRANGE(""https://docs.google.com/spreadsheets/d/1C3CXT74ZlgGe6_JY_1olB1XN4rF0dxEuIIF-xsYjHgg/edit?usp=sharing"",""พรบ!AG28"")"),4)</f>
        <v>4</v>
      </c>
      <c r="J83" s="68">
        <v>1</v>
      </c>
      <c r="K83" s="49">
        <f ca="1">IF(I83&gt;0,J83*100/I83,0)</f>
        <v>25</v>
      </c>
      <c r="L83" s="61"/>
      <c r="M83" s="61"/>
      <c r="N83" s="61"/>
    </row>
    <row r="84" spans="1:14" ht="21.75" customHeight="1" x14ac:dyDescent="0.4">
      <c r="A84" s="55"/>
      <c r="B84" s="56"/>
      <c r="C84" s="56"/>
      <c r="D84" s="73"/>
      <c r="E84" s="75"/>
      <c r="F84" s="75" t="s">
        <v>59</v>
      </c>
      <c r="G84" s="76"/>
      <c r="H84" s="66" t="s">
        <v>16</v>
      </c>
      <c r="I84" s="67"/>
      <c r="J84" s="67">
        <f>J85+J86</f>
        <v>100</v>
      </c>
      <c r="K84" s="49"/>
      <c r="L84" s="61"/>
      <c r="M84" s="61"/>
      <c r="N84" s="61"/>
    </row>
    <row r="85" spans="1:14" ht="21.75" customHeight="1" x14ac:dyDescent="0.4">
      <c r="A85" s="55"/>
      <c r="B85" s="56"/>
      <c r="C85" s="56"/>
      <c r="D85" s="73"/>
      <c r="E85" s="75"/>
      <c r="F85" s="75"/>
      <c r="G85" s="76" t="s">
        <v>60</v>
      </c>
      <c r="H85" s="66" t="s">
        <v>16</v>
      </c>
      <c r="I85" s="67"/>
      <c r="J85" s="68">
        <v>100</v>
      </c>
      <c r="K85" s="49"/>
      <c r="L85" s="61"/>
      <c r="M85" s="61"/>
      <c r="N85" s="61"/>
    </row>
    <row r="86" spans="1:14" ht="21.75" customHeight="1" x14ac:dyDescent="0.4">
      <c r="A86" s="55"/>
      <c r="B86" s="56"/>
      <c r="C86" s="56"/>
      <c r="D86" s="73"/>
      <c r="E86" s="75"/>
      <c r="F86" s="75"/>
      <c r="G86" s="76" t="s">
        <v>61</v>
      </c>
      <c r="H86" s="66" t="s">
        <v>16</v>
      </c>
      <c r="I86" s="67"/>
      <c r="J86" s="68">
        <v>0</v>
      </c>
      <c r="K86" s="49"/>
      <c r="L86" s="61"/>
      <c r="M86" s="61"/>
      <c r="N86" s="61"/>
    </row>
    <row r="87" spans="1:14" ht="21.75" customHeight="1" x14ac:dyDescent="0.4">
      <c r="A87" s="55"/>
      <c r="B87" s="56"/>
      <c r="C87" s="56"/>
      <c r="D87" s="73"/>
      <c r="E87" s="74" t="s">
        <v>35</v>
      </c>
      <c r="F87" s="75"/>
      <c r="G87" s="76"/>
      <c r="H87" s="66"/>
      <c r="I87" s="67"/>
      <c r="J87" s="68">
        <v>0</v>
      </c>
      <c r="K87" s="49"/>
      <c r="L87" s="61"/>
      <c r="M87" s="61"/>
      <c r="N87" s="61"/>
    </row>
    <row r="88" spans="1:14" ht="21.75" customHeight="1" x14ac:dyDescent="0.4">
      <c r="A88" s="55"/>
      <c r="B88" s="56"/>
      <c r="C88" s="56"/>
      <c r="D88" s="81">
        <v>3</v>
      </c>
      <c r="E88" s="82" t="s">
        <v>36</v>
      </c>
      <c r="F88" s="83"/>
      <c r="G88" s="84"/>
      <c r="H88" s="66"/>
      <c r="I88" s="67"/>
      <c r="J88" s="85">
        <v>0</v>
      </c>
      <c r="K88" s="49"/>
      <c r="L88" s="61"/>
      <c r="M88" s="61"/>
      <c r="N88" s="61"/>
    </row>
    <row r="89" spans="1:14" ht="21.75" customHeight="1" x14ac:dyDescent="0.4">
      <c r="A89" s="141"/>
      <c r="B89" s="142"/>
      <c r="C89" s="143" t="s">
        <v>62</v>
      </c>
      <c r="D89" s="143"/>
      <c r="E89" s="143"/>
      <c r="F89" s="143"/>
      <c r="G89" s="144"/>
      <c r="H89" s="149" t="s">
        <v>63</v>
      </c>
      <c r="I89" s="150">
        <f t="shared" ref="I89:J89" ca="1" si="21">I98</f>
        <v>3</v>
      </c>
      <c r="J89" s="150">
        <f t="shared" si="21"/>
        <v>0</v>
      </c>
      <c r="K89" s="151">
        <f ca="1">IF(I89&gt;0,J89*100/I89,0)</f>
        <v>0</v>
      </c>
      <c r="L89" s="148">
        <f ca="1">L90+L91</f>
        <v>42000</v>
      </c>
      <c r="M89" s="148">
        <f>SUM(M90:M91)</f>
        <v>0</v>
      </c>
      <c r="N89" s="148">
        <f t="shared" ref="N89:N92" ca="1" si="22">+IF(L89&gt;0,M89*100/L89,0)</f>
        <v>0</v>
      </c>
    </row>
    <row r="90" spans="1:14" ht="21.75" customHeight="1" x14ac:dyDescent="0.4">
      <c r="A90" s="42"/>
      <c r="B90" s="43"/>
      <c r="C90" s="43" t="s">
        <v>17</v>
      </c>
      <c r="D90" s="44" t="s">
        <v>18</v>
      </c>
      <c r="E90" s="45"/>
      <c r="F90" s="45"/>
      <c r="G90" s="46" t="s">
        <v>19</v>
      </c>
      <c r="H90" s="47" t="s">
        <v>20</v>
      </c>
      <c r="I90" s="48" t="s">
        <v>21</v>
      </c>
      <c r="J90" s="48"/>
      <c r="K90" s="49"/>
      <c r="L90" s="50">
        <v>0</v>
      </c>
      <c r="M90" s="50">
        <v>0</v>
      </c>
      <c r="N90" s="50">
        <f t="shared" si="22"/>
        <v>0</v>
      </c>
    </row>
    <row r="91" spans="1:14" ht="21.75" customHeight="1" x14ac:dyDescent="0.4">
      <c r="A91" s="42"/>
      <c r="B91" s="43"/>
      <c r="C91" s="43"/>
      <c r="D91" s="51"/>
      <c r="E91" s="45"/>
      <c r="F91" s="45" t="s">
        <v>21</v>
      </c>
      <c r="G91" s="46" t="s">
        <v>22</v>
      </c>
      <c r="H91" s="47" t="s">
        <v>20</v>
      </c>
      <c r="I91" s="48"/>
      <c r="J91" s="48"/>
      <c r="K91" s="49"/>
      <c r="L91" s="50">
        <f t="shared" ref="L91:M91" ca="1" si="23">L92</f>
        <v>42000</v>
      </c>
      <c r="M91" s="50">
        <f t="shared" si="23"/>
        <v>0</v>
      </c>
      <c r="N91" s="50">
        <f t="shared" ca="1" si="22"/>
        <v>0</v>
      </c>
    </row>
    <row r="92" spans="1:14" ht="21.75" customHeight="1" x14ac:dyDescent="0.4">
      <c r="A92" s="42"/>
      <c r="B92" s="43"/>
      <c r="C92" s="43"/>
      <c r="D92" s="51"/>
      <c r="E92" s="45"/>
      <c r="F92" s="45"/>
      <c r="G92" s="52" t="s">
        <v>24</v>
      </c>
      <c r="H92" s="47" t="s">
        <v>20</v>
      </c>
      <c r="I92" s="48"/>
      <c r="J92" s="48"/>
      <c r="K92" s="49"/>
      <c r="L92" s="53">
        <f ca="1">IFERROR(__xludf.DUMMYFUNCTION("IMPORTRANGE(""https://docs.google.com/spreadsheets/d/1C3CXT74ZlgGe6_JY_1olB1XN4rF0dxEuIIF-xsYjHgg/edit?usp=sharing"",""พรบ!AH28"")"),42000)</f>
        <v>42000</v>
      </c>
      <c r="M92" s="54">
        <v>0</v>
      </c>
      <c r="N92" s="53">
        <f t="shared" ca="1" si="22"/>
        <v>0</v>
      </c>
    </row>
    <row r="93" spans="1:14" ht="21.75" customHeight="1" x14ac:dyDescent="0.4">
      <c r="A93" s="55"/>
      <c r="B93" s="56"/>
      <c r="C93" s="43" t="s">
        <v>17</v>
      </c>
      <c r="D93" s="57" t="s">
        <v>25</v>
      </c>
      <c r="E93" s="58"/>
      <c r="F93" s="58"/>
      <c r="G93" s="59"/>
      <c r="H93" s="60"/>
      <c r="I93" s="48"/>
      <c r="J93" s="48"/>
      <c r="K93" s="49"/>
      <c r="L93" s="61"/>
      <c r="M93" s="61"/>
      <c r="N93" s="61"/>
    </row>
    <row r="94" spans="1:14" ht="21.75" customHeight="1" x14ac:dyDescent="0.4">
      <c r="A94" s="55"/>
      <c r="B94" s="56"/>
      <c r="C94" s="56"/>
      <c r="D94" s="62">
        <v>1</v>
      </c>
      <c r="E94" s="63" t="s">
        <v>26</v>
      </c>
      <c r="F94" s="64"/>
      <c r="G94" s="65"/>
      <c r="H94" s="66"/>
      <c r="I94" s="67"/>
      <c r="J94" s="68">
        <v>0</v>
      </c>
      <c r="K94" s="49"/>
      <c r="L94" s="61"/>
      <c r="M94" s="61"/>
      <c r="N94" s="61"/>
    </row>
    <row r="95" spans="1:14" ht="21.75" customHeight="1" x14ac:dyDescent="0.4">
      <c r="A95" s="55"/>
      <c r="B95" s="56"/>
      <c r="C95" s="56"/>
      <c r="D95" s="69">
        <v>2</v>
      </c>
      <c r="E95" s="70" t="s">
        <v>27</v>
      </c>
      <c r="F95" s="71"/>
      <c r="G95" s="72"/>
      <c r="H95" s="66"/>
      <c r="I95" s="67"/>
      <c r="J95" s="68">
        <v>1</v>
      </c>
      <c r="K95" s="49"/>
      <c r="L95" s="61" t="s">
        <v>21</v>
      </c>
      <c r="M95" s="61" t="s">
        <v>21</v>
      </c>
      <c r="N95" s="61"/>
    </row>
    <row r="96" spans="1:14" ht="21.75" customHeight="1" x14ac:dyDescent="0.4">
      <c r="A96" s="55"/>
      <c r="B96" s="56"/>
      <c r="C96" s="56"/>
      <c r="D96" s="73"/>
      <c r="E96" s="74" t="s">
        <v>28</v>
      </c>
      <c r="F96" s="75"/>
      <c r="G96" s="76"/>
      <c r="H96" s="66"/>
      <c r="I96" s="67"/>
      <c r="J96" s="68">
        <v>0</v>
      </c>
      <c r="K96" s="49"/>
      <c r="L96" s="61"/>
      <c r="M96" s="61"/>
      <c r="N96" s="61"/>
    </row>
    <row r="97" spans="1:14" ht="21.75" customHeight="1" x14ac:dyDescent="0.4">
      <c r="A97" s="55"/>
      <c r="B97" s="56"/>
      <c r="C97" s="56"/>
      <c r="D97" s="73"/>
      <c r="E97" s="74" t="s">
        <v>29</v>
      </c>
      <c r="F97" s="75"/>
      <c r="G97" s="76"/>
      <c r="H97" s="66"/>
      <c r="I97" s="67"/>
      <c r="J97" s="68">
        <v>0</v>
      </c>
      <c r="K97" s="49"/>
      <c r="L97" s="61"/>
      <c r="M97" s="61"/>
      <c r="N97" s="61"/>
    </row>
    <row r="98" spans="1:14" ht="21.75" customHeight="1" x14ac:dyDescent="0.4">
      <c r="A98" s="55"/>
      <c r="B98" s="56"/>
      <c r="C98" s="56"/>
      <c r="D98" s="73"/>
      <c r="E98" s="77"/>
      <c r="F98" s="74" t="s">
        <v>64</v>
      </c>
      <c r="G98" s="76"/>
      <c r="H98" s="60" t="s">
        <v>63</v>
      </c>
      <c r="I98" s="67">
        <f ca="1">IFERROR(__xludf.DUMMYFUNCTION("IMPORTRANGE(""https://docs.google.com/spreadsheets/d/1C3CXT74ZlgGe6_JY_1olB1XN4rF0dxEuIIF-xsYjHgg/edit?usp=sharing"",""พรบ!AI28"")"),3)</f>
        <v>3</v>
      </c>
      <c r="J98" s="68">
        <v>0</v>
      </c>
      <c r="K98" s="49">
        <f ca="1">IF(I98&gt;0,J98*100/I98,0)</f>
        <v>0</v>
      </c>
      <c r="L98" s="53">
        <f ca="1">IFERROR(__xludf.DUMMYFUNCTION("IMPORTRANGE(""https://docs.google.com/spreadsheets/d/1C3CXT74ZlgGe6_JY_1olB1XN4rF0dxEuIIF-xsYjHgg/edit?usp=sharing"",""กปร!C28"")"),36000)</f>
        <v>36000</v>
      </c>
      <c r="M98" s="359">
        <v>0</v>
      </c>
      <c r="N98" s="53">
        <f ca="1">+IF(L98&gt;0,M98*100/L98,0)</f>
        <v>0</v>
      </c>
    </row>
    <row r="99" spans="1:14" ht="21.75" customHeight="1" x14ac:dyDescent="0.4">
      <c r="A99" s="55"/>
      <c r="B99" s="56"/>
      <c r="C99" s="56"/>
      <c r="D99" s="73"/>
      <c r="E99" s="74" t="s">
        <v>35</v>
      </c>
      <c r="F99" s="75"/>
      <c r="G99" s="76"/>
      <c r="H99" s="66"/>
      <c r="I99" s="67"/>
      <c r="J99" s="68">
        <v>0</v>
      </c>
      <c r="K99" s="49"/>
      <c r="L99" s="61"/>
      <c r="M99" s="61"/>
      <c r="N99" s="61"/>
    </row>
    <row r="100" spans="1:14" ht="21.75" customHeight="1" x14ac:dyDescent="0.4">
      <c r="A100" s="55"/>
      <c r="B100" s="56"/>
      <c r="C100" s="56"/>
      <c r="D100" s="81">
        <v>3</v>
      </c>
      <c r="E100" s="82" t="s">
        <v>36</v>
      </c>
      <c r="F100" s="83"/>
      <c r="G100" s="84"/>
      <c r="H100" s="66"/>
      <c r="I100" s="67"/>
      <c r="J100" s="85">
        <v>0</v>
      </c>
      <c r="K100" s="49"/>
      <c r="L100" s="61"/>
      <c r="M100" s="61"/>
      <c r="N100" s="61"/>
    </row>
    <row r="101" spans="1:14" ht="21.75" customHeight="1" x14ac:dyDescent="0.4">
      <c r="A101" s="141"/>
      <c r="B101" s="142"/>
      <c r="C101" s="143" t="s">
        <v>65</v>
      </c>
      <c r="D101" s="143"/>
      <c r="E101" s="143"/>
      <c r="F101" s="143"/>
      <c r="G101" s="144"/>
      <c r="H101" s="149" t="s">
        <v>63</v>
      </c>
      <c r="I101" s="150">
        <f t="shared" ref="I101:J101" ca="1" si="24">I111</f>
        <v>0</v>
      </c>
      <c r="J101" s="150">
        <f t="shared" si="24"/>
        <v>0</v>
      </c>
      <c r="K101" s="151">
        <f ca="1">IF(I101&gt;0,J101*100/I101,0)</f>
        <v>0</v>
      </c>
      <c r="L101" s="148">
        <f ca="1">L102+L103</f>
        <v>0</v>
      </c>
      <c r="M101" s="148">
        <f>SUM(M102:M103)</f>
        <v>0</v>
      </c>
      <c r="N101" s="148">
        <f t="shared" ref="N101:N104" ca="1" si="25">+IF(L101&gt;0,M101*100/L101,0)</f>
        <v>0</v>
      </c>
    </row>
    <row r="102" spans="1:14" ht="21.75" customHeight="1" x14ac:dyDescent="0.4">
      <c r="A102" s="42"/>
      <c r="B102" s="43"/>
      <c r="C102" s="43" t="s">
        <v>17</v>
      </c>
      <c r="D102" s="44" t="s">
        <v>18</v>
      </c>
      <c r="E102" s="45"/>
      <c r="F102" s="45"/>
      <c r="G102" s="46" t="s">
        <v>19</v>
      </c>
      <c r="H102" s="47" t="s">
        <v>20</v>
      </c>
      <c r="I102" s="48" t="s">
        <v>21</v>
      </c>
      <c r="J102" s="48"/>
      <c r="K102" s="49"/>
      <c r="L102" s="50">
        <v>0</v>
      </c>
      <c r="M102" s="50">
        <v>0</v>
      </c>
      <c r="N102" s="50">
        <f t="shared" si="25"/>
        <v>0</v>
      </c>
    </row>
    <row r="103" spans="1:14" ht="21.75" customHeight="1" x14ac:dyDescent="0.4">
      <c r="A103" s="42"/>
      <c r="B103" s="43"/>
      <c r="C103" s="43"/>
      <c r="D103" s="51"/>
      <c r="E103" s="45"/>
      <c r="F103" s="45" t="s">
        <v>21</v>
      </c>
      <c r="G103" s="46" t="s">
        <v>22</v>
      </c>
      <c r="H103" s="47" t="s">
        <v>20</v>
      </c>
      <c r="I103" s="48"/>
      <c r="J103" s="48"/>
      <c r="K103" s="49"/>
      <c r="L103" s="50">
        <f ca="1">SUM(L104)</f>
        <v>0</v>
      </c>
      <c r="M103" s="50">
        <f>M104</f>
        <v>0</v>
      </c>
      <c r="N103" s="50">
        <f t="shared" ca="1" si="25"/>
        <v>0</v>
      </c>
    </row>
    <row r="104" spans="1:14" ht="21.75" customHeight="1" x14ac:dyDescent="0.4">
      <c r="A104" s="42"/>
      <c r="B104" s="43"/>
      <c r="C104" s="43"/>
      <c r="D104" s="51"/>
      <c r="E104" s="45"/>
      <c r="F104" s="45"/>
      <c r="G104" s="52" t="s">
        <v>24</v>
      </c>
      <c r="H104" s="47" t="s">
        <v>20</v>
      </c>
      <c r="I104" s="48"/>
      <c r="J104" s="67"/>
      <c r="K104" s="233"/>
      <c r="L104" s="53">
        <f ca="1">IFERROR(__xludf.DUMMYFUNCTION("IMPORTRANGE(""https://docs.google.com/spreadsheets/d/1C3CXT74ZlgGe6_JY_1olB1XN4rF0dxEuIIF-xsYjHgg/edit?usp=sharing"",""พรบ!AJ28"")"),0)</f>
        <v>0</v>
      </c>
      <c r="M104" s="53">
        <v>0</v>
      </c>
      <c r="N104" s="53">
        <f t="shared" ca="1" si="25"/>
        <v>0</v>
      </c>
    </row>
    <row r="105" spans="1:14" ht="21.75" customHeight="1" x14ac:dyDescent="0.4">
      <c r="A105" s="55"/>
      <c r="B105" s="56"/>
      <c r="C105" s="43" t="s">
        <v>17</v>
      </c>
      <c r="D105" s="57" t="s">
        <v>25</v>
      </c>
      <c r="E105" s="58"/>
      <c r="F105" s="58"/>
      <c r="G105" s="59"/>
      <c r="H105" s="60"/>
      <c r="I105" s="48"/>
      <c r="J105" s="67"/>
      <c r="K105" s="233"/>
      <c r="L105" s="53"/>
      <c r="M105" s="53"/>
      <c r="N105" s="61"/>
    </row>
    <row r="106" spans="1:14" ht="21.75" customHeight="1" x14ac:dyDescent="0.4">
      <c r="A106" s="55"/>
      <c r="B106" s="56"/>
      <c r="C106" s="56"/>
      <c r="D106" s="62">
        <v>1</v>
      </c>
      <c r="E106" s="63" t="s">
        <v>26</v>
      </c>
      <c r="F106" s="64"/>
      <c r="G106" s="65"/>
      <c r="H106" s="66"/>
      <c r="I106" s="67"/>
      <c r="J106" s="67">
        <v>0</v>
      </c>
      <c r="K106" s="233"/>
      <c r="L106" s="53"/>
      <c r="M106" s="53"/>
      <c r="N106" s="61"/>
    </row>
    <row r="107" spans="1:14" ht="21.75" customHeight="1" x14ac:dyDescent="0.4">
      <c r="A107" s="55"/>
      <c r="B107" s="56"/>
      <c r="C107" s="56"/>
      <c r="D107" s="69">
        <v>2</v>
      </c>
      <c r="E107" s="70" t="s">
        <v>27</v>
      </c>
      <c r="F107" s="71"/>
      <c r="G107" s="72"/>
      <c r="H107" s="66"/>
      <c r="I107" s="67"/>
      <c r="J107" s="67">
        <v>0</v>
      </c>
      <c r="K107" s="233"/>
      <c r="L107" s="53" t="s">
        <v>21</v>
      </c>
      <c r="M107" s="53" t="s">
        <v>21</v>
      </c>
      <c r="N107" s="61"/>
    </row>
    <row r="108" spans="1:14" ht="21.75" customHeight="1" x14ac:dyDescent="0.4">
      <c r="A108" s="55"/>
      <c r="B108" s="56"/>
      <c r="C108" s="56"/>
      <c r="D108" s="73"/>
      <c r="E108" s="74" t="s">
        <v>28</v>
      </c>
      <c r="F108" s="75"/>
      <c r="G108" s="76"/>
      <c r="H108" s="66"/>
      <c r="I108" s="67"/>
      <c r="J108" s="67">
        <v>0</v>
      </c>
      <c r="K108" s="233"/>
      <c r="L108" s="53"/>
      <c r="M108" s="53"/>
      <c r="N108" s="61"/>
    </row>
    <row r="109" spans="1:14" ht="21.75" customHeight="1" x14ac:dyDescent="0.4">
      <c r="A109" s="55"/>
      <c r="B109" s="56"/>
      <c r="C109" s="56"/>
      <c r="D109" s="73"/>
      <c r="E109" s="74" t="s">
        <v>29</v>
      </c>
      <c r="F109" s="75"/>
      <c r="G109" s="76"/>
      <c r="H109" s="66"/>
      <c r="I109" s="67"/>
      <c r="J109" s="67">
        <v>0</v>
      </c>
      <c r="K109" s="233"/>
      <c r="L109" s="53"/>
      <c r="M109" s="53"/>
      <c r="N109" s="61"/>
    </row>
    <row r="110" spans="1:14" ht="21.75" customHeight="1" x14ac:dyDescent="0.4">
      <c r="A110" s="55"/>
      <c r="B110" s="56"/>
      <c r="C110" s="56"/>
      <c r="D110" s="73"/>
      <c r="E110" s="77"/>
      <c r="F110" s="74" t="s">
        <v>66</v>
      </c>
      <c r="G110" s="76"/>
      <c r="H110" s="60" t="s">
        <v>63</v>
      </c>
      <c r="I110" s="67">
        <f ca="1">IFERROR(__xludf.DUMMYFUNCTION("IMPORTRANGE(""https://docs.google.com/spreadsheets/d/1C3CXT74ZlgGe6_JY_1olB1XN4rF0dxEuIIF-xsYjHgg/edit?usp=sharing"",""พรบ!AK28"")"),0)</f>
        <v>0</v>
      </c>
      <c r="J110" s="67">
        <v>0</v>
      </c>
      <c r="K110" s="233">
        <f t="shared" ref="K110:K111" ca="1" si="26">IF(I110&gt;0,J110*100/I110,0)</f>
        <v>0</v>
      </c>
      <c r="L110" s="53">
        <f ca="1">IFERROR(__xludf.DUMMYFUNCTION("IMPORTRANGE(""https://docs.google.com/spreadsheets/d/1C3CXT74ZlgGe6_JY_1olB1XN4rF0dxEuIIF-xsYjHgg/edit?usp=sharing"",""กปร!D28"")"),0)</f>
        <v>0</v>
      </c>
      <c r="M110" s="359">
        <v>0</v>
      </c>
      <c r="N110" s="53">
        <f t="shared" ref="N110:N111" ca="1" si="27">+IF(L110&gt;0,M110*100/L110,0)</f>
        <v>0</v>
      </c>
    </row>
    <row r="111" spans="1:14" ht="21.75" customHeight="1" x14ac:dyDescent="0.4">
      <c r="A111" s="55"/>
      <c r="B111" s="56"/>
      <c r="C111" s="56"/>
      <c r="D111" s="73"/>
      <c r="E111" s="77"/>
      <c r="F111" s="74" t="s">
        <v>67</v>
      </c>
      <c r="G111" s="76"/>
      <c r="H111" s="60" t="s">
        <v>63</v>
      </c>
      <c r="I111" s="67">
        <f ca="1">IFERROR(__xludf.DUMMYFUNCTION("IMPORTRANGE(""https://docs.google.com/spreadsheets/d/1C3CXT74ZlgGe6_JY_1olB1XN4rF0dxEuIIF-xsYjHgg/edit?usp=sharing"",""พรบ!AL28"")"),0)</f>
        <v>0</v>
      </c>
      <c r="J111" s="67">
        <v>0</v>
      </c>
      <c r="K111" s="233">
        <f t="shared" ca="1" si="26"/>
        <v>0</v>
      </c>
      <c r="L111" s="53">
        <f ca="1">IFERROR(__xludf.DUMMYFUNCTION("IMPORTRANGE(""https://docs.google.com/spreadsheets/d/1C3CXT74ZlgGe6_JY_1olB1XN4rF0dxEuIIF-xsYjHgg/edit?usp=sharing"",""กปร!E28"")"),0)</f>
        <v>0</v>
      </c>
      <c r="M111" s="359">
        <v>0</v>
      </c>
      <c r="N111" s="53">
        <f t="shared" ca="1" si="27"/>
        <v>0</v>
      </c>
    </row>
    <row r="112" spans="1:14" ht="21.75" customHeight="1" x14ac:dyDescent="0.4">
      <c r="A112" s="55"/>
      <c r="B112" s="56"/>
      <c r="C112" s="56"/>
      <c r="D112" s="73"/>
      <c r="E112" s="74" t="s">
        <v>35</v>
      </c>
      <c r="F112" s="75"/>
      <c r="G112" s="76"/>
      <c r="H112" s="66"/>
      <c r="I112" s="67"/>
      <c r="J112" s="67">
        <v>0</v>
      </c>
      <c r="K112" s="233"/>
      <c r="L112" s="53"/>
      <c r="M112" s="53"/>
      <c r="N112" s="61"/>
    </row>
    <row r="113" spans="1:14" ht="21.75" customHeight="1" x14ac:dyDescent="0.4">
      <c r="A113" s="55"/>
      <c r="B113" s="56"/>
      <c r="C113" s="56"/>
      <c r="D113" s="81">
        <v>3</v>
      </c>
      <c r="E113" s="82" t="s">
        <v>36</v>
      </c>
      <c r="F113" s="83"/>
      <c r="G113" s="84"/>
      <c r="H113" s="66"/>
      <c r="I113" s="67"/>
      <c r="J113" s="360">
        <v>0</v>
      </c>
      <c r="K113" s="233"/>
      <c r="L113" s="53"/>
      <c r="M113" s="53"/>
      <c r="N113" s="61"/>
    </row>
    <row r="114" spans="1:14" ht="21.75" customHeight="1" x14ac:dyDescent="0.4">
      <c r="A114" s="141"/>
      <c r="B114" s="142"/>
      <c r="C114" s="143" t="s">
        <v>68</v>
      </c>
      <c r="D114" s="143"/>
      <c r="E114" s="143"/>
      <c r="F114" s="143"/>
      <c r="G114" s="144"/>
      <c r="H114" s="152" t="s">
        <v>69</v>
      </c>
      <c r="I114" s="150">
        <f t="shared" ref="I114:J114" ca="1" si="28">I125</f>
        <v>50000</v>
      </c>
      <c r="J114" s="150">
        <f t="shared" si="28"/>
        <v>0</v>
      </c>
      <c r="K114" s="151">
        <f ca="1">IF(I114&gt;0,J114*100/I114,0)</f>
        <v>0</v>
      </c>
      <c r="L114" s="148">
        <f ca="1">L115+L116</f>
        <v>34500</v>
      </c>
      <c r="M114" s="148">
        <f>SUM(M115:M116)</f>
        <v>9540</v>
      </c>
      <c r="N114" s="148">
        <f t="shared" ref="N114:N117" ca="1" si="29">+IF(L114&gt;0,M114*100/L114,0)</f>
        <v>27.652173913043477</v>
      </c>
    </row>
    <row r="115" spans="1:14" ht="21.75" customHeight="1" x14ac:dyDescent="0.4">
      <c r="A115" s="42"/>
      <c r="B115" s="43"/>
      <c r="C115" s="43" t="s">
        <v>17</v>
      </c>
      <c r="D115" s="44" t="s">
        <v>18</v>
      </c>
      <c r="E115" s="45"/>
      <c r="F115" s="45"/>
      <c r="G115" s="46" t="s">
        <v>19</v>
      </c>
      <c r="H115" s="47" t="s">
        <v>20</v>
      </c>
      <c r="I115" s="48" t="s">
        <v>21</v>
      </c>
      <c r="J115" s="48"/>
      <c r="K115" s="49"/>
      <c r="L115" s="50">
        <v>0</v>
      </c>
      <c r="M115" s="50">
        <v>0</v>
      </c>
      <c r="N115" s="50">
        <f t="shared" si="29"/>
        <v>0</v>
      </c>
    </row>
    <row r="116" spans="1:14" ht="21.75" customHeight="1" x14ac:dyDescent="0.4">
      <c r="A116" s="42"/>
      <c r="B116" s="43"/>
      <c r="C116" s="43"/>
      <c r="D116" s="51"/>
      <c r="E116" s="45"/>
      <c r="F116" s="45" t="s">
        <v>21</v>
      </c>
      <c r="G116" s="46" t="s">
        <v>22</v>
      </c>
      <c r="H116" s="47" t="s">
        <v>20</v>
      </c>
      <c r="I116" s="48"/>
      <c r="J116" s="48"/>
      <c r="K116" s="49"/>
      <c r="L116" s="50">
        <f ca="1">SUM(L117)</f>
        <v>34500</v>
      </c>
      <c r="M116" s="50">
        <f>M117</f>
        <v>9540</v>
      </c>
      <c r="N116" s="50">
        <f t="shared" ca="1" si="29"/>
        <v>27.652173913043477</v>
      </c>
    </row>
    <row r="117" spans="1:14" ht="21.75" customHeight="1" x14ac:dyDescent="0.4">
      <c r="A117" s="42"/>
      <c r="B117" s="43"/>
      <c r="C117" s="43"/>
      <c r="D117" s="51"/>
      <c r="E117" s="45"/>
      <c r="F117" s="45"/>
      <c r="G117" s="52" t="s">
        <v>24</v>
      </c>
      <c r="H117" s="47" t="s">
        <v>20</v>
      </c>
      <c r="I117" s="48"/>
      <c r="J117" s="48"/>
      <c r="K117" s="49"/>
      <c r="L117" s="53">
        <f ca="1">IFERROR(__xludf.DUMMYFUNCTION("IMPORTRANGE(""https://docs.google.com/spreadsheets/d/1C3CXT74ZlgGe6_JY_1olB1XN4rF0dxEuIIF-xsYjHgg/edit?usp=sharing"",""พรบ!AM28"")"),34500)</f>
        <v>34500</v>
      </c>
      <c r="M117" s="54">
        <v>9540</v>
      </c>
      <c r="N117" s="53">
        <f t="shared" ca="1" si="29"/>
        <v>27.652173913043477</v>
      </c>
    </row>
    <row r="118" spans="1:14" ht="21.75" customHeight="1" x14ac:dyDescent="0.4">
      <c r="A118" s="55"/>
      <c r="B118" s="56"/>
      <c r="C118" s="43" t="s">
        <v>17</v>
      </c>
      <c r="D118" s="57" t="s">
        <v>25</v>
      </c>
      <c r="E118" s="58"/>
      <c r="F118" s="58"/>
      <c r="G118" s="59"/>
      <c r="H118" s="60"/>
      <c r="I118" s="48"/>
      <c r="J118" s="48"/>
      <c r="K118" s="49"/>
      <c r="L118" s="61"/>
      <c r="M118" s="61"/>
      <c r="N118" s="61"/>
    </row>
    <row r="119" spans="1:14" ht="21.75" customHeight="1" x14ac:dyDescent="0.4">
      <c r="A119" s="55"/>
      <c r="B119" s="56"/>
      <c r="C119" s="56"/>
      <c r="D119" s="62">
        <v>1</v>
      </c>
      <c r="E119" s="63" t="s">
        <v>26</v>
      </c>
      <c r="F119" s="64"/>
      <c r="G119" s="65"/>
      <c r="H119" s="66"/>
      <c r="I119" s="67"/>
      <c r="J119" s="68">
        <v>0</v>
      </c>
      <c r="K119" s="49"/>
      <c r="L119" s="61"/>
      <c r="M119" s="61"/>
      <c r="N119" s="61"/>
    </row>
    <row r="120" spans="1:14" ht="21.75" customHeight="1" x14ac:dyDescent="0.4">
      <c r="A120" s="55"/>
      <c r="B120" s="56"/>
      <c r="C120" s="56"/>
      <c r="D120" s="69">
        <v>2</v>
      </c>
      <c r="E120" s="70" t="s">
        <v>27</v>
      </c>
      <c r="F120" s="71"/>
      <c r="G120" s="72"/>
      <c r="H120" s="66"/>
      <c r="I120" s="67"/>
      <c r="J120" s="68">
        <v>1</v>
      </c>
      <c r="K120" s="49"/>
      <c r="L120" s="61" t="s">
        <v>21</v>
      </c>
      <c r="M120" s="61" t="s">
        <v>21</v>
      </c>
      <c r="N120" s="61"/>
    </row>
    <row r="121" spans="1:14" ht="21.75" customHeight="1" x14ac:dyDescent="0.4">
      <c r="A121" s="55"/>
      <c r="B121" s="56"/>
      <c r="C121" s="56"/>
      <c r="D121" s="73"/>
      <c r="E121" s="74" t="s">
        <v>28</v>
      </c>
      <c r="F121" s="75"/>
      <c r="G121" s="76"/>
      <c r="H121" s="66"/>
      <c r="I121" s="67"/>
      <c r="J121" s="68">
        <v>1</v>
      </c>
      <c r="K121" s="49"/>
      <c r="L121" s="61"/>
      <c r="M121" s="61"/>
      <c r="N121" s="61"/>
    </row>
    <row r="122" spans="1:14" ht="21.75" customHeight="1" x14ac:dyDescent="0.4">
      <c r="A122" s="55"/>
      <c r="B122" s="56"/>
      <c r="C122" s="56"/>
      <c r="D122" s="73"/>
      <c r="E122" s="74" t="s">
        <v>29</v>
      </c>
      <c r="F122" s="75"/>
      <c r="G122" s="76"/>
      <c r="H122" s="66"/>
      <c r="I122" s="67"/>
      <c r="J122" s="68">
        <v>1</v>
      </c>
      <c r="K122" s="49"/>
      <c r="L122" s="61"/>
      <c r="M122" s="61"/>
      <c r="N122" s="61"/>
    </row>
    <row r="123" spans="1:14" ht="21.75" customHeight="1" x14ac:dyDescent="0.4">
      <c r="A123" s="55"/>
      <c r="B123" s="56"/>
      <c r="C123" s="56"/>
      <c r="D123" s="73"/>
      <c r="E123" s="75"/>
      <c r="F123" s="75" t="s">
        <v>70</v>
      </c>
      <c r="G123" s="76"/>
      <c r="H123" s="60"/>
      <c r="I123" s="67"/>
      <c r="J123" s="67"/>
      <c r="K123" s="49"/>
      <c r="L123" s="61"/>
      <c r="M123" s="61"/>
      <c r="N123" s="61"/>
    </row>
    <row r="124" spans="1:14" ht="21.75" customHeight="1" x14ac:dyDescent="0.4">
      <c r="A124" s="55"/>
      <c r="B124" s="56"/>
      <c r="C124" s="56"/>
      <c r="D124" s="73"/>
      <c r="E124" s="77"/>
      <c r="F124" s="75"/>
      <c r="G124" s="74" t="s">
        <v>71</v>
      </c>
      <c r="H124" s="60" t="s">
        <v>69</v>
      </c>
      <c r="I124" s="67">
        <f ca="1">IFERROR(__xludf.DUMMYFUNCTION("IMPORTRANGE(""https://docs.google.com/spreadsheets/d/1C3CXT74ZlgGe6_JY_1olB1XN4rF0dxEuIIF-xsYjHgg/edit?usp=sharing"",""พรบ!AO28"")"),50000)</f>
        <v>50000</v>
      </c>
      <c r="J124" s="68">
        <v>0</v>
      </c>
      <c r="K124" s="49">
        <f t="shared" ref="K124:K126" ca="1" si="30">IF(I124&gt;0,J124*100/I124,0)</f>
        <v>0</v>
      </c>
      <c r="L124" s="61"/>
      <c r="M124" s="61"/>
      <c r="N124" s="61"/>
    </row>
    <row r="125" spans="1:14" ht="21.75" customHeight="1" x14ac:dyDescent="0.4">
      <c r="A125" s="55"/>
      <c r="B125" s="56"/>
      <c r="C125" s="56"/>
      <c r="D125" s="73"/>
      <c r="E125" s="77"/>
      <c r="F125" s="75"/>
      <c r="G125" s="74" t="s">
        <v>72</v>
      </c>
      <c r="H125" s="60" t="s">
        <v>69</v>
      </c>
      <c r="I125" s="67">
        <f ca="1">IFERROR(__xludf.DUMMYFUNCTION("IMPORTRANGE(""https://docs.google.com/spreadsheets/d/1C3CXT74ZlgGe6_JY_1olB1XN4rF0dxEuIIF-xsYjHgg/edit?usp=sharing"",""พรบ!AP28"")"),50000)</f>
        <v>50000</v>
      </c>
      <c r="J125" s="68">
        <v>0</v>
      </c>
      <c r="K125" s="49">
        <f t="shared" ca="1" si="30"/>
        <v>0</v>
      </c>
      <c r="L125" s="53">
        <f ca="1">IFERROR(__xludf.DUMMYFUNCTION("IMPORTRANGE(""https://docs.google.com/spreadsheets/d/1C3CXT74ZlgGe6_JY_1olB1XN4rF0dxEuIIF-xsYjHgg/edit?usp=sharing"",""กปร!F28"")"),13500)</f>
        <v>13500</v>
      </c>
      <c r="M125" s="359">
        <v>0</v>
      </c>
      <c r="N125" s="53">
        <f t="shared" ref="N125:N126" ca="1" si="31">+IF(L125&gt;0,M125*100/L125,0)</f>
        <v>0</v>
      </c>
    </row>
    <row r="126" spans="1:14" ht="21.75" customHeight="1" x14ac:dyDescent="0.4">
      <c r="A126" s="55"/>
      <c r="B126" s="56"/>
      <c r="C126" s="56"/>
      <c r="D126" s="73"/>
      <c r="E126" s="77"/>
      <c r="F126" s="75" t="s">
        <v>73</v>
      </c>
      <c r="G126" s="76"/>
      <c r="H126" s="60" t="s">
        <v>16</v>
      </c>
      <c r="I126" s="67">
        <f ca="1">IFERROR(__xludf.DUMMYFUNCTION("IMPORTRANGE(""https://docs.google.com/spreadsheets/d/1C3CXT74ZlgGe6_JY_1olB1XN4rF0dxEuIIF-xsYjHgg/edit?usp=sharing"",""พรบ!AQ28"")"),15)</f>
        <v>15</v>
      </c>
      <c r="J126" s="68">
        <v>15</v>
      </c>
      <c r="K126" s="49">
        <f t="shared" ca="1" si="30"/>
        <v>100</v>
      </c>
      <c r="L126" s="53">
        <f ca="1">IFERROR(__xludf.DUMMYFUNCTION("IMPORTRANGE(""https://docs.google.com/spreadsheets/d/1C3CXT74ZlgGe6_JY_1olB1XN4rF0dxEuIIF-xsYjHgg/edit?usp=sharing"",""กปร!G28"")"),15000)</f>
        <v>15000</v>
      </c>
      <c r="M126" s="359">
        <v>9540</v>
      </c>
      <c r="N126" s="53">
        <f t="shared" ca="1" si="31"/>
        <v>63.6</v>
      </c>
    </row>
    <row r="127" spans="1:14" ht="21.75" customHeight="1" x14ac:dyDescent="0.4">
      <c r="A127" s="55"/>
      <c r="B127" s="56"/>
      <c r="C127" s="56"/>
      <c r="D127" s="73"/>
      <c r="E127" s="74" t="s">
        <v>35</v>
      </c>
      <c r="F127" s="75"/>
      <c r="G127" s="76"/>
      <c r="H127" s="66"/>
      <c r="I127" s="67"/>
      <c r="J127" s="68">
        <v>0</v>
      </c>
      <c r="K127" s="49"/>
      <c r="L127" s="61"/>
      <c r="M127" s="61"/>
      <c r="N127" s="61"/>
    </row>
    <row r="128" spans="1:14" ht="21.75" customHeight="1" x14ac:dyDescent="0.4">
      <c r="A128" s="105"/>
      <c r="B128" s="106"/>
      <c r="C128" s="106"/>
      <c r="D128" s="107">
        <v>3</v>
      </c>
      <c r="E128" s="108" t="s">
        <v>36</v>
      </c>
      <c r="F128" s="109"/>
      <c r="G128" s="110"/>
      <c r="H128" s="111"/>
      <c r="I128" s="112"/>
      <c r="J128" s="113">
        <v>0</v>
      </c>
      <c r="K128" s="114"/>
      <c r="L128" s="115"/>
      <c r="M128" s="115"/>
      <c r="N128" s="115"/>
    </row>
    <row r="129" spans="1:14" ht="21.75" customHeight="1" x14ac:dyDescent="0.4">
      <c r="A129" s="141"/>
      <c r="B129" s="142"/>
      <c r="C129" s="153" t="s">
        <v>74</v>
      </c>
      <c r="D129" s="143"/>
      <c r="E129" s="143"/>
      <c r="F129" s="143"/>
      <c r="G129" s="144"/>
      <c r="H129" s="152" t="s">
        <v>16</v>
      </c>
      <c r="I129" s="150">
        <f t="shared" ref="I129:J129" ca="1" si="32">I138</f>
        <v>0</v>
      </c>
      <c r="J129" s="150">
        <f t="shared" si="32"/>
        <v>0</v>
      </c>
      <c r="K129" s="151">
        <f ca="1">IF(I129&gt;0,J129*100/I129,0)</f>
        <v>0</v>
      </c>
      <c r="L129" s="148">
        <f ca="1">L130+L131</f>
        <v>0</v>
      </c>
      <c r="M129" s="148">
        <f>SUM(M130:M131)</f>
        <v>0</v>
      </c>
      <c r="N129" s="148">
        <f t="shared" ref="N129:N132" ca="1" si="33">+IF(L129&gt;0,M129*100/L129,0)</f>
        <v>0</v>
      </c>
    </row>
    <row r="130" spans="1:14" ht="21.75" customHeight="1" x14ac:dyDescent="0.4">
      <c r="A130" s="42"/>
      <c r="B130" s="43"/>
      <c r="C130" s="43" t="s">
        <v>17</v>
      </c>
      <c r="D130" s="44" t="s">
        <v>18</v>
      </c>
      <c r="E130" s="45"/>
      <c r="F130" s="45"/>
      <c r="G130" s="46" t="s">
        <v>19</v>
      </c>
      <c r="H130" s="47" t="s">
        <v>20</v>
      </c>
      <c r="I130" s="48" t="s">
        <v>21</v>
      </c>
      <c r="J130" s="48"/>
      <c r="K130" s="49"/>
      <c r="L130" s="50">
        <v>0</v>
      </c>
      <c r="M130" s="50">
        <v>0</v>
      </c>
      <c r="N130" s="50">
        <f t="shared" si="33"/>
        <v>0</v>
      </c>
    </row>
    <row r="131" spans="1:14" ht="21.75" customHeight="1" x14ac:dyDescent="0.4">
      <c r="A131" s="42"/>
      <c r="B131" s="43"/>
      <c r="C131" s="43"/>
      <c r="D131" s="51"/>
      <c r="E131" s="45"/>
      <c r="F131" s="45" t="s">
        <v>21</v>
      </c>
      <c r="G131" s="46" t="s">
        <v>22</v>
      </c>
      <c r="H131" s="47" t="s">
        <v>20</v>
      </c>
      <c r="I131" s="48"/>
      <c r="J131" s="48"/>
      <c r="K131" s="49"/>
      <c r="L131" s="50">
        <f ca="1">SUM(L132)</f>
        <v>0</v>
      </c>
      <c r="M131" s="50">
        <f>M132</f>
        <v>0</v>
      </c>
      <c r="N131" s="50">
        <f t="shared" ca="1" si="33"/>
        <v>0</v>
      </c>
    </row>
    <row r="132" spans="1:14" ht="21.75" customHeight="1" x14ac:dyDescent="0.4">
      <c r="A132" s="42"/>
      <c r="B132" s="43"/>
      <c r="C132" s="43"/>
      <c r="D132" s="51"/>
      <c r="E132" s="45"/>
      <c r="F132" s="45"/>
      <c r="G132" s="52" t="s">
        <v>24</v>
      </c>
      <c r="H132" s="47" t="s">
        <v>20</v>
      </c>
      <c r="I132" s="48"/>
      <c r="J132" s="67"/>
      <c r="K132" s="233"/>
      <c r="L132" s="53">
        <f ca="1">IFERROR(__xludf.DUMMYFUNCTION("IMPORTRANGE(""https://docs.google.com/spreadsheets/d/1C3CXT74ZlgGe6_JY_1olB1XN4rF0dxEuIIF-xsYjHgg/edit?usp=sharing"",""พรบ!AR28"")"),0)</f>
        <v>0</v>
      </c>
      <c r="M132" s="53">
        <v>0</v>
      </c>
      <c r="N132" s="53">
        <f t="shared" ca="1" si="33"/>
        <v>0</v>
      </c>
    </row>
    <row r="133" spans="1:14" ht="21.75" customHeight="1" x14ac:dyDescent="0.4">
      <c r="A133" s="55"/>
      <c r="B133" s="56"/>
      <c r="C133" s="43" t="s">
        <v>17</v>
      </c>
      <c r="D133" s="57" t="s">
        <v>25</v>
      </c>
      <c r="E133" s="58"/>
      <c r="F133" s="58"/>
      <c r="G133" s="59"/>
      <c r="H133" s="60"/>
      <c r="I133" s="48"/>
      <c r="J133" s="67"/>
      <c r="K133" s="233"/>
      <c r="L133" s="53"/>
      <c r="M133" s="53"/>
      <c r="N133" s="61"/>
    </row>
    <row r="134" spans="1:14" ht="21.75" customHeight="1" x14ac:dyDescent="0.4">
      <c r="A134" s="55"/>
      <c r="B134" s="56"/>
      <c r="C134" s="56"/>
      <c r="D134" s="62">
        <v>1</v>
      </c>
      <c r="E134" s="63" t="s">
        <v>26</v>
      </c>
      <c r="F134" s="64"/>
      <c r="G134" s="65"/>
      <c r="H134" s="66"/>
      <c r="I134" s="67"/>
      <c r="J134" s="67">
        <v>0</v>
      </c>
      <c r="K134" s="233"/>
      <c r="L134" s="53"/>
      <c r="M134" s="53"/>
      <c r="N134" s="61"/>
    </row>
    <row r="135" spans="1:14" ht="21.75" customHeight="1" x14ac:dyDescent="0.4">
      <c r="A135" s="55"/>
      <c r="B135" s="56"/>
      <c r="C135" s="56"/>
      <c r="D135" s="69">
        <v>2</v>
      </c>
      <c r="E135" s="70" t="s">
        <v>27</v>
      </c>
      <c r="F135" s="71"/>
      <c r="G135" s="72"/>
      <c r="H135" s="66"/>
      <c r="I135" s="67"/>
      <c r="J135" s="67">
        <v>0</v>
      </c>
      <c r="K135" s="233"/>
      <c r="L135" s="53" t="s">
        <v>21</v>
      </c>
      <c r="M135" s="53" t="s">
        <v>21</v>
      </c>
      <c r="N135" s="61"/>
    </row>
    <row r="136" spans="1:14" ht="21.75" customHeight="1" x14ac:dyDescent="0.4">
      <c r="A136" s="55"/>
      <c r="B136" s="56"/>
      <c r="C136" s="56"/>
      <c r="D136" s="73"/>
      <c r="E136" s="74" t="s">
        <v>28</v>
      </c>
      <c r="F136" s="75"/>
      <c r="G136" s="76"/>
      <c r="H136" s="66"/>
      <c r="I136" s="67"/>
      <c r="J136" s="67">
        <v>0</v>
      </c>
      <c r="K136" s="233"/>
      <c r="L136" s="53"/>
      <c r="M136" s="53"/>
      <c r="N136" s="61"/>
    </row>
    <row r="137" spans="1:14" ht="21.75" customHeight="1" x14ac:dyDescent="0.4">
      <c r="A137" s="55"/>
      <c r="B137" s="56"/>
      <c r="C137" s="56"/>
      <c r="D137" s="73"/>
      <c r="E137" s="74" t="s">
        <v>29</v>
      </c>
      <c r="F137" s="75"/>
      <c r="G137" s="76"/>
      <c r="H137" s="66"/>
      <c r="I137" s="67"/>
      <c r="J137" s="67">
        <v>0</v>
      </c>
      <c r="K137" s="233"/>
      <c r="L137" s="53"/>
      <c r="M137" s="53"/>
      <c r="N137" s="61"/>
    </row>
    <row r="138" spans="1:14" ht="21.75" customHeight="1" x14ac:dyDescent="0.4">
      <c r="A138" s="55"/>
      <c r="B138" s="56"/>
      <c r="C138" s="56"/>
      <c r="D138" s="73"/>
      <c r="E138" s="77"/>
      <c r="F138" s="75" t="s">
        <v>75</v>
      </c>
      <c r="G138" s="76"/>
      <c r="H138" s="60" t="s">
        <v>16</v>
      </c>
      <c r="I138" s="67">
        <f ca="1">IFERROR(__xludf.DUMMYFUNCTION("IMPORTRANGE(""https://docs.google.com/spreadsheets/d/1C3CXT74ZlgGe6_JY_1olB1XN4rF0dxEuIIF-xsYjHgg/edit?usp=sharing"",""พรบ!AS28"")"),0)</f>
        <v>0</v>
      </c>
      <c r="J138" s="67">
        <v>0</v>
      </c>
      <c r="K138" s="233">
        <f ca="1">IF(I138&gt;0,J138*100/I138,0)</f>
        <v>0</v>
      </c>
      <c r="L138" s="53">
        <f ca="1">IFERROR(__xludf.DUMMYFUNCTION("IMPORTRANGE(""https://docs.google.com/spreadsheets/d/1C3CXT74ZlgGe6_JY_1olB1XN4rF0dxEuIIF-xsYjHgg/edit?usp=sharing"",""กปร!H28"")"),0)</f>
        <v>0</v>
      </c>
      <c r="M138" s="53">
        <v>0</v>
      </c>
      <c r="N138" s="53">
        <f ca="1">+IF(L138&gt;0,M138*100/L138,0)</f>
        <v>0</v>
      </c>
    </row>
    <row r="139" spans="1:14" ht="21.75" customHeight="1" x14ac:dyDescent="0.4">
      <c r="A139" s="55"/>
      <c r="B139" s="56"/>
      <c r="C139" s="56"/>
      <c r="D139" s="73"/>
      <c r="E139" s="77"/>
      <c r="F139" s="74" t="s">
        <v>34</v>
      </c>
      <c r="G139" s="76"/>
      <c r="H139" s="60"/>
      <c r="I139" s="67"/>
      <c r="J139" s="67"/>
      <c r="K139" s="233"/>
      <c r="L139" s="53"/>
      <c r="M139" s="53"/>
      <c r="N139" s="61"/>
    </row>
    <row r="140" spans="1:14" ht="21.75" customHeight="1" x14ac:dyDescent="0.4">
      <c r="A140" s="55"/>
      <c r="B140" s="56"/>
      <c r="C140" s="56"/>
      <c r="D140" s="73"/>
      <c r="E140" s="77"/>
      <c r="F140" s="75"/>
      <c r="G140" s="99" t="s">
        <v>76</v>
      </c>
      <c r="H140" s="60" t="s">
        <v>16</v>
      </c>
      <c r="I140" s="67">
        <f ca="1">IFERROR(__xludf.DUMMYFUNCTION("IMPORTRANGE(""https://docs.google.com/spreadsheets/d/1C3CXT74ZlgGe6_JY_1olB1XN4rF0dxEuIIF-xsYjHgg/edit?usp=sharing"",""พรบ!AT28"")"),0)</f>
        <v>0</v>
      </c>
      <c r="J140" s="67">
        <v>0</v>
      </c>
      <c r="K140" s="233">
        <f t="shared" ref="K140:K141" ca="1" si="34">IF(I140&gt;0,J140*100/I140,0)</f>
        <v>0</v>
      </c>
      <c r="L140" s="53">
        <f ca="1">IFERROR(__xludf.DUMMYFUNCTION("IMPORTRANGE(""https://docs.google.com/spreadsheets/d/1C3CXT74ZlgGe6_JY_1olB1XN4rF0dxEuIIF-xsYjHgg/edit?usp=sharing"",""กปร!I28"")"),0)</f>
        <v>0</v>
      </c>
      <c r="M140" s="53">
        <v>0</v>
      </c>
      <c r="N140" s="53">
        <f t="shared" ref="N140:N141" ca="1" si="35">+IF(L140&gt;0,M140*100/L140,0)</f>
        <v>0</v>
      </c>
    </row>
    <row r="141" spans="1:14" ht="21.75" customHeight="1" x14ac:dyDescent="0.4">
      <c r="A141" s="55"/>
      <c r="B141" s="56"/>
      <c r="C141" s="56"/>
      <c r="D141" s="73"/>
      <c r="E141" s="77"/>
      <c r="F141" s="75"/>
      <c r="G141" s="99" t="s">
        <v>77</v>
      </c>
      <c r="H141" s="60" t="s">
        <v>40</v>
      </c>
      <c r="I141" s="67">
        <f ca="1">IFERROR(__xludf.DUMMYFUNCTION("IMPORTRANGE(""https://docs.google.com/spreadsheets/d/1C3CXT74ZlgGe6_JY_1olB1XN4rF0dxEuIIF-xsYjHgg/edit?usp=sharing"",""พรบ!AU28"")"),0)</f>
        <v>0</v>
      </c>
      <c r="J141" s="67">
        <v>0</v>
      </c>
      <c r="K141" s="233">
        <f t="shared" ca="1" si="34"/>
        <v>0</v>
      </c>
      <c r="L141" s="53">
        <f ca="1">IFERROR(__xludf.DUMMYFUNCTION("IMPORTRANGE(""https://docs.google.com/spreadsheets/d/1C3CXT74ZlgGe6_JY_1olB1XN4rF0dxEuIIF-xsYjHgg/edit?usp=sharing"",""กปร!J28"")"),0)</f>
        <v>0</v>
      </c>
      <c r="M141" s="53">
        <v>0</v>
      </c>
      <c r="N141" s="53">
        <f t="shared" ca="1" si="35"/>
        <v>0</v>
      </c>
    </row>
    <row r="142" spans="1:14" ht="21.75" customHeight="1" x14ac:dyDescent="0.4">
      <c r="A142" s="55"/>
      <c r="B142" s="56"/>
      <c r="C142" s="56"/>
      <c r="D142" s="73"/>
      <c r="E142" s="74" t="s">
        <v>35</v>
      </c>
      <c r="F142" s="75"/>
      <c r="G142" s="76"/>
      <c r="H142" s="66"/>
      <c r="I142" s="67"/>
      <c r="J142" s="67">
        <v>0</v>
      </c>
      <c r="K142" s="233"/>
      <c r="L142" s="53"/>
      <c r="M142" s="53"/>
      <c r="N142" s="61"/>
    </row>
    <row r="143" spans="1:14" ht="21.75" customHeight="1" x14ac:dyDescent="0.4">
      <c r="A143" s="105"/>
      <c r="B143" s="106"/>
      <c r="C143" s="106"/>
      <c r="D143" s="107">
        <v>3</v>
      </c>
      <c r="E143" s="108" t="s">
        <v>36</v>
      </c>
      <c r="F143" s="109"/>
      <c r="G143" s="110"/>
      <c r="H143" s="111"/>
      <c r="I143" s="112"/>
      <c r="J143" s="356">
        <v>0</v>
      </c>
      <c r="K143" s="357"/>
      <c r="L143" s="358"/>
      <c r="M143" s="358"/>
      <c r="N143" s="115"/>
    </row>
    <row r="144" spans="1:14" ht="21.75" customHeight="1" x14ac:dyDescent="0.4">
      <c r="A144" s="132"/>
      <c r="B144" s="133" t="s">
        <v>78</v>
      </c>
      <c r="C144" s="134"/>
      <c r="D144" s="133"/>
      <c r="E144" s="133"/>
      <c r="F144" s="133"/>
      <c r="G144" s="135"/>
      <c r="H144" s="136" t="s">
        <v>16</v>
      </c>
      <c r="I144" s="137">
        <f t="shared" ref="I144:J144" ca="1" si="36">+I149+I158</f>
        <v>0</v>
      </c>
      <c r="J144" s="137">
        <f t="shared" si="36"/>
        <v>0</v>
      </c>
      <c r="K144" s="138">
        <f ca="1">IF(I144&gt;0,J144*100/I144,0)</f>
        <v>0</v>
      </c>
      <c r="L144" s="139">
        <f ca="1">L145+L146</f>
        <v>0</v>
      </c>
      <c r="M144" s="139">
        <f>SUM(M145:M146)</f>
        <v>0</v>
      </c>
      <c r="N144" s="138">
        <f ca="1">IF(L144&gt;0,M144*100/L144,0)</f>
        <v>0</v>
      </c>
    </row>
    <row r="145" spans="1:14" ht="21.75" customHeight="1" x14ac:dyDescent="0.4">
      <c r="A145" s="42"/>
      <c r="B145" s="43"/>
      <c r="C145" s="43" t="s">
        <v>17</v>
      </c>
      <c r="D145" s="44" t="s">
        <v>18</v>
      </c>
      <c r="E145" s="45"/>
      <c r="F145" s="45"/>
      <c r="G145" s="46" t="s">
        <v>19</v>
      </c>
      <c r="H145" s="47" t="s">
        <v>20</v>
      </c>
      <c r="I145" s="48" t="s">
        <v>21</v>
      </c>
      <c r="J145" s="48"/>
      <c r="K145" s="49"/>
      <c r="L145" s="50">
        <v>0</v>
      </c>
      <c r="M145" s="50">
        <v>0</v>
      </c>
      <c r="N145" s="50">
        <f t="shared" ref="N145:N148" si="37">+IF(L145&gt;0,M145*100/L145,0)</f>
        <v>0</v>
      </c>
    </row>
    <row r="146" spans="1:14" ht="21.75" customHeight="1" x14ac:dyDescent="0.4">
      <c r="A146" s="42"/>
      <c r="B146" s="43"/>
      <c r="C146" s="43"/>
      <c r="D146" s="51"/>
      <c r="E146" s="45"/>
      <c r="F146" s="45" t="s">
        <v>21</v>
      </c>
      <c r="G146" s="46" t="s">
        <v>22</v>
      </c>
      <c r="H146" s="47" t="s">
        <v>20</v>
      </c>
      <c r="I146" s="48"/>
      <c r="J146" s="48"/>
      <c r="K146" s="49"/>
      <c r="L146" s="50">
        <f t="shared" ref="L146:M146" ca="1" si="38">SUM(L147:L148)</f>
        <v>0</v>
      </c>
      <c r="M146" s="50">
        <f t="shared" si="38"/>
        <v>0</v>
      </c>
      <c r="N146" s="50">
        <f t="shared" ca="1" si="37"/>
        <v>0</v>
      </c>
    </row>
    <row r="147" spans="1:14" ht="21.75" customHeight="1" x14ac:dyDescent="0.4">
      <c r="A147" s="42"/>
      <c r="B147" s="43"/>
      <c r="C147" s="43"/>
      <c r="D147" s="51"/>
      <c r="E147" s="45"/>
      <c r="F147" s="45"/>
      <c r="G147" s="52" t="s">
        <v>23</v>
      </c>
      <c r="H147" s="47" t="s">
        <v>20</v>
      </c>
      <c r="I147" s="48"/>
      <c r="J147" s="48"/>
      <c r="K147" s="49"/>
      <c r="L147" s="53">
        <v>0</v>
      </c>
      <c r="M147" s="53">
        <v>0</v>
      </c>
      <c r="N147" s="53">
        <f t="shared" si="37"/>
        <v>0</v>
      </c>
    </row>
    <row r="148" spans="1:14" ht="21.75" customHeight="1" x14ac:dyDescent="0.4">
      <c r="A148" s="42"/>
      <c r="B148" s="43"/>
      <c r="C148" s="43"/>
      <c r="D148" s="51"/>
      <c r="E148" s="45"/>
      <c r="F148" s="45"/>
      <c r="G148" s="52" t="s">
        <v>24</v>
      </c>
      <c r="H148" s="47" t="s">
        <v>20</v>
      </c>
      <c r="I148" s="48"/>
      <c r="J148" s="48"/>
      <c r="K148" s="49"/>
      <c r="L148" s="53">
        <f ca="1">IFERROR(__xludf.DUMMYFUNCTION("IMPORTRANGE(""https://docs.google.com/spreadsheets/d/1C3CXT74ZlgGe6_JY_1olB1XN4rF0dxEuIIF-xsYjHgg/edit?usp=sharing"",""พรบ!AY28"")"),0)</f>
        <v>0</v>
      </c>
      <c r="M148" s="53">
        <v>0</v>
      </c>
      <c r="N148" s="53">
        <f t="shared" ca="1" si="37"/>
        <v>0</v>
      </c>
    </row>
    <row r="149" spans="1:14" ht="21.75" customHeight="1" x14ac:dyDescent="0.4">
      <c r="A149" s="55"/>
      <c r="B149" s="155"/>
      <c r="C149" s="134" t="s">
        <v>79</v>
      </c>
      <c r="D149" s="133"/>
      <c r="E149" s="133"/>
      <c r="F149" s="133"/>
      <c r="G149" s="135"/>
      <c r="H149" s="136" t="s">
        <v>16</v>
      </c>
      <c r="I149" s="137">
        <f ca="1">I155</f>
        <v>0</v>
      </c>
      <c r="J149" s="137">
        <f>+J155</f>
        <v>0</v>
      </c>
      <c r="K149" s="138">
        <f ca="1">IF(I149&gt;0,J149*100/I149,0)</f>
        <v>0</v>
      </c>
      <c r="L149" s="140"/>
      <c r="M149" s="140"/>
      <c r="N149" s="140"/>
    </row>
    <row r="150" spans="1:14" ht="21.75" customHeight="1" x14ac:dyDescent="0.4">
      <c r="A150" s="55"/>
      <c r="B150" s="56"/>
      <c r="C150" s="43" t="s">
        <v>17</v>
      </c>
      <c r="D150" s="57" t="s">
        <v>25</v>
      </c>
      <c r="E150" s="58"/>
      <c r="F150" s="58"/>
      <c r="G150" s="59"/>
      <c r="H150" s="60"/>
      <c r="I150" s="48"/>
      <c r="J150" s="48"/>
      <c r="K150" s="49"/>
      <c r="L150" s="61"/>
      <c r="M150" s="61"/>
      <c r="N150" s="61"/>
    </row>
    <row r="151" spans="1:14" ht="21.75" customHeight="1" x14ac:dyDescent="0.4">
      <c r="A151" s="55"/>
      <c r="B151" s="56"/>
      <c r="C151" s="56"/>
      <c r="D151" s="62">
        <v>1</v>
      </c>
      <c r="E151" s="63" t="s">
        <v>26</v>
      </c>
      <c r="F151" s="64"/>
      <c r="G151" s="65"/>
      <c r="H151" s="66"/>
      <c r="I151" s="67"/>
      <c r="J151" s="67">
        <v>0</v>
      </c>
      <c r="K151" s="49"/>
      <c r="L151" s="61"/>
      <c r="M151" s="61"/>
      <c r="N151" s="61"/>
    </row>
    <row r="152" spans="1:14" ht="21.75" customHeight="1" x14ac:dyDescent="0.4">
      <c r="A152" s="55"/>
      <c r="B152" s="56"/>
      <c r="C152" s="56"/>
      <c r="D152" s="69">
        <v>2</v>
      </c>
      <c r="E152" s="70" t="s">
        <v>27</v>
      </c>
      <c r="F152" s="71"/>
      <c r="G152" s="72"/>
      <c r="H152" s="66"/>
      <c r="I152" s="67"/>
      <c r="J152" s="67">
        <v>0</v>
      </c>
      <c r="K152" s="49"/>
      <c r="L152" s="61" t="s">
        <v>21</v>
      </c>
      <c r="M152" s="61" t="s">
        <v>21</v>
      </c>
      <c r="N152" s="61"/>
    </row>
    <row r="153" spans="1:14" ht="21.75" customHeight="1" x14ac:dyDescent="0.4">
      <c r="A153" s="55"/>
      <c r="B153" s="56"/>
      <c r="C153" s="56"/>
      <c r="D153" s="73"/>
      <c r="E153" s="74" t="s">
        <v>28</v>
      </c>
      <c r="F153" s="75"/>
      <c r="G153" s="76"/>
      <c r="H153" s="66"/>
      <c r="I153" s="67"/>
      <c r="J153" s="67">
        <v>0</v>
      </c>
      <c r="K153" s="49"/>
      <c r="L153" s="61"/>
      <c r="M153" s="61"/>
      <c r="N153" s="61"/>
    </row>
    <row r="154" spans="1:14" ht="21.75" customHeight="1" x14ac:dyDescent="0.4">
      <c r="A154" s="55"/>
      <c r="B154" s="56"/>
      <c r="C154" s="56"/>
      <c r="D154" s="73"/>
      <c r="E154" s="74" t="s">
        <v>29</v>
      </c>
      <c r="F154" s="75"/>
      <c r="G154" s="76"/>
      <c r="H154" s="66"/>
      <c r="I154" s="67"/>
      <c r="J154" s="67">
        <v>0</v>
      </c>
      <c r="K154" s="49"/>
      <c r="L154" s="61"/>
      <c r="M154" s="61"/>
      <c r="N154" s="61"/>
    </row>
    <row r="155" spans="1:14" ht="21.75" customHeight="1" x14ac:dyDescent="0.4">
      <c r="A155" s="55"/>
      <c r="B155" s="56"/>
      <c r="C155" s="56"/>
      <c r="D155" s="73"/>
      <c r="E155" s="77"/>
      <c r="F155" s="75"/>
      <c r="G155" s="99" t="s">
        <v>50</v>
      </c>
      <c r="H155" s="66" t="s">
        <v>16</v>
      </c>
      <c r="I155" s="67">
        <f ca="1">IFERROR(__xludf.DUMMYFUNCTION("IMPORTRANGE(""https://docs.google.com/spreadsheets/d/1C3CXT74ZlgGe6_JY_1olB1XN4rF0dxEuIIF-xsYjHgg/edit?usp=sharing"",""พรบ!BA28"")"),0)</f>
        <v>0</v>
      </c>
      <c r="J155" s="67">
        <v>0</v>
      </c>
      <c r="K155" s="49">
        <f ca="1">IF(I155&gt;0,J155*100/I155,0)</f>
        <v>0</v>
      </c>
      <c r="L155" s="61"/>
      <c r="M155" s="61"/>
      <c r="N155" s="61"/>
    </row>
    <row r="156" spans="1:14" ht="21.75" customHeight="1" x14ac:dyDescent="0.4">
      <c r="A156" s="55"/>
      <c r="B156" s="56"/>
      <c r="C156" s="56"/>
      <c r="D156" s="73"/>
      <c r="E156" s="74" t="s">
        <v>35</v>
      </c>
      <c r="F156" s="75"/>
      <c r="G156" s="76"/>
      <c r="H156" s="66"/>
      <c r="I156" s="67"/>
      <c r="J156" s="67">
        <v>0</v>
      </c>
      <c r="K156" s="49"/>
      <c r="L156" s="61"/>
      <c r="M156" s="61"/>
      <c r="N156" s="61"/>
    </row>
    <row r="157" spans="1:14" ht="21.75" customHeight="1" x14ac:dyDescent="0.4">
      <c r="A157" s="55"/>
      <c r="B157" s="56"/>
      <c r="C157" s="56"/>
      <c r="D157" s="81">
        <v>3</v>
      </c>
      <c r="E157" s="82" t="s">
        <v>36</v>
      </c>
      <c r="F157" s="83"/>
      <c r="G157" s="84"/>
      <c r="H157" s="66"/>
      <c r="I157" s="67"/>
      <c r="J157" s="360">
        <v>0</v>
      </c>
      <c r="K157" s="49"/>
      <c r="L157" s="61"/>
      <c r="M157" s="61"/>
      <c r="N157" s="61"/>
    </row>
    <row r="158" spans="1:14" ht="21.75" customHeight="1" x14ac:dyDescent="0.4">
      <c r="A158" s="55"/>
      <c r="B158" s="56"/>
      <c r="C158" s="134" t="s">
        <v>81</v>
      </c>
      <c r="D158" s="156"/>
      <c r="E158" s="133"/>
      <c r="F158" s="133"/>
      <c r="G158" s="135"/>
      <c r="H158" s="136" t="s">
        <v>16</v>
      </c>
      <c r="I158" s="137">
        <f>I164</f>
        <v>0</v>
      </c>
      <c r="J158" s="137">
        <f>+J164</f>
        <v>0</v>
      </c>
      <c r="K158" s="138">
        <f>IF(I158&gt;0,J158*100/I158,0)</f>
        <v>0</v>
      </c>
      <c r="L158" s="61"/>
      <c r="M158" s="61"/>
      <c r="N158" s="61"/>
    </row>
    <row r="159" spans="1:14" ht="21.75" customHeight="1" x14ac:dyDescent="0.4">
      <c r="A159" s="55"/>
      <c r="B159" s="56"/>
      <c r="C159" s="43" t="s">
        <v>17</v>
      </c>
      <c r="D159" s="57" t="s">
        <v>25</v>
      </c>
      <c r="E159" s="58"/>
      <c r="F159" s="58"/>
      <c r="G159" s="59"/>
      <c r="H159" s="60"/>
      <c r="I159" s="48"/>
      <c r="J159" s="48"/>
      <c r="K159" s="49"/>
      <c r="L159" s="61"/>
      <c r="M159" s="61"/>
      <c r="N159" s="61"/>
    </row>
    <row r="160" spans="1:14" ht="21.75" customHeight="1" x14ac:dyDescent="0.4">
      <c r="A160" s="55"/>
      <c r="B160" s="56"/>
      <c r="C160" s="56"/>
      <c r="D160" s="62">
        <v>1</v>
      </c>
      <c r="E160" s="63" t="s">
        <v>26</v>
      </c>
      <c r="F160" s="64"/>
      <c r="G160" s="65"/>
      <c r="H160" s="66"/>
      <c r="I160" s="67"/>
      <c r="J160" s="67">
        <v>0</v>
      </c>
      <c r="K160" s="49"/>
      <c r="L160" s="61"/>
      <c r="M160" s="61"/>
      <c r="N160" s="61"/>
    </row>
    <row r="161" spans="1:14" ht="21.75" customHeight="1" x14ac:dyDescent="0.4">
      <c r="A161" s="55"/>
      <c r="B161" s="56"/>
      <c r="C161" s="56"/>
      <c r="D161" s="69">
        <v>2</v>
      </c>
      <c r="E161" s="70" t="s">
        <v>27</v>
      </c>
      <c r="F161" s="71"/>
      <c r="G161" s="72"/>
      <c r="H161" s="66"/>
      <c r="I161" s="67"/>
      <c r="J161" s="67">
        <v>0</v>
      </c>
      <c r="K161" s="49"/>
      <c r="L161" s="61" t="s">
        <v>21</v>
      </c>
      <c r="M161" s="61" t="s">
        <v>21</v>
      </c>
      <c r="N161" s="61"/>
    </row>
    <row r="162" spans="1:14" ht="21.75" customHeight="1" x14ac:dyDescent="0.4">
      <c r="A162" s="55"/>
      <c r="B162" s="56"/>
      <c r="C162" s="56"/>
      <c r="D162" s="73"/>
      <c r="E162" s="74" t="s">
        <v>28</v>
      </c>
      <c r="F162" s="75"/>
      <c r="G162" s="76"/>
      <c r="H162" s="66"/>
      <c r="I162" s="67"/>
      <c r="J162" s="67">
        <v>0</v>
      </c>
      <c r="K162" s="49"/>
      <c r="L162" s="61"/>
      <c r="M162" s="61"/>
      <c r="N162" s="61"/>
    </row>
    <row r="163" spans="1:14" ht="21.75" customHeight="1" x14ac:dyDescent="0.4">
      <c r="A163" s="55"/>
      <c r="B163" s="56"/>
      <c r="C163" s="56"/>
      <c r="D163" s="73"/>
      <c r="E163" s="74" t="s">
        <v>29</v>
      </c>
      <c r="F163" s="75"/>
      <c r="G163" s="76"/>
      <c r="H163" s="66"/>
      <c r="I163" s="67"/>
      <c r="J163" s="67">
        <v>0</v>
      </c>
      <c r="K163" s="49"/>
      <c r="L163" s="61"/>
      <c r="M163" s="61"/>
      <c r="N163" s="61"/>
    </row>
    <row r="164" spans="1:14" ht="21.75" customHeight="1" x14ac:dyDescent="0.4">
      <c r="A164" s="55"/>
      <c r="B164" s="56"/>
      <c r="C164" s="56"/>
      <c r="D164" s="73"/>
      <c r="E164" s="75"/>
      <c r="F164" s="74" t="s">
        <v>82</v>
      </c>
      <c r="G164" s="75"/>
      <c r="H164" s="66" t="s">
        <v>16</v>
      </c>
      <c r="I164" s="67">
        <v>0</v>
      </c>
      <c r="J164" s="67">
        <v>0</v>
      </c>
      <c r="K164" s="49">
        <f>IF(I164&gt;0,J164*100/I164,0)</f>
        <v>0</v>
      </c>
      <c r="L164" s="61"/>
      <c r="M164" s="61"/>
      <c r="N164" s="61"/>
    </row>
    <row r="165" spans="1:14" ht="21.75" customHeight="1" x14ac:dyDescent="0.4">
      <c r="A165" s="55"/>
      <c r="B165" s="56"/>
      <c r="C165" s="56"/>
      <c r="D165" s="73"/>
      <c r="E165" s="74" t="s">
        <v>35</v>
      </c>
      <c r="F165" s="75"/>
      <c r="G165" s="76"/>
      <c r="H165" s="66"/>
      <c r="I165" s="67"/>
      <c r="J165" s="67">
        <v>0</v>
      </c>
      <c r="K165" s="49"/>
      <c r="L165" s="61"/>
      <c r="M165" s="61"/>
      <c r="N165" s="61"/>
    </row>
    <row r="166" spans="1:14" ht="21.75" customHeight="1" x14ac:dyDescent="0.4">
      <c r="A166" s="105"/>
      <c r="B166" s="106"/>
      <c r="C166" s="106"/>
      <c r="D166" s="107">
        <v>3</v>
      </c>
      <c r="E166" s="108" t="s">
        <v>36</v>
      </c>
      <c r="F166" s="109"/>
      <c r="G166" s="110"/>
      <c r="H166" s="111"/>
      <c r="I166" s="112"/>
      <c r="J166" s="356">
        <v>0</v>
      </c>
      <c r="K166" s="114"/>
      <c r="L166" s="115"/>
      <c r="M166" s="115"/>
      <c r="N166" s="115"/>
    </row>
    <row r="167" spans="1:14" ht="21.75" customHeight="1" x14ac:dyDescent="0.4">
      <c r="A167" s="157" t="s">
        <v>83</v>
      </c>
      <c r="B167" s="158"/>
      <c r="C167" s="158"/>
      <c r="D167" s="158"/>
      <c r="E167" s="159"/>
      <c r="F167" s="159"/>
      <c r="G167" s="160"/>
      <c r="H167" s="161"/>
      <c r="I167" s="162"/>
      <c r="J167" s="162"/>
      <c r="K167" s="163"/>
      <c r="L167" s="164"/>
      <c r="M167" s="164"/>
      <c r="N167" s="165"/>
    </row>
    <row r="168" spans="1:14" ht="21.75" customHeight="1" x14ac:dyDescent="0.4">
      <c r="A168" s="166" t="s">
        <v>84</v>
      </c>
      <c r="B168" s="167"/>
      <c r="C168" s="167"/>
      <c r="D168" s="168"/>
      <c r="E168" s="168"/>
      <c r="F168" s="168"/>
      <c r="G168" s="169"/>
      <c r="H168" s="170"/>
      <c r="I168" s="171"/>
      <c r="J168" s="171"/>
      <c r="K168" s="172"/>
      <c r="L168" s="172"/>
      <c r="M168" s="172"/>
      <c r="N168" s="173"/>
    </row>
    <row r="169" spans="1:14" ht="21.75" customHeight="1" x14ac:dyDescent="0.4">
      <c r="A169" s="174"/>
      <c r="B169" s="175" t="s">
        <v>85</v>
      </c>
      <c r="C169" s="175"/>
      <c r="D169" s="175"/>
      <c r="E169" s="175"/>
      <c r="F169" s="175"/>
      <c r="G169" s="176"/>
      <c r="H169" s="177" t="s">
        <v>16</v>
      </c>
      <c r="I169" s="178">
        <f ca="1">I180</f>
        <v>0</v>
      </c>
      <c r="J169" s="178">
        <f>+J180</f>
        <v>0</v>
      </c>
      <c r="K169" s="179">
        <f ca="1">IF(I169&gt;0,J169*100/I169,0)</f>
        <v>0</v>
      </c>
      <c r="L169" s="180">
        <f ca="1">L170+L171</f>
        <v>0</v>
      </c>
      <c r="M169" s="180">
        <f>SUM(M170:M171)</f>
        <v>0</v>
      </c>
      <c r="N169" s="179">
        <f ca="1">IF(L169&gt;0,M169*100/L169,0)</f>
        <v>0</v>
      </c>
    </row>
    <row r="170" spans="1:14" ht="21.75" customHeight="1" x14ac:dyDescent="0.4">
      <c r="A170" s="42"/>
      <c r="B170" s="43"/>
      <c r="C170" s="43" t="s">
        <v>17</v>
      </c>
      <c r="D170" s="44" t="s">
        <v>18</v>
      </c>
      <c r="E170" s="45"/>
      <c r="F170" s="45"/>
      <c r="G170" s="46" t="s">
        <v>19</v>
      </c>
      <c r="H170" s="47" t="s">
        <v>20</v>
      </c>
      <c r="I170" s="48" t="s">
        <v>21</v>
      </c>
      <c r="J170" s="48"/>
      <c r="K170" s="49"/>
      <c r="L170" s="50">
        <v>0</v>
      </c>
      <c r="M170" s="50">
        <v>0</v>
      </c>
      <c r="N170" s="50">
        <f t="shared" ref="N170:N173" si="39">+IF(L170&gt;0,M170*100/L170,0)</f>
        <v>0</v>
      </c>
    </row>
    <row r="171" spans="1:14" ht="21.75" customHeight="1" x14ac:dyDescent="0.4">
      <c r="A171" s="42"/>
      <c r="B171" s="43"/>
      <c r="C171" s="43"/>
      <c r="D171" s="51"/>
      <c r="E171" s="45"/>
      <c r="F171" s="45" t="s">
        <v>21</v>
      </c>
      <c r="G171" s="46" t="s">
        <v>22</v>
      </c>
      <c r="H171" s="47" t="s">
        <v>20</v>
      </c>
      <c r="I171" s="48"/>
      <c r="J171" s="48"/>
      <c r="K171" s="49"/>
      <c r="L171" s="50">
        <f t="shared" ref="L171:M171" ca="1" si="40">SUM(L172:L173)</f>
        <v>0</v>
      </c>
      <c r="M171" s="50">
        <f t="shared" si="40"/>
        <v>0</v>
      </c>
      <c r="N171" s="50">
        <f t="shared" ca="1" si="39"/>
        <v>0</v>
      </c>
    </row>
    <row r="172" spans="1:14" ht="21.75" customHeight="1" x14ac:dyDescent="0.4">
      <c r="A172" s="42"/>
      <c r="B172" s="43"/>
      <c r="C172" s="43"/>
      <c r="D172" s="51"/>
      <c r="E172" s="45"/>
      <c r="F172" s="45"/>
      <c r="G172" s="52" t="s">
        <v>23</v>
      </c>
      <c r="H172" s="47" t="s">
        <v>20</v>
      </c>
      <c r="I172" s="48"/>
      <c r="J172" s="67"/>
      <c r="K172" s="233"/>
      <c r="L172" s="53">
        <f ca="1">IFERROR(__xludf.DUMMYFUNCTION("IMPORTRANGE(""https://docs.google.com/spreadsheets/d/1C3CXT74ZlgGe6_JY_1olB1XN4rF0dxEuIIF-xsYjHgg/edit?usp=sharing"",""พรบ!BD28"")"),0)</f>
        <v>0</v>
      </c>
      <c r="M172" s="53">
        <v>0</v>
      </c>
      <c r="N172" s="53">
        <f t="shared" ca="1" si="39"/>
        <v>0</v>
      </c>
    </row>
    <row r="173" spans="1:14" ht="21.75" customHeight="1" x14ac:dyDescent="0.4">
      <c r="A173" s="42"/>
      <c r="B173" s="43"/>
      <c r="C173" s="43"/>
      <c r="D173" s="51"/>
      <c r="E173" s="45"/>
      <c r="F173" s="45"/>
      <c r="G173" s="52" t="s">
        <v>24</v>
      </c>
      <c r="H173" s="47" t="s">
        <v>20</v>
      </c>
      <c r="I173" s="48"/>
      <c r="J173" s="67"/>
      <c r="K173" s="233"/>
      <c r="L173" s="53">
        <f ca="1">IFERROR(__xludf.DUMMYFUNCTION("IMPORTRANGE(""https://docs.google.com/spreadsheets/d/1C3CXT74ZlgGe6_JY_1olB1XN4rF0dxEuIIF-xsYjHgg/edit?usp=sharing"",""พรบ!BE28"")"),0)</f>
        <v>0</v>
      </c>
      <c r="M173" s="53">
        <v>0</v>
      </c>
      <c r="N173" s="53">
        <f t="shared" ca="1" si="39"/>
        <v>0</v>
      </c>
    </row>
    <row r="174" spans="1:14" ht="21.75" customHeight="1" x14ac:dyDescent="0.4">
      <c r="A174" s="55"/>
      <c r="B174" s="56"/>
      <c r="C174" s="43" t="s">
        <v>17</v>
      </c>
      <c r="D174" s="57" t="s">
        <v>25</v>
      </c>
      <c r="E174" s="58"/>
      <c r="F174" s="58"/>
      <c r="G174" s="59"/>
      <c r="H174" s="60"/>
      <c r="I174" s="48"/>
      <c r="J174" s="67"/>
      <c r="K174" s="233"/>
      <c r="L174" s="53"/>
      <c r="M174" s="53"/>
      <c r="N174" s="61"/>
    </row>
    <row r="175" spans="1:14" ht="21.75" customHeight="1" x14ac:dyDescent="0.4">
      <c r="A175" s="55"/>
      <c r="B175" s="56"/>
      <c r="C175" s="56"/>
      <c r="D175" s="62">
        <v>1</v>
      </c>
      <c r="E175" s="63" t="s">
        <v>26</v>
      </c>
      <c r="F175" s="64"/>
      <c r="G175" s="65"/>
      <c r="H175" s="66"/>
      <c r="I175" s="67"/>
      <c r="J175" s="67">
        <v>0</v>
      </c>
      <c r="K175" s="233"/>
      <c r="L175" s="53"/>
      <c r="M175" s="53"/>
      <c r="N175" s="61"/>
    </row>
    <row r="176" spans="1:14" ht="21.75" customHeight="1" x14ac:dyDescent="0.4">
      <c r="A176" s="55"/>
      <c r="B176" s="56"/>
      <c r="C176" s="56"/>
      <c r="D176" s="69">
        <v>2</v>
      </c>
      <c r="E176" s="70" t="s">
        <v>27</v>
      </c>
      <c r="F176" s="71"/>
      <c r="G176" s="72"/>
      <c r="H176" s="66"/>
      <c r="I176" s="67"/>
      <c r="J176" s="67">
        <v>0</v>
      </c>
      <c r="K176" s="233"/>
      <c r="L176" s="53" t="s">
        <v>21</v>
      </c>
      <c r="M176" s="53" t="s">
        <v>21</v>
      </c>
      <c r="N176" s="61"/>
    </row>
    <row r="177" spans="1:14" ht="21.75" customHeight="1" x14ac:dyDescent="0.4">
      <c r="A177" s="55"/>
      <c r="B177" s="56"/>
      <c r="C177" s="56"/>
      <c r="D177" s="73"/>
      <c r="E177" s="74" t="s">
        <v>28</v>
      </c>
      <c r="F177" s="75"/>
      <c r="G177" s="76"/>
      <c r="H177" s="66"/>
      <c r="I177" s="67"/>
      <c r="J177" s="67">
        <v>0</v>
      </c>
      <c r="K177" s="233"/>
      <c r="L177" s="53"/>
      <c r="M177" s="53"/>
      <c r="N177" s="61"/>
    </row>
    <row r="178" spans="1:14" ht="21.75" customHeight="1" x14ac:dyDescent="0.4">
      <c r="A178" s="55"/>
      <c r="B178" s="56"/>
      <c r="C178" s="56"/>
      <c r="D178" s="73"/>
      <c r="E178" s="74" t="s">
        <v>29</v>
      </c>
      <c r="F178" s="75"/>
      <c r="G178" s="76"/>
      <c r="H178" s="66"/>
      <c r="I178" s="67"/>
      <c r="J178" s="67">
        <v>0</v>
      </c>
      <c r="K178" s="233"/>
      <c r="L178" s="53"/>
      <c r="M178" s="53"/>
      <c r="N178" s="61"/>
    </row>
    <row r="179" spans="1:14" ht="21.75" customHeight="1" x14ac:dyDescent="0.4">
      <c r="A179" s="55"/>
      <c r="B179" s="56"/>
      <c r="C179" s="56"/>
      <c r="D179" s="73"/>
      <c r="E179" s="77"/>
      <c r="F179" s="74" t="s">
        <v>86</v>
      </c>
      <c r="G179" s="76"/>
      <c r="H179" s="60" t="s">
        <v>40</v>
      </c>
      <c r="I179" s="67">
        <f ca="1">IFERROR(__xludf.DUMMYFUNCTION("IMPORTRANGE(""https://docs.google.com/spreadsheets/d/1C3CXT74ZlgGe6_JY_1olB1XN4rF0dxEuIIF-xsYjHgg/edit?usp=sharing"",""พรบ!BF28"")"),0)</f>
        <v>0</v>
      </c>
      <c r="J179" s="67">
        <v>0</v>
      </c>
      <c r="K179" s="233">
        <f t="shared" ref="K179:K182" ca="1" si="41">IF(I179&gt;0,J179*100/I179,0)</f>
        <v>0</v>
      </c>
      <c r="L179" s="53"/>
      <c r="M179" s="53"/>
      <c r="N179" s="61"/>
    </row>
    <row r="180" spans="1:14" ht="21.75" customHeight="1" x14ac:dyDescent="0.4">
      <c r="A180" s="55"/>
      <c r="B180" s="56"/>
      <c r="C180" s="56"/>
      <c r="D180" s="73"/>
      <c r="E180" s="77"/>
      <c r="F180" s="74" t="s">
        <v>87</v>
      </c>
      <c r="G180" s="76"/>
      <c r="H180" s="60" t="s">
        <v>16</v>
      </c>
      <c r="I180" s="67">
        <f ca="1">IFERROR(__xludf.DUMMYFUNCTION("IMPORTRANGE(""https://docs.google.com/spreadsheets/d/1C3CXT74ZlgGe6_JY_1olB1XN4rF0dxEuIIF-xsYjHgg/edit?usp=sharing"",""พรบ!BG28"")"),0)</f>
        <v>0</v>
      </c>
      <c r="J180" s="67">
        <v>0</v>
      </c>
      <c r="K180" s="233">
        <f t="shared" ca="1" si="41"/>
        <v>0</v>
      </c>
      <c r="L180" s="53"/>
      <c r="M180" s="53"/>
      <c r="N180" s="61"/>
    </row>
    <row r="181" spans="1:14" ht="21.75" customHeight="1" x14ac:dyDescent="0.4">
      <c r="A181" s="55"/>
      <c r="B181" s="56"/>
      <c r="C181" s="56"/>
      <c r="D181" s="73"/>
      <c r="E181" s="77"/>
      <c r="F181" s="74" t="s">
        <v>88</v>
      </c>
      <c r="G181" s="76"/>
      <c r="H181" s="60" t="s">
        <v>16</v>
      </c>
      <c r="I181" s="67">
        <f ca="1">IFERROR(__xludf.DUMMYFUNCTION("IMPORTRANGE(""https://docs.google.com/spreadsheets/d/1C3CXT74ZlgGe6_JY_1olB1XN4rF0dxEuIIF-xsYjHgg/edit?usp=sharing"",""พรบ!BH28"")"),0)</f>
        <v>0</v>
      </c>
      <c r="J181" s="67">
        <v>0</v>
      </c>
      <c r="K181" s="233">
        <f t="shared" ca="1" si="41"/>
        <v>0</v>
      </c>
      <c r="L181" s="53"/>
      <c r="M181" s="53"/>
      <c r="N181" s="61"/>
    </row>
    <row r="182" spans="1:14" ht="21.75" customHeight="1" x14ac:dyDescent="0.4">
      <c r="A182" s="55"/>
      <c r="B182" s="56"/>
      <c r="C182" s="56"/>
      <c r="D182" s="73"/>
      <c r="E182" s="77"/>
      <c r="F182" s="74" t="s">
        <v>89</v>
      </c>
      <c r="G182" s="76"/>
      <c r="H182" s="60" t="s">
        <v>16</v>
      </c>
      <c r="I182" s="67">
        <f ca="1">IFERROR(__xludf.DUMMYFUNCTION("IMPORTRANGE(""https://docs.google.com/spreadsheets/d/1C3CXT74ZlgGe6_JY_1olB1XN4rF0dxEuIIF-xsYjHgg/edit?usp=sharing"",""พรบ!BI28"")"),0)</f>
        <v>0</v>
      </c>
      <c r="J182" s="67">
        <v>0</v>
      </c>
      <c r="K182" s="233">
        <f t="shared" ca="1" si="41"/>
        <v>0</v>
      </c>
      <c r="L182" s="53"/>
      <c r="M182" s="53"/>
      <c r="N182" s="61"/>
    </row>
    <row r="183" spans="1:14" ht="21.75" customHeight="1" x14ac:dyDescent="0.4">
      <c r="A183" s="55"/>
      <c r="B183" s="56"/>
      <c r="C183" s="56"/>
      <c r="D183" s="73"/>
      <c r="E183" s="74" t="s">
        <v>35</v>
      </c>
      <c r="F183" s="75"/>
      <c r="G183" s="76"/>
      <c r="H183" s="66"/>
      <c r="I183" s="67"/>
      <c r="J183" s="67">
        <v>0</v>
      </c>
      <c r="K183" s="233"/>
      <c r="L183" s="53"/>
      <c r="M183" s="53"/>
      <c r="N183" s="61"/>
    </row>
    <row r="184" spans="1:14" ht="21.75" customHeight="1" x14ac:dyDescent="0.4">
      <c r="A184" s="105"/>
      <c r="B184" s="106"/>
      <c r="C184" s="106"/>
      <c r="D184" s="107">
        <v>3</v>
      </c>
      <c r="E184" s="108" t="s">
        <v>36</v>
      </c>
      <c r="F184" s="109"/>
      <c r="G184" s="110"/>
      <c r="H184" s="111"/>
      <c r="I184" s="112"/>
      <c r="J184" s="356">
        <v>0</v>
      </c>
      <c r="K184" s="357"/>
      <c r="L184" s="358"/>
      <c r="M184" s="358"/>
      <c r="N184" s="115"/>
    </row>
    <row r="185" spans="1:14" ht="21.75" customHeight="1" x14ac:dyDescent="0.4">
      <c r="A185" s="174"/>
      <c r="B185" s="175" t="s">
        <v>90</v>
      </c>
      <c r="C185" s="175"/>
      <c r="D185" s="175"/>
      <c r="E185" s="175"/>
      <c r="F185" s="175"/>
      <c r="G185" s="176"/>
      <c r="H185" s="177" t="s">
        <v>16</v>
      </c>
      <c r="I185" s="178">
        <f ca="1">I195</f>
        <v>15</v>
      </c>
      <c r="J185" s="178">
        <f>+J195</f>
        <v>0</v>
      </c>
      <c r="K185" s="179">
        <f ca="1">IF(I185&gt;0,J185*100/I185,0)</f>
        <v>0</v>
      </c>
      <c r="L185" s="180">
        <f ca="1">L186+L187</f>
        <v>55200</v>
      </c>
      <c r="M185" s="180">
        <f>SUM(M186:M187)</f>
        <v>0</v>
      </c>
      <c r="N185" s="179">
        <f ca="1">IF(L185&gt;0,M185*100/L185,0)</f>
        <v>0</v>
      </c>
    </row>
    <row r="186" spans="1:14" ht="21.75" customHeight="1" x14ac:dyDescent="0.4">
      <c r="A186" s="42"/>
      <c r="B186" s="43"/>
      <c r="C186" s="43" t="s">
        <v>17</v>
      </c>
      <c r="D186" s="44" t="s">
        <v>18</v>
      </c>
      <c r="E186" s="45"/>
      <c r="F186" s="45"/>
      <c r="G186" s="46" t="s">
        <v>19</v>
      </c>
      <c r="H186" s="47" t="s">
        <v>20</v>
      </c>
      <c r="I186" s="48" t="s">
        <v>21</v>
      </c>
      <c r="J186" s="48"/>
      <c r="K186" s="49"/>
      <c r="L186" s="50">
        <v>0</v>
      </c>
      <c r="M186" s="50">
        <v>0</v>
      </c>
      <c r="N186" s="50">
        <f t="shared" ref="N186:N189" si="42">+IF(L186&gt;0,M186*100/L186,0)</f>
        <v>0</v>
      </c>
    </row>
    <row r="187" spans="1:14" ht="21.75" customHeight="1" x14ac:dyDescent="0.4">
      <c r="A187" s="42"/>
      <c r="B187" s="43"/>
      <c r="C187" s="43"/>
      <c r="D187" s="51"/>
      <c r="E187" s="45"/>
      <c r="F187" s="45" t="s">
        <v>21</v>
      </c>
      <c r="G187" s="46" t="s">
        <v>22</v>
      </c>
      <c r="H187" s="47" t="s">
        <v>20</v>
      </c>
      <c r="I187" s="48"/>
      <c r="J187" s="48"/>
      <c r="K187" s="49"/>
      <c r="L187" s="50">
        <f t="shared" ref="L187:M187" ca="1" si="43">SUM(L188:L189)</f>
        <v>55200</v>
      </c>
      <c r="M187" s="50">
        <f t="shared" si="43"/>
        <v>0</v>
      </c>
      <c r="N187" s="50">
        <f t="shared" ca="1" si="42"/>
        <v>0</v>
      </c>
    </row>
    <row r="188" spans="1:14" ht="21.75" customHeight="1" x14ac:dyDescent="0.4">
      <c r="A188" s="42"/>
      <c r="B188" s="43"/>
      <c r="C188" s="43"/>
      <c r="D188" s="51"/>
      <c r="E188" s="45"/>
      <c r="F188" s="45"/>
      <c r="G188" s="52" t="s">
        <v>23</v>
      </c>
      <c r="H188" s="47" t="s">
        <v>20</v>
      </c>
      <c r="I188" s="48"/>
      <c r="J188" s="48"/>
      <c r="K188" s="49"/>
      <c r="L188" s="53">
        <f ca="1">IFERROR(__xludf.DUMMYFUNCTION("IMPORTRANGE(""https://docs.google.com/spreadsheets/d/1C3CXT74ZlgGe6_JY_1olB1XN4rF0dxEuIIF-xsYjHgg/edit?usp=sharing"",""พรบ!BK28"")"),0)</f>
        <v>0</v>
      </c>
      <c r="M188" s="54">
        <v>0</v>
      </c>
      <c r="N188" s="53">
        <f t="shared" ca="1" si="42"/>
        <v>0</v>
      </c>
    </row>
    <row r="189" spans="1:14" ht="21.75" customHeight="1" x14ac:dyDescent="0.4">
      <c r="A189" s="42"/>
      <c r="B189" s="43"/>
      <c r="C189" s="43"/>
      <c r="D189" s="51"/>
      <c r="E189" s="45"/>
      <c r="F189" s="45"/>
      <c r="G189" s="52" t="s">
        <v>24</v>
      </c>
      <c r="H189" s="47" t="s">
        <v>20</v>
      </c>
      <c r="I189" s="48"/>
      <c r="J189" s="48"/>
      <c r="K189" s="49"/>
      <c r="L189" s="53">
        <f ca="1">IFERROR(__xludf.DUMMYFUNCTION("IMPORTRANGE(""https://docs.google.com/spreadsheets/d/1C3CXT74ZlgGe6_JY_1olB1XN4rF0dxEuIIF-xsYjHgg/edit?usp=sharing"",""พรบ!BL28"")"),55200)</f>
        <v>55200</v>
      </c>
      <c r="M189" s="54">
        <v>0</v>
      </c>
      <c r="N189" s="53">
        <f t="shared" ca="1" si="42"/>
        <v>0</v>
      </c>
    </row>
    <row r="190" spans="1:14" ht="21.75" customHeight="1" x14ac:dyDescent="0.4">
      <c r="A190" s="55"/>
      <c r="B190" s="56"/>
      <c r="C190" s="43" t="s">
        <v>17</v>
      </c>
      <c r="D190" s="57" t="s">
        <v>25</v>
      </c>
      <c r="E190" s="58"/>
      <c r="F190" s="58"/>
      <c r="G190" s="59"/>
      <c r="H190" s="60"/>
      <c r="I190" s="48"/>
      <c r="J190" s="48"/>
      <c r="K190" s="49"/>
      <c r="L190" s="61"/>
      <c r="M190" s="61"/>
      <c r="N190" s="61"/>
    </row>
    <row r="191" spans="1:14" ht="21.75" customHeight="1" x14ac:dyDescent="0.4">
      <c r="A191" s="55"/>
      <c r="B191" s="56"/>
      <c r="C191" s="56"/>
      <c r="D191" s="62">
        <v>1</v>
      </c>
      <c r="E191" s="63" t="s">
        <v>26</v>
      </c>
      <c r="F191" s="64"/>
      <c r="G191" s="65"/>
      <c r="H191" s="66"/>
      <c r="I191" s="67"/>
      <c r="J191" s="68">
        <v>0</v>
      </c>
      <c r="K191" s="49"/>
      <c r="L191" s="61"/>
      <c r="M191" s="61"/>
      <c r="N191" s="61"/>
    </row>
    <row r="192" spans="1:14" ht="21.75" customHeight="1" x14ac:dyDescent="0.4">
      <c r="A192" s="55"/>
      <c r="B192" s="56"/>
      <c r="C192" s="56"/>
      <c r="D192" s="69">
        <v>2</v>
      </c>
      <c r="E192" s="70" t="s">
        <v>27</v>
      </c>
      <c r="F192" s="71"/>
      <c r="G192" s="72"/>
      <c r="H192" s="66"/>
      <c r="I192" s="67"/>
      <c r="J192" s="68">
        <v>1</v>
      </c>
      <c r="K192" s="49"/>
      <c r="L192" s="61"/>
      <c r="M192" s="61"/>
      <c r="N192" s="61"/>
    </row>
    <row r="193" spans="1:14" ht="21.75" customHeight="1" x14ac:dyDescent="0.4">
      <c r="A193" s="55"/>
      <c r="B193" s="56"/>
      <c r="C193" s="56"/>
      <c r="D193" s="73"/>
      <c r="E193" s="74" t="s">
        <v>28</v>
      </c>
      <c r="F193" s="75"/>
      <c r="G193" s="76"/>
      <c r="H193" s="66"/>
      <c r="I193" s="67"/>
      <c r="J193" s="68">
        <v>1</v>
      </c>
      <c r="K193" s="49"/>
      <c r="L193" s="61"/>
      <c r="M193" s="61"/>
      <c r="N193" s="61"/>
    </row>
    <row r="194" spans="1:14" ht="21.75" customHeight="1" x14ac:dyDescent="0.4">
      <c r="A194" s="55"/>
      <c r="B194" s="56"/>
      <c r="C194" s="56"/>
      <c r="D194" s="73"/>
      <c r="E194" s="74" t="s">
        <v>29</v>
      </c>
      <c r="F194" s="75"/>
      <c r="G194" s="76"/>
      <c r="H194" s="66"/>
      <c r="I194" s="67"/>
      <c r="J194" s="68">
        <v>1</v>
      </c>
      <c r="K194" s="49"/>
      <c r="L194" s="61"/>
      <c r="M194" s="61"/>
      <c r="N194" s="61"/>
    </row>
    <row r="195" spans="1:14" ht="21.75" customHeight="1" x14ac:dyDescent="0.4">
      <c r="A195" s="55"/>
      <c r="B195" s="56"/>
      <c r="C195" s="56"/>
      <c r="D195" s="73"/>
      <c r="E195" s="75"/>
      <c r="F195" s="74" t="s">
        <v>91</v>
      </c>
      <c r="G195" s="76"/>
      <c r="H195" s="66" t="s">
        <v>16</v>
      </c>
      <c r="I195" s="67">
        <f ca="1">IFERROR(__xludf.DUMMYFUNCTION("IMPORTRANGE(""https://docs.google.com/spreadsheets/d/1C3CXT74ZlgGe6_JY_1olB1XN4rF0dxEuIIF-xsYjHgg/edit?usp=sharing"",""พรบ!BM28"")"),15)</f>
        <v>15</v>
      </c>
      <c r="J195" s="68">
        <v>0</v>
      </c>
      <c r="K195" s="49">
        <f ca="1">IF(I195&gt;0,J195*100/I195,0)</f>
        <v>0</v>
      </c>
      <c r="L195" s="61"/>
      <c r="M195" s="61"/>
      <c r="N195" s="61"/>
    </row>
    <row r="196" spans="1:14" ht="21.75" customHeight="1" x14ac:dyDescent="0.4">
      <c r="A196" s="55"/>
      <c r="B196" s="56"/>
      <c r="C196" s="56"/>
      <c r="D196" s="73"/>
      <c r="E196" s="74" t="s">
        <v>35</v>
      </c>
      <c r="F196" s="75"/>
      <c r="G196" s="76"/>
      <c r="H196" s="66"/>
      <c r="I196" s="67"/>
      <c r="J196" s="68">
        <v>0</v>
      </c>
      <c r="K196" s="49"/>
      <c r="L196" s="61"/>
      <c r="M196" s="61"/>
      <c r="N196" s="61"/>
    </row>
    <row r="197" spans="1:14" ht="21.75" customHeight="1" x14ac:dyDescent="0.4">
      <c r="A197" s="55"/>
      <c r="B197" s="56"/>
      <c r="C197" s="56"/>
      <c r="D197" s="81">
        <v>3</v>
      </c>
      <c r="E197" s="82" t="s">
        <v>36</v>
      </c>
      <c r="F197" s="83"/>
      <c r="G197" s="84"/>
      <c r="H197" s="66"/>
      <c r="I197" s="67"/>
      <c r="J197" s="85">
        <v>0</v>
      </c>
      <c r="K197" s="49"/>
      <c r="L197" s="61"/>
      <c r="M197" s="61"/>
      <c r="N197" s="61"/>
    </row>
    <row r="198" spans="1:14" ht="21.75" customHeight="1" x14ac:dyDescent="0.4">
      <c r="A198" s="166" t="s">
        <v>92</v>
      </c>
      <c r="B198" s="167"/>
      <c r="C198" s="167"/>
      <c r="D198" s="168"/>
      <c r="E198" s="167"/>
      <c r="F198" s="167"/>
      <c r="G198" s="181"/>
      <c r="H198" s="182"/>
      <c r="I198" s="183"/>
      <c r="J198" s="183"/>
      <c r="K198" s="184"/>
      <c r="L198" s="184"/>
      <c r="M198" s="184"/>
      <c r="N198" s="173"/>
    </row>
    <row r="199" spans="1:14" ht="21.75" customHeight="1" x14ac:dyDescent="0.4">
      <c r="A199" s="185"/>
      <c r="B199" s="175" t="s">
        <v>93</v>
      </c>
      <c r="C199" s="186"/>
      <c r="D199" s="187"/>
      <c r="E199" s="175"/>
      <c r="F199" s="175"/>
      <c r="G199" s="176"/>
      <c r="H199" s="177" t="s">
        <v>16</v>
      </c>
      <c r="I199" s="178">
        <f t="shared" ref="I199:J199" ca="1" si="44">I209</f>
        <v>0</v>
      </c>
      <c r="J199" s="178">
        <f t="shared" si="44"/>
        <v>0</v>
      </c>
      <c r="K199" s="179">
        <f ca="1">IF(I199&gt;0,J199*100/I199,0)</f>
        <v>0</v>
      </c>
      <c r="L199" s="180">
        <f ca="1">L200+L201</f>
        <v>0</v>
      </c>
      <c r="M199" s="180">
        <f>SUM(M200:M201)</f>
        <v>0</v>
      </c>
      <c r="N199" s="179">
        <f ca="1">IF(L199&gt;0,M199*100/L199,0)</f>
        <v>0</v>
      </c>
    </row>
    <row r="200" spans="1:14" ht="21.75" customHeight="1" x14ac:dyDescent="0.4">
      <c r="A200" s="42"/>
      <c r="B200" s="43"/>
      <c r="C200" s="43" t="s">
        <v>17</v>
      </c>
      <c r="D200" s="44" t="s">
        <v>18</v>
      </c>
      <c r="E200" s="45"/>
      <c r="F200" s="45"/>
      <c r="G200" s="46" t="s">
        <v>19</v>
      </c>
      <c r="H200" s="47" t="s">
        <v>20</v>
      </c>
      <c r="I200" s="48" t="s">
        <v>21</v>
      </c>
      <c r="J200" s="48"/>
      <c r="K200" s="49"/>
      <c r="L200" s="50">
        <v>0</v>
      </c>
      <c r="M200" s="50">
        <v>0</v>
      </c>
      <c r="N200" s="50">
        <f t="shared" ref="N200:N203" si="45">+IF(L200&gt;0,M200*100/L200,0)</f>
        <v>0</v>
      </c>
    </row>
    <row r="201" spans="1:14" ht="21.75" customHeight="1" x14ac:dyDescent="0.4">
      <c r="A201" s="42"/>
      <c r="B201" s="43"/>
      <c r="C201" s="43"/>
      <c r="D201" s="51"/>
      <c r="E201" s="45"/>
      <c r="F201" s="45" t="s">
        <v>21</v>
      </c>
      <c r="G201" s="46" t="s">
        <v>22</v>
      </c>
      <c r="H201" s="47" t="s">
        <v>20</v>
      </c>
      <c r="I201" s="48"/>
      <c r="J201" s="48"/>
      <c r="K201" s="49"/>
      <c r="L201" s="50">
        <f t="shared" ref="L201:M201" ca="1" si="46">SUM(L202:L203)</f>
        <v>0</v>
      </c>
      <c r="M201" s="50">
        <f t="shared" si="46"/>
        <v>0</v>
      </c>
      <c r="N201" s="50">
        <f t="shared" ca="1" si="45"/>
        <v>0</v>
      </c>
    </row>
    <row r="202" spans="1:14" ht="21.75" customHeight="1" x14ac:dyDescent="0.4">
      <c r="A202" s="42"/>
      <c r="B202" s="43"/>
      <c r="C202" s="43"/>
      <c r="D202" s="51"/>
      <c r="E202" s="45"/>
      <c r="F202" s="45"/>
      <c r="G202" s="52" t="s">
        <v>23</v>
      </c>
      <c r="H202" s="47" t="s">
        <v>20</v>
      </c>
      <c r="I202" s="48"/>
      <c r="J202" s="48"/>
      <c r="K202" s="49"/>
      <c r="L202" s="53">
        <v>0</v>
      </c>
      <c r="M202" s="53">
        <v>0</v>
      </c>
      <c r="N202" s="53">
        <f t="shared" si="45"/>
        <v>0</v>
      </c>
    </row>
    <row r="203" spans="1:14" ht="21.75" customHeight="1" x14ac:dyDescent="0.4">
      <c r="A203" s="42"/>
      <c r="B203" s="43"/>
      <c r="C203" s="43"/>
      <c r="D203" s="51"/>
      <c r="E203" s="45"/>
      <c r="F203" s="45"/>
      <c r="G203" s="52" t="s">
        <v>24</v>
      </c>
      <c r="H203" s="47" t="s">
        <v>20</v>
      </c>
      <c r="I203" s="48"/>
      <c r="J203" s="67"/>
      <c r="K203" s="233"/>
      <c r="L203" s="53">
        <f ca="1">IFERROR(__xludf.DUMMYFUNCTION("IMPORTRANGE(""https://docs.google.com/spreadsheets/d/1C3CXT74ZlgGe6_JY_1olB1XN4rF0dxEuIIF-xsYjHgg/edit?usp=sharing"",""พรบ!BP28"")"),0)</f>
        <v>0</v>
      </c>
      <c r="M203" s="53">
        <v>0</v>
      </c>
      <c r="N203" s="53">
        <f t="shared" ca="1" si="45"/>
        <v>0</v>
      </c>
    </row>
    <row r="204" spans="1:14" ht="21.75" customHeight="1" x14ac:dyDescent="0.4">
      <c r="A204" s="55"/>
      <c r="B204" s="56"/>
      <c r="C204" s="43" t="s">
        <v>17</v>
      </c>
      <c r="D204" s="57" t="s">
        <v>25</v>
      </c>
      <c r="E204" s="58"/>
      <c r="F204" s="58"/>
      <c r="G204" s="59"/>
      <c r="H204" s="60"/>
      <c r="I204" s="48"/>
      <c r="J204" s="67"/>
      <c r="K204" s="233"/>
      <c r="L204" s="53"/>
      <c r="M204" s="53"/>
      <c r="N204" s="61"/>
    </row>
    <row r="205" spans="1:14" ht="21.75" customHeight="1" x14ac:dyDescent="0.4">
      <c r="A205" s="55"/>
      <c r="B205" s="56"/>
      <c r="C205" s="56"/>
      <c r="D205" s="62">
        <v>1</v>
      </c>
      <c r="E205" s="63" t="s">
        <v>26</v>
      </c>
      <c r="F205" s="64"/>
      <c r="G205" s="65"/>
      <c r="H205" s="66"/>
      <c r="I205" s="67"/>
      <c r="J205" s="67">
        <v>0</v>
      </c>
      <c r="K205" s="233"/>
      <c r="L205" s="53"/>
      <c r="M205" s="53"/>
      <c r="N205" s="61"/>
    </row>
    <row r="206" spans="1:14" ht="21.75" customHeight="1" x14ac:dyDescent="0.4">
      <c r="A206" s="55"/>
      <c r="B206" s="56"/>
      <c r="C206" s="56"/>
      <c r="D206" s="69">
        <v>2</v>
      </c>
      <c r="E206" s="70" t="s">
        <v>27</v>
      </c>
      <c r="F206" s="71"/>
      <c r="G206" s="72"/>
      <c r="H206" s="66"/>
      <c r="I206" s="67"/>
      <c r="J206" s="67">
        <v>0</v>
      </c>
      <c r="K206" s="233"/>
      <c r="L206" s="53" t="s">
        <v>21</v>
      </c>
      <c r="M206" s="53" t="s">
        <v>21</v>
      </c>
      <c r="N206" s="61"/>
    </row>
    <row r="207" spans="1:14" ht="21.75" customHeight="1" x14ac:dyDescent="0.4">
      <c r="A207" s="55"/>
      <c r="B207" s="56"/>
      <c r="C207" s="56"/>
      <c r="D207" s="73"/>
      <c r="E207" s="74" t="s">
        <v>28</v>
      </c>
      <c r="F207" s="75"/>
      <c r="G207" s="76"/>
      <c r="H207" s="66"/>
      <c r="I207" s="67"/>
      <c r="J207" s="67">
        <v>0</v>
      </c>
      <c r="K207" s="233"/>
      <c r="L207" s="53"/>
      <c r="M207" s="53"/>
      <c r="N207" s="61"/>
    </row>
    <row r="208" spans="1:14" ht="21.75" customHeight="1" x14ac:dyDescent="0.4">
      <c r="A208" s="55"/>
      <c r="B208" s="56"/>
      <c r="C208" s="56"/>
      <c r="D208" s="73"/>
      <c r="E208" s="74" t="s">
        <v>29</v>
      </c>
      <c r="F208" s="75"/>
      <c r="G208" s="76"/>
      <c r="H208" s="66"/>
      <c r="I208" s="67"/>
      <c r="J208" s="67">
        <v>0</v>
      </c>
      <c r="K208" s="233"/>
      <c r="L208" s="53"/>
      <c r="M208" s="53"/>
      <c r="N208" s="61"/>
    </row>
    <row r="209" spans="1:14" ht="21.75" customHeight="1" x14ac:dyDescent="0.4">
      <c r="A209" s="55"/>
      <c r="B209" s="56"/>
      <c r="C209" s="56"/>
      <c r="D209" s="73"/>
      <c r="E209" s="77"/>
      <c r="F209" s="74" t="s">
        <v>94</v>
      </c>
      <c r="G209" s="76"/>
      <c r="H209" s="60" t="s">
        <v>16</v>
      </c>
      <c r="I209" s="67">
        <f ca="1">IFERROR(__xludf.DUMMYFUNCTION("IMPORTRANGE(""https://docs.google.com/spreadsheets/d/1C3CXT74ZlgGe6_JY_1olB1XN4rF0dxEuIIF-xsYjHgg/edit?usp=sharing"",""พรบ!BQ28"")"),0)</f>
        <v>0</v>
      </c>
      <c r="J209" s="67">
        <v>0</v>
      </c>
      <c r="K209" s="233">
        <f ca="1">IF(I209&gt;0,J209*100/I209,0)</f>
        <v>0</v>
      </c>
      <c r="L209" s="53"/>
      <c r="M209" s="53"/>
      <c r="N209" s="61"/>
    </row>
    <row r="210" spans="1:14" ht="21.75" customHeight="1" x14ac:dyDescent="0.4">
      <c r="A210" s="55"/>
      <c r="B210" s="56"/>
      <c r="C210" s="56"/>
      <c r="D210" s="73"/>
      <c r="E210" s="77"/>
      <c r="F210" s="74" t="s">
        <v>95</v>
      </c>
      <c r="G210" s="76"/>
      <c r="H210" s="60"/>
      <c r="I210" s="67"/>
      <c r="J210" s="67"/>
      <c r="K210" s="233"/>
      <c r="L210" s="53"/>
      <c r="M210" s="53"/>
      <c r="N210" s="61"/>
    </row>
    <row r="211" spans="1:14" ht="21.75" customHeight="1" x14ac:dyDescent="0.4">
      <c r="A211" s="55"/>
      <c r="B211" s="56"/>
      <c r="C211" s="56"/>
      <c r="D211" s="73"/>
      <c r="E211" s="77"/>
      <c r="F211" s="75" t="s">
        <v>34</v>
      </c>
      <c r="G211" s="76"/>
      <c r="H211" s="60" t="s">
        <v>16</v>
      </c>
      <c r="I211" s="67">
        <f ca="1">IFERROR(__xludf.DUMMYFUNCTION("IMPORTRANGE(""https://docs.google.com/spreadsheets/d/1C3CXT74ZlgGe6_JY_1olB1XN4rF0dxEuIIF-xsYjHgg/edit?usp=sharing"",""พรบ!BR28"")"),0)</f>
        <v>0</v>
      </c>
      <c r="J211" s="67">
        <v>0</v>
      </c>
      <c r="K211" s="233">
        <f ca="1">IF(I211&gt;0,J211*100/I211,0)</f>
        <v>0</v>
      </c>
      <c r="L211" s="53"/>
      <c r="M211" s="53"/>
      <c r="N211" s="61"/>
    </row>
    <row r="212" spans="1:14" ht="21.75" customHeight="1" x14ac:dyDescent="0.4">
      <c r="A212" s="55"/>
      <c r="B212" s="56"/>
      <c r="C212" s="56"/>
      <c r="D212" s="73"/>
      <c r="E212" s="74" t="s">
        <v>35</v>
      </c>
      <c r="F212" s="75"/>
      <c r="G212" s="76"/>
      <c r="H212" s="66"/>
      <c r="I212" s="67"/>
      <c r="J212" s="67">
        <v>0</v>
      </c>
      <c r="K212" s="233"/>
      <c r="L212" s="53"/>
      <c r="M212" s="53"/>
      <c r="N212" s="61"/>
    </row>
    <row r="213" spans="1:14" ht="21.75" customHeight="1" x14ac:dyDescent="0.4">
      <c r="A213" s="55"/>
      <c r="B213" s="56"/>
      <c r="C213" s="56"/>
      <c r="D213" s="81">
        <v>3</v>
      </c>
      <c r="E213" s="82" t="s">
        <v>36</v>
      </c>
      <c r="F213" s="83"/>
      <c r="G213" s="84"/>
      <c r="H213" s="66"/>
      <c r="I213" s="67"/>
      <c r="J213" s="385">
        <v>0</v>
      </c>
      <c r="K213" s="233"/>
      <c r="L213" s="53"/>
      <c r="M213" s="53"/>
      <c r="N213" s="61"/>
    </row>
    <row r="214" spans="1:14" ht="21.75" customHeight="1" x14ac:dyDescent="0.4">
      <c r="A214" s="189"/>
      <c r="B214" s="190" t="s">
        <v>96</v>
      </c>
      <c r="C214" s="191"/>
      <c r="D214" s="192"/>
      <c r="E214" s="190"/>
      <c r="F214" s="190"/>
      <c r="G214" s="193"/>
      <c r="H214" s="194" t="s">
        <v>97</v>
      </c>
      <c r="I214" s="195">
        <f t="shared" ref="I214:J214" ca="1" si="47">I224</f>
        <v>0</v>
      </c>
      <c r="J214" s="195">
        <f t="shared" si="47"/>
        <v>0</v>
      </c>
      <c r="K214" s="196">
        <f ca="1">IF(I214&gt;0,J214*100/I214,0)</f>
        <v>0</v>
      </c>
      <c r="L214" s="197">
        <f ca="1">L215+L216</f>
        <v>0</v>
      </c>
      <c r="M214" s="197">
        <f>SUM(M215:M216)</f>
        <v>0</v>
      </c>
      <c r="N214" s="196">
        <f ca="1">IF(L214&gt;0,M214*100/L214,0)</f>
        <v>0</v>
      </c>
    </row>
    <row r="215" spans="1:14" ht="21.75" customHeight="1" x14ac:dyDescent="0.4">
      <c r="A215" s="42"/>
      <c r="B215" s="43"/>
      <c r="C215" s="43" t="s">
        <v>17</v>
      </c>
      <c r="D215" s="44" t="s">
        <v>18</v>
      </c>
      <c r="E215" s="45"/>
      <c r="F215" s="45"/>
      <c r="G215" s="46" t="s">
        <v>19</v>
      </c>
      <c r="H215" s="47" t="s">
        <v>20</v>
      </c>
      <c r="I215" s="48" t="s">
        <v>21</v>
      </c>
      <c r="J215" s="48"/>
      <c r="K215" s="49"/>
      <c r="L215" s="50">
        <v>0</v>
      </c>
      <c r="M215" s="53">
        <v>0</v>
      </c>
      <c r="N215" s="53">
        <f t="shared" ref="N215:N218" si="48">+IF(L215&gt;0,M215*100/L215,0)</f>
        <v>0</v>
      </c>
    </row>
    <row r="216" spans="1:14" ht="21.75" customHeight="1" x14ac:dyDescent="0.4">
      <c r="A216" s="42"/>
      <c r="B216" s="43"/>
      <c r="C216" s="43"/>
      <c r="D216" s="51"/>
      <c r="E216" s="45"/>
      <c r="F216" s="45" t="s">
        <v>21</v>
      </c>
      <c r="G216" s="46" t="s">
        <v>22</v>
      </c>
      <c r="H216" s="47" t="s">
        <v>20</v>
      </c>
      <c r="I216" s="48"/>
      <c r="J216" s="48"/>
      <c r="K216" s="49"/>
      <c r="L216" s="50">
        <f t="shared" ref="L216:M216" ca="1" si="49">SUM(L217:L218)</f>
        <v>0</v>
      </c>
      <c r="M216" s="53">
        <f t="shared" si="49"/>
        <v>0</v>
      </c>
      <c r="N216" s="53">
        <f t="shared" ca="1" si="48"/>
        <v>0</v>
      </c>
    </row>
    <row r="217" spans="1:14" ht="21.75" customHeight="1" x14ac:dyDescent="0.4">
      <c r="A217" s="42"/>
      <c r="B217" s="43"/>
      <c r="C217" s="43"/>
      <c r="D217" s="51"/>
      <c r="E217" s="45"/>
      <c r="F217" s="45"/>
      <c r="G217" s="52" t="s">
        <v>23</v>
      </c>
      <c r="H217" s="47" t="s">
        <v>20</v>
      </c>
      <c r="I217" s="48"/>
      <c r="J217" s="48"/>
      <c r="K217" s="49"/>
      <c r="L217" s="53">
        <v>0</v>
      </c>
      <c r="M217" s="53">
        <v>0</v>
      </c>
      <c r="N217" s="53">
        <f t="shared" si="48"/>
        <v>0</v>
      </c>
    </row>
    <row r="218" spans="1:14" ht="21.75" customHeight="1" x14ac:dyDescent="0.4">
      <c r="A218" s="42"/>
      <c r="B218" s="43"/>
      <c r="C218" s="43"/>
      <c r="D218" s="51"/>
      <c r="E218" s="45"/>
      <c r="F218" s="45"/>
      <c r="G218" s="52" t="s">
        <v>24</v>
      </c>
      <c r="H218" s="47" t="s">
        <v>20</v>
      </c>
      <c r="I218" s="48"/>
      <c r="J218" s="67"/>
      <c r="K218" s="233"/>
      <c r="L218" s="53">
        <f ca="1">IFERROR(__xludf.DUMMYFUNCTION("IMPORTRANGE(""https://docs.google.com/spreadsheets/d/1C3CXT74ZlgGe6_JY_1olB1XN4rF0dxEuIIF-xsYjHgg/edit?usp=sharing"",""พรบ!BU28"")"),0)</f>
        <v>0</v>
      </c>
      <c r="M218" s="53">
        <v>0</v>
      </c>
      <c r="N218" s="53">
        <f t="shared" ca="1" si="48"/>
        <v>0</v>
      </c>
    </row>
    <row r="219" spans="1:14" ht="21.75" customHeight="1" x14ac:dyDescent="0.4">
      <c r="A219" s="55"/>
      <c r="B219" s="56"/>
      <c r="C219" s="43" t="s">
        <v>17</v>
      </c>
      <c r="D219" s="57" t="s">
        <v>25</v>
      </c>
      <c r="E219" s="58"/>
      <c r="F219" s="58"/>
      <c r="G219" s="59"/>
      <c r="H219" s="60"/>
      <c r="I219" s="48"/>
      <c r="J219" s="67"/>
      <c r="K219" s="233"/>
      <c r="L219" s="53"/>
      <c r="M219" s="53"/>
      <c r="N219" s="61"/>
    </row>
    <row r="220" spans="1:14" ht="21.75" customHeight="1" x14ac:dyDescent="0.4">
      <c r="A220" s="55"/>
      <c r="B220" s="56"/>
      <c r="C220" s="56"/>
      <c r="D220" s="62">
        <v>1</v>
      </c>
      <c r="E220" s="63" t="s">
        <v>26</v>
      </c>
      <c r="F220" s="64"/>
      <c r="G220" s="65"/>
      <c r="H220" s="66"/>
      <c r="I220" s="67"/>
      <c r="J220" s="67">
        <v>0</v>
      </c>
      <c r="K220" s="233"/>
      <c r="L220" s="53"/>
      <c r="M220" s="53"/>
      <c r="N220" s="61"/>
    </row>
    <row r="221" spans="1:14" ht="21.75" customHeight="1" x14ac:dyDescent="0.4">
      <c r="A221" s="55"/>
      <c r="B221" s="56"/>
      <c r="C221" s="56"/>
      <c r="D221" s="69">
        <v>2</v>
      </c>
      <c r="E221" s="70" t="s">
        <v>27</v>
      </c>
      <c r="F221" s="71"/>
      <c r="G221" s="72"/>
      <c r="H221" s="66"/>
      <c r="I221" s="67"/>
      <c r="J221" s="67">
        <v>0</v>
      </c>
      <c r="K221" s="233"/>
      <c r="L221" s="53" t="s">
        <v>21</v>
      </c>
      <c r="M221" s="53" t="s">
        <v>21</v>
      </c>
      <c r="N221" s="61"/>
    </row>
    <row r="222" spans="1:14" ht="21.75" customHeight="1" x14ac:dyDescent="0.4">
      <c r="A222" s="55"/>
      <c r="B222" s="56"/>
      <c r="C222" s="56"/>
      <c r="D222" s="73"/>
      <c r="E222" s="74" t="s">
        <v>28</v>
      </c>
      <c r="F222" s="75"/>
      <c r="G222" s="76"/>
      <c r="H222" s="66"/>
      <c r="I222" s="67"/>
      <c r="J222" s="67">
        <v>0</v>
      </c>
      <c r="K222" s="233"/>
      <c r="L222" s="53"/>
      <c r="M222" s="53"/>
      <c r="N222" s="61"/>
    </row>
    <row r="223" spans="1:14" ht="21.75" customHeight="1" x14ac:dyDescent="0.4">
      <c r="A223" s="55"/>
      <c r="B223" s="56"/>
      <c r="C223" s="56"/>
      <c r="D223" s="73"/>
      <c r="E223" s="74" t="s">
        <v>29</v>
      </c>
      <c r="F223" s="75"/>
      <c r="G223" s="76"/>
      <c r="H223" s="66"/>
      <c r="I223" s="67"/>
      <c r="J223" s="67">
        <v>0</v>
      </c>
      <c r="K223" s="233"/>
      <c r="L223" s="53"/>
      <c r="M223" s="53"/>
      <c r="N223" s="61"/>
    </row>
    <row r="224" spans="1:14" ht="21.75" customHeight="1" x14ac:dyDescent="0.4">
      <c r="A224" s="55"/>
      <c r="B224" s="56"/>
      <c r="C224" s="56"/>
      <c r="D224" s="73"/>
      <c r="E224" s="77"/>
      <c r="F224" s="74" t="s">
        <v>98</v>
      </c>
      <c r="G224" s="76"/>
      <c r="H224" s="66" t="s">
        <v>97</v>
      </c>
      <c r="I224" s="67">
        <f ca="1">IFERROR(__xludf.DUMMYFUNCTION("IMPORTRANGE(""https://docs.google.com/spreadsheets/d/1C3CXT74ZlgGe6_JY_1olB1XN4rF0dxEuIIF-xsYjHgg/edit?usp=sharing"",""พรบ!BV28"")"),0)</f>
        <v>0</v>
      </c>
      <c r="J224" s="67">
        <v>0</v>
      </c>
      <c r="K224" s="233">
        <f ca="1">IF(I224&gt;0,J224*100/I224,0)</f>
        <v>0</v>
      </c>
      <c r="L224" s="53"/>
      <c r="M224" s="53"/>
      <c r="N224" s="61"/>
    </row>
    <row r="225" spans="1:14" ht="21.75" customHeight="1" x14ac:dyDescent="0.4">
      <c r="A225" s="55"/>
      <c r="B225" s="56"/>
      <c r="C225" s="56"/>
      <c r="D225" s="73"/>
      <c r="E225" s="74" t="s">
        <v>35</v>
      </c>
      <c r="F225" s="75"/>
      <c r="G225" s="76"/>
      <c r="H225" s="66"/>
      <c r="I225" s="67"/>
      <c r="J225" s="67">
        <v>0</v>
      </c>
      <c r="K225" s="233"/>
      <c r="L225" s="53"/>
      <c r="M225" s="53"/>
      <c r="N225" s="61"/>
    </row>
    <row r="226" spans="1:14" ht="21.75" customHeight="1" x14ac:dyDescent="0.4">
      <c r="A226" s="55"/>
      <c r="B226" s="56"/>
      <c r="C226" s="56"/>
      <c r="D226" s="81">
        <v>3</v>
      </c>
      <c r="E226" s="82" t="s">
        <v>36</v>
      </c>
      <c r="F226" s="83"/>
      <c r="G226" s="84"/>
      <c r="H226" s="66"/>
      <c r="I226" s="67"/>
      <c r="J226" s="360">
        <v>0</v>
      </c>
      <c r="K226" s="233"/>
      <c r="L226" s="53"/>
      <c r="M226" s="53"/>
      <c r="N226" s="61"/>
    </row>
    <row r="227" spans="1:14" ht="21.75" customHeight="1" x14ac:dyDescent="0.4">
      <c r="A227" s="166" t="s">
        <v>99</v>
      </c>
      <c r="B227" s="167"/>
      <c r="C227" s="167"/>
      <c r="D227" s="168"/>
      <c r="E227" s="167"/>
      <c r="F227" s="167"/>
      <c r="G227" s="181"/>
      <c r="H227" s="170"/>
      <c r="I227" s="171"/>
      <c r="J227" s="171"/>
      <c r="K227" s="172"/>
      <c r="L227" s="172"/>
      <c r="M227" s="172"/>
      <c r="N227" s="173"/>
    </row>
    <row r="228" spans="1:14" ht="21.75" customHeight="1" x14ac:dyDescent="0.4">
      <c r="A228" s="174"/>
      <c r="B228" s="175" t="s">
        <v>100</v>
      </c>
      <c r="C228" s="187"/>
      <c r="D228" s="175"/>
      <c r="E228" s="175"/>
      <c r="F228" s="175"/>
      <c r="G228" s="176"/>
      <c r="H228" s="177" t="s">
        <v>16</v>
      </c>
      <c r="I228" s="198">
        <f ca="1">I236</f>
        <v>220</v>
      </c>
      <c r="J228" s="198">
        <f ca="1">J240</f>
        <v>20</v>
      </c>
      <c r="K228" s="179">
        <f ca="1">IF(I228&gt;0,J228*100/I228,0)</f>
        <v>9.0909090909090917</v>
      </c>
      <c r="L228" s="180">
        <f ca="1">L229+L230</f>
        <v>678330</v>
      </c>
      <c r="M228" s="180">
        <f>SUM(M229:M230)</f>
        <v>83795.45</v>
      </c>
      <c r="N228" s="179">
        <f ca="1">IF(L228&gt;0,M228*100/L228,0)</f>
        <v>12.353198295814721</v>
      </c>
    </row>
    <row r="229" spans="1:14" ht="21.75" customHeight="1" x14ac:dyDescent="0.4">
      <c r="A229" s="42"/>
      <c r="B229" s="43"/>
      <c r="C229" s="43" t="s">
        <v>17</v>
      </c>
      <c r="D229" s="44" t="s">
        <v>18</v>
      </c>
      <c r="E229" s="45"/>
      <c r="F229" s="45"/>
      <c r="G229" s="46" t="s">
        <v>19</v>
      </c>
      <c r="H229" s="47" t="s">
        <v>20</v>
      </c>
      <c r="I229" s="48" t="s">
        <v>21</v>
      </c>
      <c r="J229" s="48"/>
      <c r="K229" s="49"/>
      <c r="L229" s="50">
        <v>0</v>
      </c>
      <c r="M229" s="53">
        <v>0</v>
      </c>
      <c r="N229" s="53">
        <f t="shared" ref="N229:N232" si="50">+IF(L229&gt;0,M229*100/L229,0)</f>
        <v>0</v>
      </c>
    </row>
    <row r="230" spans="1:14" ht="21.75" customHeight="1" x14ac:dyDescent="0.4">
      <c r="A230" s="42"/>
      <c r="B230" s="43"/>
      <c r="C230" s="43"/>
      <c r="D230" s="51"/>
      <c r="E230" s="45"/>
      <c r="F230" s="45" t="s">
        <v>21</v>
      </c>
      <c r="G230" s="46" t="s">
        <v>22</v>
      </c>
      <c r="H230" s="47" t="s">
        <v>20</v>
      </c>
      <c r="I230" s="48"/>
      <c r="J230" s="48"/>
      <c r="K230" s="49"/>
      <c r="L230" s="50">
        <f t="shared" ref="L230:M230" ca="1" si="51">SUM(L231:L232)</f>
        <v>678330</v>
      </c>
      <c r="M230" s="53">
        <f t="shared" si="51"/>
        <v>83795.45</v>
      </c>
      <c r="N230" s="53">
        <f t="shared" ca="1" si="50"/>
        <v>12.353198295814721</v>
      </c>
    </row>
    <row r="231" spans="1:14" ht="21.75" customHeight="1" x14ac:dyDescent="0.4">
      <c r="A231" s="42"/>
      <c r="B231" s="43"/>
      <c r="C231" s="43"/>
      <c r="D231" s="51"/>
      <c r="E231" s="45"/>
      <c r="F231" s="45"/>
      <c r="G231" s="52" t="s">
        <v>23</v>
      </c>
      <c r="H231" s="47" t="s">
        <v>20</v>
      </c>
      <c r="I231" s="48"/>
      <c r="J231" s="48"/>
      <c r="K231" s="49"/>
      <c r="L231" s="53">
        <f ca="1">IFERROR(__xludf.DUMMYFUNCTION("IMPORTRANGE(""https://docs.google.com/spreadsheets/d/1C3CXT74ZlgGe6_JY_1olB1XN4rF0dxEuIIF-xsYjHgg/edit?usp=sharing"",""พรบ!BX28"")"),306000)</f>
        <v>306000</v>
      </c>
      <c r="M231" s="54">
        <v>54935.45</v>
      </c>
      <c r="N231" s="53">
        <f t="shared" ca="1" si="50"/>
        <v>17.952761437908496</v>
      </c>
    </row>
    <row r="232" spans="1:14" ht="21.75" customHeight="1" x14ac:dyDescent="0.4">
      <c r="A232" s="42"/>
      <c r="B232" s="43"/>
      <c r="C232" s="43"/>
      <c r="D232" s="51"/>
      <c r="E232" s="45"/>
      <c r="F232" s="45"/>
      <c r="G232" s="52" t="s">
        <v>24</v>
      </c>
      <c r="H232" s="47" t="s">
        <v>20</v>
      </c>
      <c r="I232" s="48"/>
      <c r="J232" s="48"/>
      <c r="K232" s="49"/>
      <c r="L232" s="53">
        <f ca="1">IFERROR(__xludf.DUMMYFUNCTION("IMPORTRANGE(""https://docs.google.com/spreadsheets/d/1C3CXT74ZlgGe6_JY_1olB1XN4rF0dxEuIIF-xsYjHgg/edit?usp=sharing"",""พรบ!BY28"")"),372330)</f>
        <v>372330</v>
      </c>
      <c r="M232" s="54">
        <v>28860</v>
      </c>
      <c r="N232" s="53">
        <f t="shared" ca="1" si="50"/>
        <v>7.7511884618483604</v>
      </c>
    </row>
    <row r="233" spans="1:14" ht="21.75" customHeight="1" x14ac:dyDescent="0.4">
      <c r="A233" s="55"/>
      <c r="B233" s="155"/>
      <c r="C233" s="199" t="s">
        <v>101</v>
      </c>
      <c r="D233" s="75"/>
      <c r="E233" s="75"/>
      <c r="F233" s="75"/>
      <c r="G233" s="76"/>
      <c r="H233" s="60"/>
      <c r="I233" s="200"/>
      <c r="J233" s="200"/>
      <c r="K233" s="201"/>
      <c r="L233" s="61"/>
      <c r="M233" s="61"/>
      <c r="N233" s="202"/>
    </row>
    <row r="234" spans="1:14" ht="21.75" customHeight="1" x14ac:dyDescent="0.4">
      <c r="A234" s="55"/>
      <c r="B234" s="155"/>
      <c r="C234" s="56"/>
      <c r="D234" s="75"/>
      <c r="E234" s="74" t="s">
        <v>102</v>
      </c>
      <c r="F234" s="75"/>
      <c r="G234" s="76"/>
      <c r="H234" s="60" t="s">
        <v>16</v>
      </c>
      <c r="I234" s="67">
        <v>0</v>
      </c>
      <c r="J234" s="67">
        <f ca="1">IFERROR(__xludf.DUMMYFUNCTION("IMPORTRANGE(""https://docs.google.com/spreadsheets/d/1AGHcLOeeYFL3K4b9R1dSzyJy00PE_ra89DNTVfnxSWM/edit?usp=sharing"",""รวมที่ทำกิน!J17"")"),26)</f>
        <v>26</v>
      </c>
      <c r="K234" s="201">
        <f t="shared" ref="K234:K241" si="52">IF(I234&gt;0,J234*100/I234,0)</f>
        <v>0</v>
      </c>
      <c r="L234" s="61"/>
      <c r="M234" s="61"/>
      <c r="N234" s="202"/>
    </row>
    <row r="235" spans="1:14" ht="21.75" customHeight="1" x14ac:dyDescent="0.4">
      <c r="A235" s="55"/>
      <c r="B235" s="155"/>
      <c r="C235" s="56"/>
      <c r="D235" s="75"/>
      <c r="E235" s="75"/>
      <c r="F235" s="75"/>
      <c r="G235" s="76"/>
      <c r="H235" s="60" t="s">
        <v>103</v>
      </c>
      <c r="I235" s="67">
        <f ca="1">IFERROR(__xludf.DUMMYFUNCTION("IMPORTRANGE(""https://docs.google.com/spreadsheets/d/1C3CXT74ZlgGe6_JY_1olB1XN4rF0dxEuIIF-xsYjHgg/edit?usp=sharing"",""พรบ!BZ28"")"),2040)</f>
        <v>2040</v>
      </c>
      <c r="J235" s="67">
        <f ca="1">IFERROR(__xludf.DUMMYFUNCTION("IMPORTRANGE(""https://docs.google.com/spreadsheets/d/1AGHcLOeeYFL3K4b9R1dSzyJy00PE_ra89DNTVfnxSWM/edit?usp=sharing"",""รวมที่ทำกิน!L17"")"),195.61)</f>
        <v>195.61</v>
      </c>
      <c r="K235" s="201">
        <f t="shared" ca="1" si="52"/>
        <v>9.5887254901960777</v>
      </c>
      <c r="L235" s="61"/>
      <c r="M235" s="61"/>
      <c r="N235" s="202"/>
    </row>
    <row r="236" spans="1:14" ht="21.75" customHeight="1" x14ac:dyDescent="0.4">
      <c r="A236" s="55"/>
      <c r="B236" s="155"/>
      <c r="C236" s="56"/>
      <c r="D236" s="75"/>
      <c r="E236" s="74" t="s">
        <v>104</v>
      </c>
      <c r="F236" s="75"/>
      <c r="G236" s="76"/>
      <c r="H236" s="60" t="s">
        <v>16</v>
      </c>
      <c r="I236" s="67">
        <f ca="1">IFERROR(__xludf.DUMMYFUNCTION("IMPORTRANGE(""https://docs.google.com/spreadsheets/d/1C3CXT74ZlgGe6_JY_1olB1XN4rF0dxEuIIF-xsYjHgg/edit?usp=sharing"",""พรบ!CA28"")"),220)</f>
        <v>220</v>
      </c>
      <c r="J236" s="67">
        <f ca="1">IFERROR(__xludf.DUMMYFUNCTION("IMPORTRANGE(""https://docs.google.com/spreadsheets/d/1AGHcLOeeYFL3K4b9R1dSzyJy00PE_ra89DNTVfnxSWM/edit?usp=sharing"",""รวมที่ทำกิน!O17"")"),39)</f>
        <v>39</v>
      </c>
      <c r="K236" s="201">
        <f t="shared" ca="1" si="52"/>
        <v>17.727272727272727</v>
      </c>
      <c r="L236" s="61"/>
      <c r="M236" s="61"/>
      <c r="N236" s="202"/>
    </row>
    <row r="237" spans="1:14" ht="21.75" customHeight="1" x14ac:dyDescent="0.4">
      <c r="A237" s="55"/>
      <c r="B237" s="155"/>
      <c r="C237" s="56"/>
      <c r="D237" s="75"/>
      <c r="E237" s="75"/>
      <c r="F237" s="75"/>
      <c r="G237" s="76"/>
      <c r="H237" s="60" t="s">
        <v>103</v>
      </c>
      <c r="I237" s="200">
        <v>0</v>
      </c>
      <c r="J237" s="67">
        <f ca="1">IFERROR(__xludf.DUMMYFUNCTION("IMPORTRANGE(""https://docs.google.com/spreadsheets/d/1AGHcLOeeYFL3K4b9R1dSzyJy00PE_ra89DNTVfnxSWM/edit?usp=sharing"",""รวมที่ทำกิน!Q17"")"),413.71)</f>
        <v>413.71</v>
      </c>
      <c r="K237" s="201">
        <f t="shared" si="52"/>
        <v>0</v>
      </c>
      <c r="L237" s="61"/>
      <c r="M237" s="61"/>
      <c r="N237" s="202"/>
    </row>
    <row r="238" spans="1:14" ht="21.75" customHeight="1" x14ac:dyDescent="0.4">
      <c r="A238" s="55"/>
      <c r="B238" s="155"/>
      <c r="C238" s="56"/>
      <c r="D238" s="75"/>
      <c r="E238" s="74" t="s">
        <v>105</v>
      </c>
      <c r="F238" s="75"/>
      <c r="G238" s="76"/>
      <c r="H238" s="60" t="s">
        <v>16</v>
      </c>
      <c r="I238" s="67">
        <f ca="1">IFERROR(__xludf.DUMMYFUNCTION("IMPORTRANGE(""https://docs.google.com/spreadsheets/d/1C3CXT74ZlgGe6_JY_1olB1XN4rF0dxEuIIF-xsYjHgg/edit?usp=sharing"",""พรบ!CB28"")"),220)</f>
        <v>220</v>
      </c>
      <c r="J238" s="67">
        <f ca="1">IFERROR(__xludf.DUMMYFUNCTION("IMPORTRANGE(""https://docs.google.com/spreadsheets/d/1AGHcLOeeYFL3K4b9R1dSzyJy00PE_ra89DNTVfnxSWM/edit?usp=sharing"",""รวมที่ทำกิน!S17"")"),0)</f>
        <v>0</v>
      </c>
      <c r="K238" s="201">
        <f t="shared" ca="1" si="52"/>
        <v>0</v>
      </c>
      <c r="L238" s="61"/>
      <c r="M238" s="61"/>
      <c r="N238" s="202"/>
    </row>
    <row r="239" spans="1:14" ht="21.75" customHeight="1" x14ac:dyDescent="0.4">
      <c r="A239" s="55"/>
      <c r="B239" s="155"/>
      <c r="C239" s="56"/>
      <c r="D239" s="75"/>
      <c r="E239" s="75"/>
      <c r="F239" s="75"/>
      <c r="G239" s="76"/>
      <c r="H239" s="60" t="s">
        <v>103</v>
      </c>
      <c r="I239" s="200">
        <v>0</v>
      </c>
      <c r="J239" s="67">
        <f ca="1">IFERROR(__xludf.DUMMYFUNCTION("IMPORTRANGE(""https://docs.google.com/spreadsheets/d/1AGHcLOeeYFL3K4b9R1dSzyJy00PE_ra89DNTVfnxSWM/edit?usp=sharing"",""รวมที่ทำกิน!U17"")"),0)</f>
        <v>0</v>
      </c>
      <c r="K239" s="201">
        <f t="shared" si="52"/>
        <v>0</v>
      </c>
      <c r="L239" s="61"/>
      <c r="M239" s="61"/>
      <c r="N239" s="202"/>
    </row>
    <row r="240" spans="1:14" ht="21.75" customHeight="1" x14ac:dyDescent="0.4">
      <c r="A240" s="55"/>
      <c r="B240" s="155"/>
      <c r="C240" s="56"/>
      <c r="D240" s="75"/>
      <c r="E240" s="74" t="s">
        <v>106</v>
      </c>
      <c r="F240" s="75"/>
      <c r="G240" s="76"/>
      <c r="H240" s="60" t="s">
        <v>16</v>
      </c>
      <c r="I240" s="67">
        <f ca="1">IFERROR(__xludf.DUMMYFUNCTION("IMPORTRANGE(""https://docs.google.com/spreadsheets/d/1C3CXT74ZlgGe6_JY_1olB1XN4rF0dxEuIIF-xsYjHgg/edit?usp=sharing"",""พรบ!CC28"")"),220)</f>
        <v>220</v>
      </c>
      <c r="J240" s="67">
        <f ca="1">IFERROR(__xludf.DUMMYFUNCTION("IMPORTRANGE(""https://docs.google.com/spreadsheets/d/1AGHcLOeeYFL3K4b9R1dSzyJy00PE_ra89DNTVfnxSWM/edit?usp=sharing"",""รวมที่ทำกิน!W17"")"),20)</f>
        <v>20</v>
      </c>
      <c r="K240" s="201">
        <f t="shared" ca="1" si="52"/>
        <v>9.0909090909090917</v>
      </c>
      <c r="L240" s="61"/>
      <c r="M240" s="61"/>
      <c r="N240" s="202"/>
    </row>
    <row r="241" spans="1:14" ht="21.75" customHeight="1" x14ac:dyDescent="0.4">
      <c r="A241" s="105"/>
      <c r="B241" s="203"/>
      <c r="C241" s="106"/>
      <c r="D241" s="203"/>
      <c r="E241" s="204"/>
      <c r="F241" s="204"/>
      <c r="G241" s="205"/>
      <c r="H241" s="206" t="s">
        <v>103</v>
      </c>
      <c r="I241" s="207">
        <v>0</v>
      </c>
      <c r="J241" s="67">
        <f ca="1">IFERROR(__xludf.DUMMYFUNCTION("IMPORTRANGE(""https://docs.google.com/spreadsheets/d/1AGHcLOeeYFL3K4b9R1dSzyJy00PE_ra89DNTVfnxSWM/edit?usp=sharing"",""รวมที่ทำกิน!Y17"")"),305.72)</f>
        <v>305.72000000000003</v>
      </c>
      <c r="K241" s="201">
        <f t="shared" si="52"/>
        <v>0</v>
      </c>
      <c r="L241" s="115"/>
      <c r="M241" s="115"/>
      <c r="N241" s="208"/>
    </row>
    <row r="242" spans="1:14" ht="21.75" customHeight="1" x14ac:dyDescent="0.4">
      <c r="A242" s="209" t="s">
        <v>107</v>
      </c>
      <c r="B242" s="210"/>
      <c r="C242" s="210"/>
      <c r="D242" s="210"/>
      <c r="E242" s="210"/>
      <c r="F242" s="210"/>
      <c r="G242" s="211"/>
      <c r="H242" s="212"/>
      <c r="I242" s="213"/>
      <c r="J242" s="213"/>
      <c r="K242" s="214"/>
      <c r="L242" s="214">
        <f t="shared" ref="L242:M242" ca="1" si="53">SUM(L244,L275,L296,L330,L350,L426,L444,L457,L473,L490)</f>
        <v>2734339</v>
      </c>
      <c r="M242" s="214">
        <f t="shared" si="53"/>
        <v>68920.179999999993</v>
      </c>
      <c r="N242" s="214">
        <f ca="1">+IF(L242&gt;0,M242*100/L242,0)</f>
        <v>2.5205426247440421</v>
      </c>
    </row>
    <row r="243" spans="1:14" ht="21.75" customHeight="1" x14ac:dyDescent="0.4">
      <c r="A243" s="215" t="s">
        <v>108</v>
      </c>
      <c r="B243" s="216"/>
      <c r="C243" s="216"/>
      <c r="D243" s="216"/>
      <c r="E243" s="216"/>
      <c r="F243" s="216"/>
      <c r="G243" s="217"/>
      <c r="H243" s="218"/>
      <c r="I243" s="219"/>
      <c r="J243" s="219"/>
      <c r="K243" s="220"/>
      <c r="L243" s="220"/>
      <c r="M243" s="220"/>
      <c r="N243" s="221"/>
    </row>
    <row r="244" spans="1:14" ht="21.75" customHeight="1" x14ac:dyDescent="0.4">
      <c r="A244" s="222"/>
      <c r="B244" s="223">
        <v>1</v>
      </c>
      <c r="C244" s="224" t="s">
        <v>109</v>
      </c>
      <c r="D244" s="224"/>
      <c r="E244" s="224"/>
      <c r="F244" s="224"/>
      <c r="G244" s="225"/>
      <c r="H244" s="226" t="s">
        <v>103</v>
      </c>
      <c r="I244" s="227">
        <f t="shared" ref="I244:J244" ca="1" si="54">I270</f>
        <v>0</v>
      </c>
      <c r="J244" s="227">
        <f t="shared" si="54"/>
        <v>0</v>
      </c>
      <c r="K244" s="228">
        <f t="shared" ref="K244:K245" ca="1" si="55">IF(I244&gt;0,J244*100/I244,0)</f>
        <v>0</v>
      </c>
      <c r="L244" s="229">
        <f t="shared" ref="L244:M244" ca="1" si="56">SUM(L246:L247)</f>
        <v>0</v>
      </c>
      <c r="M244" s="229">
        <f t="shared" si="56"/>
        <v>0</v>
      </c>
      <c r="N244" s="229">
        <f ca="1">+IF(L244&gt;0,M244*100/L244,0)</f>
        <v>0</v>
      </c>
    </row>
    <row r="245" spans="1:14" ht="21.75" customHeight="1" x14ac:dyDescent="0.4">
      <c r="A245" s="222"/>
      <c r="B245" s="223"/>
      <c r="C245" s="224"/>
      <c r="D245" s="224"/>
      <c r="E245" s="224"/>
      <c r="F245" s="224"/>
      <c r="G245" s="225"/>
      <c r="H245" s="226" t="s">
        <v>16</v>
      </c>
      <c r="I245" s="227">
        <f ca="1">I263</f>
        <v>0</v>
      </c>
      <c r="J245" s="227">
        <f>+J263</f>
        <v>0</v>
      </c>
      <c r="K245" s="228">
        <f t="shared" ca="1" si="55"/>
        <v>0</v>
      </c>
      <c r="L245" s="229"/>
      <c r="M245" s="229"/>
      <c r="N245" s="229"/>
    </row>
    <row r="246" spans="1:14" ht="21.75" customHeight="1" x14ac:dyDescent="0.4">
      <c r="A246" s="42"/>
      <c r="B246" s="43"/>
      <c r="C246" s="43" t="s">
        <v>17</v>
      </c>
      <c r="D246" s="44" t="s">
        <v>18</v>
      </c>
      <c r="E246" s="45"/>
      <c r="F246" s="45"/>
      <c r="G246" s="46" t="s">
        <v>19</v>
      </c>
      <c r="H246" s="47" t="s">
        <v>20</v>
      </c>
      <c r="I246" s="48" t="s">
        <v>21</v>
      </c>
      <c r="J246" s="48"/>
      <c r="K246" s="49"/>
      <c r="L246" s="50">
        <v>0</v>
      </c>
      <c r="M246" s="50">
        <v>0</v>
      </c>
      <c r="N246" s="50">
        <f t="shared" ref="N246:N249" si="57">+IF(L246&gt;0,M246*100/L246,0)</f>
        <v>0</v>
      </c>
    </row>
    <row r="247" spans="1:14" ht="21.75" customHeight="1" x14ac:dyDescent="0.4">
      <c r="A247" s="42"/>
      <c r="B247" s="43"/>
      <c r="C247" s="43"/>
      <c r="D247" s="51"/>
      <c r="E247" s="45"/>
      <c r="F247" s="45" t="s">
        <v>21</v>
      </c>
      <c r="G247" s="46" t="s">
        <v>22</v>
      </c>
      <c r="H247" s="47" t="s">
        <v>20</v>
      </c>
      <c r="I247" s="48"/>
      <c r="J247" s="48"/>
      <c r="K247" s="49"/>
      <c r="L247" s="50">
        <f t="shared" ref="L247:M247" ca="1" si="58">SUM(L248:L249)</f>
        <v>0</v>
      </c>
      <c r="M247" s="50">
        <f t="shared" si="58"/>
        <v>0</v>
      </c>
      <c r="N247" s="50">
        <f t="shared" ca="1" si="57"/>
        <v>0</v>
      </c>
    </row>
    <row r="248" spans="1:14" ht="21.75" customHeight="1" x14ac:dyDescent="0.4">
      <c r="A248" s="42"/>
      <c r="B248" s="43"/>
      <c r="C248" s="43"/>
      <c r="D248" s="51"/>
      <c r="E248" s="45"/>
      <c r="F248" s="45"/>
      <c r="G248" s="52" t="s">
        <v>110</v>
      </c>
      <c r="H248" s="47" t="s">
        <v>20</v>
      </c>
      <c r="I248" s="48"/>
      <c r="J248" s="48"/>
      <c r="K248" s="49"/>
      <c r="L248" s="53">
        <f ca="1">IFERROR(__xludf.DUMMYFUNCTION("IMPORTRANGE(""https://docs.google.com/spreadsheets/d/1C3CXT74ZlgGe6_JY_1olB1XN4rF0dxEuIIF-xsYjHgg/edit?usp=sharing"",""งบกองทุน!d28"")"),0)</f>
        <v>0</v>
      </c>
      <c r="M248" s="53">
        <v>0</v>
      </c>
      <c r="N248" s="53">
        <f t="shared" ca="1" si="57"/>
        <v>0</v>
      </c>
    </row>
    <row r="249" spans="1:14" ht="21.75" customHeight="1" x14ac:dyDescent="0.4">
      <c r="A249" s="42"/>
      <c r="B249" s="43"/>
      <c r="C249" s="43"/>
      <c r="D249" s="51"/>
      <c r="E249" s="45"/>
      <c r="F249" s="45"/>
      <c r="G249" s="52" t="s">
        <v>111</v>
      </c>
      <c r="H249" s="47" t="s">
        <v>20</v>
      </c>
      <c r="I249" s="48"/>
      <c r="J249" s="48"/>
      <c r="K249" s="49"/>
      <c r="L249" s="53">
        <f ca="1">IFERROR(__xludf.DUMMYFUNCTION("IMPORTRANGE(""https://docs.google.com/spreadsheets/d/1C3CXT74ZlgGe6_JY_1olB1XN4rF0dxEuIIF-xsYjHgg/edit?usp=sharing"",""งบกองทุน!e28"")"),0)</f>
        <v>0</v>
      </c>
      <c r="M249" s="53">
        <f>SUM(M250:M253)</f>
        <v>0</v>
      </c>
      <c r="N249" s="53">
        <f t="shared" ca="1" si="57"/>
        <v>0</v>
      </c>
    </row>
    <row r="250" spans="1:14" ht="21.75" customHeight="1" x14ac:dyDescent="0.4">
      <c r="A250" s="230"/>
      <c r="B250" s="231"/>
      <c r="C250" s="43"/>
      <c r="D250" s="232"/>
      <c r="E250" s="45"/>
      <c r="F250" s="45"/>
      <c r="G250" s="46" t="s">
        <v>112</v>
      </c>
      <c r="H250" s="47" t="s">
        <v>20</v>
      </c>
      <c r="I250" s="67"/>
      <c r="J250" s="67"/>
      <c r="K250" s="233"/>
      <c r="L250" s="53"/>
      <c r="M250" s="53">
        <v>0</v>
      </c>
      <c r="N250" s="53"/>
    </row>
    <row r="251" spans="1:14" ht="21.75" customHeight="1" x14ac:dyDescent="0.4">
      <c r="A251" s="230"/>
      <c r="B251" s="231"/>
      <c r="C251" s="43"/>
      <c r="D251" s="232"/>
      <c r="E251" s="45"/>
      <c r="F251" s="45"/>
      <c r="G251" s="46" t="s">
        <v>113</v>
      </c>
      <c r="H251" s="47" t="s">
        <v>20</v>
      </c>
      <c r="I251" s="67"/>
      <c r="J251" s="67"/>
      <c r="K251" s="233"/>
      <c r="L251" s="53"/>
      <c r="M251" s="53">
        <v>0</v>
      </c>
      <c r="N251" s="53"/>
    </row>
    <row r="252" spans="1:14" ht="21.75" customHeight="1" x14ac:dyDescent="0.4">
      <c r="A252" s="230"/>
      <c r="B252" s="231"/>
      <c r="C252" s="43"/>
      <c r="D252" s="232"/>
      <c r="E252" s="45"/>
      <c r="F252" s="45"/>
      <c r="G252" s="46" t="s">
        <v>114</v>
      </c>
      <c r="H252" s="47" t="s">
        <v>20</v>
      </c>
      <c r="I252" s="67"/>
      <c r="J252" s="67"/>
      <c r="K252" s="233"/>
      <c r="L252" s="53"/>
      <c r="M252" s="53">
        <v>0</v>
      </c>
      <c r="N252" s="53"/>
    </row>
    <row r="253" spans="1:14" ht="21.75" customHeight="1" x14ac:dyDescent="0.4">
      <c r="A253" s="230"/>
      <c r="B253" s="231"/>
      <c r="C253" s="43"/>
      <c r="D253" s="232"/>
      <c r="E253" s="45"/>
      <c r="F253" s="45"/>
      <c r="G253" s="46" t="s">
        <v>115</v>
      </c>
      <c r="H253" s="47" t="s">
        <v>20</v>
      </c>
      <c r="I253" s="67"/>
      <c r="J253" s="67"/>
      <c r="K253" s="233"/>
      <c r="L253" s="53"/>
      <c r="M253" s="53">
        <v>0</v>
      </c>
      <c r="N253" s="53"/>
    </row>
    <row r="254" spans="1:14" ht="21.75" customHeight="1" x14ac:dyDescent="0.4">
      <c r="A254" s="55"/>
      <c r="B254" s="56"/>
      <c r="C254" s="43" t="s">
        <v>17</v>
      </c>
      <c r="D254" s="57" t="s">
        <v>25</v>
      </c>
      <c r="E254" s="58"/>
      <c r="F254" s="58"/>
      <c r="G254" s="59"/>
      <c r="H254" s="60"/>
      <c r="I254" s="48"/>
      <c r="J254" s="48"/>
      <c r="K254" s="49"/>
      <c r="L254" s="61"/>
      <c r="M254" s="61"/>
      <c r="N254" s="61"/>
    </row>
    <row r="255" spans="1:14" ht="21.75" customHeight="1" x14ac:dyDescent="0.4">
      <c r="A255" s="55"/>
      <c r="B255" s="56"/>
      <c r="C255" s="56"/>
      <c r="D255" s="62">
        <v>1</v>
      </c>
      <c r="E255" s="63" t="s">
        <v>26</v>
      </c>
      <c r="F255" s="64"/>
      <c r="G255" s="65"/>
      <c r="H255" s="66"/>
      <c r="I255" s="67"/>
      <c r="J255" s="67">
        <v>0</v>
      </c>
      <c r="K255" s="49"/>
      <c r="L255" s="61"/>
      <c r="M255" s="61"/>
      <c r="N255" s="61"/>
    </row>
    <row r="256" spans="1:14" ht="21.75" customHeight="1" x14ac:dyDescent="0.4">
      <c r="A256" s="55"/>
      <c r="B256" s="56"/>
      <c r="C256" s="56"/>
      <c r="D256" s="69">
        <v>2</v>
      </c>
      <c r="E256" s="70" t="s">
        <v>27</v>
      </c>
      <c r="F256" s="71"/>
      <c r="G256" s="72"/>
      <c r="H256" s="66"/>
      <c r="I256" s="67"/>
      <c r="J256" s="67">
        <v>0</v>
      </c>
      <c r="K256" s="49"/>
      <c r="L256" s="61" t="s">
        <v>21</v>
      </c>
      <c r="M256" s="61" t="s">
        <v>21</v>
      </c>
      <c r="N256" s="61"/>
    </row>
    <row r="257" spans="1:14" ht="21.75" customHeight="1" x14ac:dyDescent="0.4">
      <c r="A257" s="55"/>
      <c r="B257" s="56"/>
      <c r="C257" s="56"/>
      <c r="D257" s="73"/>
      <c r="E257" s="74" t="s">
        <v>28</v>
      </c>
      <c r="F257" s="75"/>
      <c r="G257" s="76"/>
      <c r="H257" s="66"/>
      <c r="I257" s="67"/>
      <c r="J257" s="67">
        <v>0</v>
      </c>
      <c r="K257" s="49"/>
      <c r="L257" s="61"/>
      <c r="M257" s="61"/>
      <c r="N257" s="61"/>
    </row>
    <row r="258" spans="1:14" ht="21.75" customHeight="1" x14ac:dyDescent="0.4">
      <c r="A258" s="55"/>
      <c r="B258" s="56"/>
      <c r="C258" s="56"/>
      <c r="D258" s="73"/>
      <c r="E258" s="74" t="s">
        <v>29</v>
      </c>
      <c r="F258" s="75"/>
      <c r="G258" s="76"/>
      <c r="H258" s="66"/>
      <c r="I258" s="67"/>
      <c r="J258" s="67">
        <v>0</v>
      </c>
      <c r="K258" s="49"/>
      <c r="L258" s="61"/>
      <c r="M258" s="61"/>
      <c r="N258" s="61"/>
    </row>
    <row r="259" spans="1:14" ht="21.75" hidden="1" customHeight="1" x14ac:dyDescent="0.4">
      <c r="A259" s="55"/>
      <c r="B259" s="56"/>
      <c r="C259" s="56"/>
      <c r="D259" s="73"/>
      <c r="E259" s="77"/>
      <c r="F259" s="74" t="s">
        <v>50</v>
      </c>
      <c r="G259" s="76"/>
      <c r="H259" s="60"/>
      <c r="I259" s="67"/>
      <c r="J259" s="67">
        <f>+J260+J263+J268</f>
        <v>0</v>
      </c>
      <c r="K259" s="49"/>
      <c r="L259" s="61"/>
      <c r="M259" s="61"/>
      <c r="N259" s="61"/>
    </row>
    <row r="260" spans="1:14" ht="21.75" hidden="1" customHeight="1" x14ac:dyDescent="0.4">
      <c r="A260" s="55"/>
      <c r="B260" s="56"/>
      <c r="C260" s="56"/>
      <c r="D260" s="73"/>
      <c r="E260" s="77"/>
      <c r="F260" s="75"/>
      <c r="G260" s="99" t="s">
        <v>116</v>
      </c>
      <c r="H260" s="60" t="s">
        <v>16</v>
      </c>
      <c r="I260" s="67">
        <f ca="1">IFERROR(__xludf.DUMMYFUNCTION("IMPORTRANGE(""https://docs.google.com/spreadsheets/d/1C3CXT74ZlgGe6_JY_1olB1XN4rF0dxEuIIF-xsYjHgg/edit?usp=sharing"",""งบกองทุน!f28"")"),0)</f>
        <v>0</v>
      </c>
      <c r="J260" s="67">
        <v>0</v>
      </c>
      <c r="K260" s="49">
        <f ca="1">IF(I260&gt;0,J260*100/I260,0)</f>
        <v>0</v>
      </c>
      <c r="L260" s="61"/>
      <c r="M260" s="61"/>
      <c r="N260" s="61"/>
    </row>
    <row r="261" spans="1:14" ht="21.75" hidden="1" customHeight="1" x14ac:dyDescent="0.4">
      <c r="A261" s="55"/>
      <c r="B261" s="56"/>
      <c r="C261" s="56"/>
      <c r="D261" s="73"/>
      <c r="E261" s="77"/>
      <c r="F261" s="75"/>
      <c r="G261" s="76" t="s">
        <v>117</v>
      </c>
      <c r="H261" s="60"/>
      <c r="I261" s="48"/>
      <c r="J261" s="67"/>
      <c r="K261" s="49"/>
      <c r="L261" s="61"/>
      <c r="M261" s="61"/>
      <c r="N261" s="61"/>
    </row>
    <row r="262" spans="1:14" ht="21.75" hidden="1" customHeight="1" x14ac:dyDescent="0.4">
      <c r="A262" s="55"/>
      <c r="B262" s="56"/>
      <c r="C262" s="56"/>
      <c r="D262" s="73"/>
      <c r="E262" s="77"/>
      <c r="F262" s="75"/>
      <c r="G262" s="99" t="s">
        <v>118</v>
      </c>
      <c r="H262" s="66" t="s">
        <v>103</v>
      </c>
      <c r="I262" s="67">
        <f t="shared" ref="I262:J262" ca="1" si="59">SUM(I264,I266)</f>
        <v>0</v>
      </c>
      <c r="J262" s="67">
        <f t="shared" si="59"/>
        <v>0</v>
      </c>
      <c r="K262" s="49">
        <f t="shared" ref="K262:K268" ca="1" si="60">IF(I262&gt;0,J262*100/I262,0)</f>
        <v>0</v>
      </c>
      <c r="L262" s="61"/>
      <c r="M262" s="61"/>
      <c r="N262" s="61"/>
    </row>
    <row r="263" spans="1:14" ht="21.75" customHeight="1" x14ac:dyDescent="0.4">
      <c r="A263" s="55"/>
      <c r="B263" s="56"/>
      <c r="C263" s="56"/>
      <c r="D263" s="73"/>
      <c r="E263" s="77"/>
      <c r="F263" s="99" t="s">
        <v>119</v>
      </c>
      <c r="G263" s="76"/>
      <c r="H263" s="66" t="s">
        <v>16</v>
      </c>
      <c r="I263" s="48">
        <f ca="1">IFERROR(__xludf.DUMMYFUNCTION("IMPORTRANGE(""https://docs.google.com/spreadsheets/d/1C3CXT74ZlgGe6_JY_1olB1XN4rF0dxEuIIF-xsYjHgg/edit?usp=sharing"",""งบกองทุน!H28"")"),0)</f>
        <v>0</v>
      </c>
      <c r="J263" s="67">
        <f>J267</f>
        <v>0</v>
      </c>
      <c r="K263" s="49">
        <f t="shared" ca="1" si="60"/>
        <v>0</v>
      </c>
      <c r="L263" s="61"/>
      <c r="M263" s="61"/>
      <c r="N263" s="61"/>
    </row>
    <row r="264" spans="1:14" ht="21.75" hidden="1" customHeight="1" x14ac:dyDescent="0.4">
      <c r="A264" s="55"/>
      <c r="B264" s="56"/>
      <c r="C264" s="56"/>
      <c r="D264" s="73"/>
      <c r="E264" s="77"/>
      <c r="F264" s="75"/>
      <c r="H264" s="60" t="s">
        <v>103</v>
      </c>
      <c r="I264" s="48">
        <f ca="1">IFERROR(__xludf.DUMMYFUNCTION("IMPORTRANGE(""https://docs.google.com/spreadsheets/d/1C3CXT74ZlgGe6_JY_1olB1XN4rF0dxEuIIF-xsYjHgg/edit?usp=sharing"",""งบกองทุน!i28"")"),0)</f>
        <v>0</v>
      </c>
      <c r="J264" s="67">
        <v>0</v>
      </c>
      <c r="K264" s="49">
        <f t="shared" ca="1" si="60"/>
        <v>0</v>
      </c>
      <c r="L264" s="61"/>
      <c r="M264" s="61"/>
      <c r="N264" s="61"/>
    </row>
    <row r="265" spans="1:14" ht="21.75" customHeight="1" x14ac:dyDescent="0.4">
      <c r="A265" s="55"/>
      <c r="B265" s="56"/>
      <c r="C265" s="56"/>
      <c r="D265" s="73"/>
      <c r="E265" s="77"/>
      <c r="F265" s="75"/>
      <c r="G265" s="99" t="s">
        <v>219</v>
      </c>
      <c r="H265" s="60" t="s">
        <v>16</v>
      </c>
      <c r="I265" s="48">
        <f ca="1">I263</f>
        <v>0</v>
      </c>
      <c r="J265" s="67">
        <v>0</v>
      </c>
      <c r="K265" s="49">
        <f t="shared" ca="1" si="60"/>
        <v>0</v>
      </c>
      <c r="L265" s="61"/>
      <c r="M265" s="61"/>
      <c r="N265" s="61"/>
    </row>
    <row r="266" spans="1:14" ht="21.75" hidden="1" customHeight="1" x14ac:dyDescent="0.4">
      <c r="A266" s="55"/>
      <c r="B266" s="56"/>
      <c r="C266" s="56"/>
      <c r="D266" s="73"/>
      <c r="E266" s="77"/>
      <c r="F266" s="75"/>
      <c r="G266" s="76"/>
      <c r="H266" s="60" t="s">
        <v>103</v>
      </c>
      <c r="I266" s="48">
        <f ca="1">IFERROR(__xludf.DUMMYFUNCTION("IMPORTRANGE(""https://docs.google.com/spreadsheets/d/1C3CXT74ZlgGe6_JY_1olB1XN4rF0dxEuIIF-xsYjHgg/edit?usp=sharing"",""งบกองทุน!k28"")"),0)</f>
        <v>0</v>
      </c>
      <c r="J266" s="67">
        <v>0</v>
      </c>
      <c r="K266" s="49">
        <f t="shared" ca="1" si="60"/>
        <v>0</v>
      </c>
      <c r="L266" s="61"/>
      <c r="M266" s="61"/>
      <c r="N266" s="61"/>
    </row>
    <row r="267" spans="1:14" ht="21.75" customHeight="1" x14ac:dyDescent="0.4">
      <c r="A267" s="55"/>
      <c r="B267" s="56"/>
      <c r="C267" s="56"/>
      <c r="D267" s="73"/>
      <c r="E267" s="77"/>
      <c r="F267" s="75"/>
      <c r="G267" s="76" t="s">
        <v>220</v>
      </c>
      <c r="H267" s="60" t="s">
        <v>16</v>
      </c>
      <c r="I267" s="48">
        <f ca="1">I265</f>
        <v>0</v>
      </c>
      <c r="J267" s="67">
        <v>0</v>
      </c>
      <c r="K267" s="49">
        <f t="shared" ca="1" si="60"/>
        <v>0</v>
      </c>
      <c r="L267" s="61"/>
      <c r="M267" s="61"/>
      <c r="N267" s="61"/>
    </row>
    <row r="268" spans="1:14" ht="21.75" hidden="1" customHeight="1" x14ac:dyDescent="0.4">
      <c r="A268" s="55"/>
      <c r="B268" s="56"/>
      <c r="C268" s="56"/>
      <c r="D268" s="73"/>
      <c r="E268" s="77"/>
      <c r="F268" s="75"/>
      <c r="G268" s="99" t="s">
        <v>122</v>
      </c>
      <c r="H268" s="60" t="s">
        <v>16</v>
      </c>
      <c r="I268" s="67">
        <f ca="1">IFERROR(__xludf.DUMMYFUNCTION("IMPORTRANGE(""https://docs.google.com/spreadsheets/d/1C3CXT74ZlgGe6_JY_1olB1XN4rF0dxEuIIF-xsYjHgg/edit?usp=sharing"",""งบกองทุน!m28"")"),0)</f>
        <v>0</v>
      </c>
      <c r="J268" s="67">
        <v>0</v>
      </c>
      <c r="K268" s="49">
        <f t="shared" ca="1" si="60"/>
        <v>0</v>
      </c>
      <c r="L268" s="61"/>
      <c r="M268" s="61"/>
      <c r="N268" s="61"/>
    </row>
    <row r="269" spans="1:14" ht="21.75" hidden="1" customHeight="1" x14ac:dyDescent="0.4">
      <c r="A269" s="55"/>
      <c r="B269" s="56"/>
      <c r="C269" s="56"/>
      <c r="D269" s="73"/>
      <c r="E269" s="77"/>
      <c r="F269" s="75"/>
      <c r="G269" s="76" t="s">
        <v>123</v>
      </c>
      <c r="H269" s="60"/>
      <c r="I269" s="67"/>
      <c r="J269" s="67"/>
      <c r="K269" s="49"/>
      <c r="L269" s="61"/>
      <c r="M269" s="61"/>
      <c r="N269" s="61"/>
    </row>
    <row r="270" spans="1:14" ht="21.75" customHeight="1" x14ac:dyDescent="0.4">
      <c r="A270" s="55"/>
      <c r="B270" s="56"/>
      <c r="C270" s="56"/>
      <c r="D270" s="73"/>
      <c r="E270" s="75"/>
      <c r="F270" s="74" t="s">
        <v>34</v>
      </c>
      <c r="G270" s="76"/>
      <c r="H270" s="66" t="s">
        <v>103</v>
      </c>
      <c r="I270" s="67">
        <f t="shared" ref="I270:J270" ca="1" si="61">SUM(I271:I272)</f>
        <v>0</v>
      </c>
      <c r="J270" s="67">
        <f t="shared" si="61"/>
        <v>0</v>
      </c>
      <c r="K270" s="49">
        <f t="shared" ref="K270:K272" ca="1" si="62">IF(I270&gt;0,J270*100/I270,0)</f>
        <v>0</v>
      </c>
      <c r="L270" s="61"/>
      <c r="M270" s="61"/>
      <c r="N270" s="61"/>
    </row>
    <row r="271" spans="1:14" ht="21.75" customHeight="1" x14ac:dyDescent="0.4">
      <c r="A271" s="55"/>
      <c r="B271" s="56"/>
      <c r="C271" s="56"/>
      <c r="D271" s="73"/>
      <c r="E271" s="75"/>
      <c r="F271" s="75"/>
      <c r="G271" s="76" t="s">
        <v>124</v>
      </c>
      <c r="H271" s="66" t="s">
        <v>103</v>
      </c>
      <c r="I271" s="67">
        <f ca="1">IFERROR(__xludf.DUMMYFUNCTION("IMPORTRANGE(""https://docs.google.com/spreadsheets/d/1C3CXT74ZlgGe6_JY_1olB1XN4rF0dxEuIIF-xsYjHgg/edit?usp=sharing"",""งบกองทุน!o28"")"),0)</f>
        <v>0</v>
      </c>
      <c r="J271" s="67">
        <v>0</v>
      </c>
      <c r="K271" s="49">
        <f t="shared" ca="1" si="62"/>
        <v>0</v>
      </c>
      <c r="L271" s="61"/>
      <c r="M271" s="61"/>
      <c r="N271" s="61"/>
    </row>
    <row r="272" spans="1:14" ht="21.75" customHeight="1" x14ac:dyDescent="0.4">
      <c r="A272" s="55"/>
      <c r="B272" s="56"/>
      <c r="C272" s="56"/>
      <c r="D272" s="73"/>
      <c r="E272" s="75"/>
      <c r="F272" s="75"/>
      <c r="G272" s="76" t="s">
        <v>125</v>
      </c>
      <c r="H272" s="66" t="s">
        <v>103</v>
      </c>
      <c r="I272" s="67">
        <f ca="1">IFERROR(__xludf.DUMMYFUNCTION("IMPORTRANGE(""https://docs.google.com/spreadsheets/d/1C3CXT74ZlgGe6_JY_1olB1XN4rF0dxEuIIF-xsYjHgg/edit?usp=sharing"",""งบกองทุน!p28"")"),0)</f>
        <v>0</v>
      </c>
      <c r="J272" s="67">
        <v>0</v>
      </c>
      <c r="K272" s="49">
        <f t="shared" ca="1" si="62"/>
        <v>0</v>
      </c>
      <c r="L272" s="61"/>
      <c r="M272" s="61"/>
      <c r="N272" s="61"/>
    </row>
    <row r="273" spans="1:14" ht="21.75" customHeight="1" x14ac:dyDescent="0.4">
      <c r="A273" s="55"/>
      <c r="B273" s="56"/>
      <c r="C273" s="56"/>
      <c r="D273" s="73"/>
      <c r="E273" s="74" t="s">
        <v>35</v>
      </c>
      <c r="F273" s="75"/>
      <c r="G273" s="76"/>
      <c r="H273" s="66"/>
      <c r="I273" s="67"/>
      <c r="J273" s="67">
        <v>0</v>
      </c>
      <c r="K273" s="49"/>
      <c r="L273" s="61"/>
      <c r="M273" s="61"/>
      <c r="N273" s="61"/>
    </row>
    <row r="274" spans="1:14" ht="21.75" customHeight="1" x14ac:dyDescent="0.4">
      <c r="A274" s="55"/>
      <c r="B274" s="56"/>
      <c r="C274" s="56"/>
      <c r="D274" s="81">
        <v>3</v>
      </c>
      <c r="E274" s="82" t="s">
        <v>36</v>
      </c>
      <c r="F274" s="83"/>
      <c r="G274" s="84"/>
      <c r="H274" s="66"/>
      <c r="I274" s="67"/>
      <c r="J274" s="360">
        <v>0</v>
      </c>
      <c r="K274" s="49"/>
      <c r="L274" s="61"/>
      <c r="M274" s="61"/>
      <c r="N274" s="61"/>
    </row>
    <row r="275" spans="1:14" ht="21.75" customHeight="1" x14ac:dyDescent="0.4">
      <c r="A275" s="222"/>
      <c r="B275" s="223">
        <v>2</v>
      </c>
      <c r="C275" s="224" t="s">
        <v>126</v>
      </c>
      <c r="D275" s="224"/>
      <c r="E275" s="234"/>
      <c r="F275" s="234"/>
      <c r="G275" s="235"/>
      <c r="H275" s="226" t="s">
        <v>103</v>
      </c>
      <c r="I275" s="227">
        <f ca="1">I292</f>
        <v>1000</v>
      </c>
      <c r="J275" s="227">
        <f>+J292</f>
        <v>0</v>
      </c>
      <c r="K275" s="228">
        <f t="shared" ref="K275:K276" ca="1" si="63">IF(I275&gt;0,J275*100/I275,0)</f>
        <v>0</v>
      </c>
      <c r="L275" s="229">
        <f t="shared" ref="L275:M275" ca="1" si="64">SUM(L277:L278)</f>
        <v>1028520</v>
      </c>
      <c r="M275" s="229">
        <f t="shared" si="64"/>
        <v>36100.089999999997</v>
      </c>
      <c r="N275" s="229">
        <f ca="1">+IF(L275&gt;0,M275*100/L275,0)</f>
        <v>3.5099064675455991</v>
      </c>
    </row>
    <row r="276" spans="1:14" ht="21.75" customHeight="1" x14ac:dyDescent="0.4">
      <c r="A276" s="222"/>
      <c r="B276" s="223"/>
      <c r="C276" s="224"/>
      <c r="D276" s="236"/>
      <c r="E276" s="237"/>
      <c r="F276" s="237"/>
      <c r="G276" s="238"/>
      <c r="H276" s="226" t="s">
        <v>16</v>
      </c>
      <c r="I276" s="227">
        <f ca="1">I291</f>
        <v>100</v>
      </c>
      <c r="J276" s="227">
        <f>+J291</f>
        <v>0</v>
      </c>
      <c r="K276" s="228">
        <f t="shared" ca="1" si="63"/>
        <v>0</v>
      </c>
      <c r="L276" s="229"/>
      <c r="M276" s="229"/>
      <c r="N276" s="229"/>
    </row>
    <row r="277" spans="1:14" ht="21.75" customHeight="1" x14ac:dyDescent="0.4">
      <c r="A277" s="42"/>
      <c r="B277" s="43"/>
      <c r="C277" s="43" t="s">
        <v>17</v>
      </c>
      <c r="D277" s="44" t="s">
        <v>18</v>
      </c>
      <c r="E277" s="45"/>
      <c r="F277" s="45"/>
      <c r="G277" s="46" t="s">
        <v>19</v>
      </c>
      <c r="H277" s="47" t="s">
        <v>20</v>
      </c>
      <c r="I277" s="48" t="s">
        <v>21</v>
      </c>
      <c r="J277" s="48"/>
      <c r="K277" s="49"/>
      <c r="L277" s="50">
        <v>0</v>
      </c>
      <c r="M277" s="50">
        <v>0</v>
      </c>
      <c r="N277" s="50">
        <f t="shared" ref="N277:N280" si="65">+IF(L277&gt;0,M277*100/L277,0)</f>
        <v>0</v>
      </c>
    </row>
    <row r="278" spans="1:14" ht="21.75" customHeight="1" x14ac:dyDescent="0.4">
      <c r="A278" s="42"/>
      <c r="B278" s="43"/>
      <c r="C278" s="43"/>
      <c r="D278" s="51"/>
      <c r="E278" s="45"/>
      <c r="F278" s="45" t="s">
        <v>21</v>
      </c>
      <c r="G278" s="46" t="s">
        <v>22</v>
      </c>
      <c r="H278" s="47" t="s">
        <v>20</v>
      </c>
      <c r="I278" s="48"/>
      <c r="J278" s="48"/>
      <c r="K278" s="49"/>
      <c r="L278" s="50">
        <f t="shared" ref="L278:M278" ca="1" si="66">SUM(L279:L280)</f>
        <v>1028520</v>
      </c>
      <c r="M278" s="50">
        <f t="shared" si="66"/>
        <v>36100.089999999997</v>
      </c>
      <c r="N278" s="50">
        <f t="shared" ca="1" si="65"/>
        <v>3.5099064675455991</v>
      </c>
    </row>
    <row r="279" spans="1:14" ht="21.75" customHeight="1" x14ac:dyDescent="0.4">
      <c r="A279" s="42"/>
      <c r="B279" s="43"/>
      <c r="C279" s="43"/>
      <c r="D279" s="51"/>
      <c r="E279" s="45"/>
      <c r="F279" s="45"/>
      <c r="G279" s="52" t="s">
        <v>110</v>
      </c>
      <c r="H279" s="47" t="s">
        <v>20</v>
      </c>
      <c r="I279" s="48"/>
      <c r="J279" s="48"/>
      <c r="K279" s="49"/>
      <c r="L279" s="53">
        <f ca="1">IFERROR(__xludf.DUMMYFUNCTION("IMPORTRANGE(""https://docs.google.com/spreadsheets/d/1C3CXT74ZlgGe6_JY_1olB1XN4rF0dxEuIIF-xsYjHgg/edit?usp=sharing"",""งบกองทุน!r28"")"),0)</f>
        <v>0</v>
      </c>
      <c r="M279" s="53">
        <v>0</v>
      </c>
      <c r="N279" s="53">
        <f t="shared" ca="1" si="65"/>
        <v>0</v>
      </c>
    </row>
    <row r="280" spans="1:14" ht="21.75" customHeight="1" x14ac:dyDescent="0.4">
      <c r="A280" s="42"/>
      <c r="B280" s="43"/>
      <c r="C280" s="43"/>
      <c r="D280" s="51"/>
      <c r="E280" s="45"/>
      <c r="F280" s="45"/>
      <c r="G280" s="52" t="s">
        <v>111</v>
      </c>
      <c r="H280" s="47" t="s">
        <v>20</v>
      </c>
      <c r="I280" s="48"/>
      <c r="J280" s="48"/>
      <c r="K280" s="49"/>
      <c r="L280" s="53">
        <f ca="1">IFERROR(__xludf.DUMMYFUNCTION("IMPORTRANGE(""https://docs.google.com/spreadsheets/d/1C3CXT74ZlgGe6_JY_1olB1XN4rF0dxEuIIF-xsYjHgg/edit?usp=sharing"",""งบกองทุน!s28"")"),1028520)</f>
        <v>1028520</v>
      </c>
      <c r="M280" s="53">
        <f>SUM(M281:M284)</f>
        <v>36100.089999999997</v>
      </c>
      <c r="N280" s="53">
        <f t="shared" ca="1" si="65"/>
        <v>3.5099064675455991</v>
      </c>
    </row>
    <row r="281" spans="1:14" ht="21.75" customHeight="1" x14ac:dyDescent="0.4">
      <c r="A281" s="230"/>
      <c r="B281" s="231"/>
      <c r="C281" s="43"/>
      <c r="D281" s="232"/>
      <c r="E281" s="45"/>
      <c r="F281" s="45"/>
      <c r="G281" s="46" t="s">
        <v>112</v>
      </c>
      <c r="H281" s="47" t="s">
        <v>20</v>
      </c>
      <c r="I281" s="67"/>
      <c r="J281" s="67"/>
      <c r="K281" s="233"/>
      <c r="L281" s="53"/>
      <c r="M281" s="54">
        <v>25960</v>
      </c>
      <c r="N281" s="53"/>
    </row>
    <row r="282" spans="1:14" ht="21.75" customHeight="1" x14ac:dyDescent="0.4">
      <c r="A282" s="230"/>
      <c r="B282" s="231"/>
      <c r="C282" s="43"/>
      <c r="D282" s="232"/>
      <c r="E282" s="45"/>
      <c r="F282" s="45"/>
      <c r="G282" s="46" t="s">
        <v>113</v>
      </c>
      <c r="H282" s="47" t="s">
        <v>20</v>
      </c>
      <c r="I282" s="67"/>
      <c r="J282" s="67"/>
      <c r="K282" s="233"/>
      <c r="L282" s="53"/>
      <c r="M282" s="54">
        <v>0</v>
      </c>
      <c r="N282" s="53"/>
    </row>
    <row r="283" spans="1:14" ht="21.75" customHeight="1" x14ac:dyDescent="0.4">
      <c r="A283" s="230"/>
      <c r="B283" s="231"/>
      <c r="C283" s="43"/>
      <c r="D283" s="232"/>
      <c r="E283" s="45"/>
      <c r="F283" s="45"/>
      <c r="G283" s="46" t="s">
        <v>114</v>
      </c>
      <c r="H283" s="47" t="s">
        <v>20</v>
      </c>
      <c r="I283" s="67"/>
      <c r="J283" s="67"/>
      <c r="K283" s="233"/>
      <c r="L283" s="53"/>
      <c r="M283" s="54">
        <v>9900.09</v>
      </c>
      <c r="N283" s="53"/>
    </row>
    <row r="284" spans="1:14" ht="21.75" customHeight="1" x14ac:dyDescent="0.4">
      <c r="A284" s="230"/>
      <c r="B284" s="231"/>
      <c r="C284" s="43"/>
      <c r="D284" s="232"/>
      <c r="E284" s="45"/>
      <c r="F284" s="45"/>
      <c r="G284" s="46" t="s">
        <v>115</v>
      </c>
      <c r="H284" s="47" t="s">
        <v>20</v>
      </c>
      <c r="I284" s="67"/>
      <c r="J284" s="67"/>
      <c r="K284" s="233"/>
      <c r="L284" s="53"/>
      <c r="M284" s="54">
        <v>240</v>
      </c>
      <c r="N284" s="53"/>
    </row>
    <row r="285" spans="1:14" ht="21.75" customHeight="1" x14ac:dyDescent="0.4">
      <c r="A285" s="55"/>
      <c r="B285" s="56"/>
      <c r="C285" s="43" t="s">
        <v>17</v>
      </c>
      <c r="D285" s="57" t="s">
        <v>25</v>
      </c>
      <c r="E285" s="58"/>
      <c r="F285" s="58"/>
      <c r="G285" s="59"/>
      <c r="H285" s="60"/>
      <c r="I285" s="48"/>
      <c r="J285" s="48"/>
      <c r="K285" s="49"/>
      <c r="L285" s="61"/>
      <c r="M285" s="61"/>
      <c r="N285" s="61"/>
    </row>
    <row r="286" spans="1:14" ht="21.75" customHeight="1" x14ac:dyDescent="0.4">
      <c r="A286" s="55"/>
      <c r="B286" s="56"/>
      <c r="C286" s="56"/>
      <c r="D286" s="62">
        <v>1</v>
      </c>
      <c r="E286" s="63" t="s">
        <v>26</v>
      </c>
      <c r="F286" s="64"/>
      <c r="G286" s="65"/>
      <c r="H286" s="66"/>
      <c r="I286" s="67"/>
      <c r="J286" s="68">
        <v>0</v>
      </c>
      <c r="K286" s="49"/>
      <c r="L286" s="61"/>
      <c r="M286" s="61"/>
      <c r="N286" s="61"/>
    </row>
    <row r="287" spans="1:14" ht="21.75" customHeight="1" x14ac:dyDescent="0.4">
      <c r="A287" s="55"/>
      <c r="B287" s="56"/>
      <c r="C287" s="56"/>
      <c r="D287" s="69">
        <v>2</v>
      </c>
      <c r="E287" s="70" t="s">
        <v>27</v>
      </c>
      <c r="F287" s="71"/>
      <c r="G287" s="72"/>
      <c r="H287" s="66"/>
      <c r="I287" s="67"/>
      <c r="J287" s="68">
        <v>1</v>
      </c>
      <c r="K287" s="49"/>
      <c r="L287" s="61" t="s">
        <v>21</v>
      </c>
      <c r="M287" s="61" t="s">
        <v>21</v>
      </c>
      <c r="N287" s="61"/>
    </row>
    <row r="288" spans="1:14" ht="21.75" customHeight="1" x14ac:dyDescent="0.4">
      <c r="A288" s="55"/>
      <c r="B288" s="56"/>
      <c r="C288" s="56"/>
      <c r="D288" s="73"/>
      <c r="E288" s="74" t="s">
        <v>28</v>
      </c>
      <c r="F288" s="75"/>
      <c r="G288" s="76"/>
      <c r="H288" s="66"/>
      <c r="I288" s="67"/>
      <c r="J288" s="68">
        <v>1</v>
      </c>
      <c r="K288" s="49"/>
      <c r="L288" s="61"/>
      <c r="M288" s="61"/>
      <c r="N288" s="61"/>
    </row>
    <row r="289" spans="1:14" ht="21.75" customHeight="1" x14ac:dyDescent="0.4">
      <c r="A289" s="55"/>
      <c r="B289" s="56"/>
      <c r="C289" s="56"/>
      <c r="D289" s="73"/>
      <c r="E289" s="74" t="s">
        <v>29</v>
      </c>
      <c r="F289" s="75"/>
      <c r="G289" s="76"/>
      <c r="H289" s="66"/>
      <c r="I289" s="67"/>
      <c r="J289" s="68">
        <v>1</v>
      </c>
      <c r="K289" s="49"/>
      <c r="L289" s="61"/>
      <c r="M289" s="61"/>
      <c r="N289" s="61"/>
    </row>
    <row r="290" spans="1:14" ht="21.75" customHeight="1" x14ac:dyDescent="0.4">
      <c r="A290" s="55"/>
      <c r="B290" s="56"/>
      <c r="C290" s="56"/>
      <c r="D290" s="73"/>
      <c r="E290" s="77"/>
      <c r="F290" s="74" t="s">
        <v>127</v>
      </c>
      <c r="G290" s="75"/>
      <c r="H290" s="66"/>
      <c r="I290" s="67"/>
      <c r="J290" s="67"/>
      <c r="K290" s="49"/>
      <c r="L290" s="61"/>
      <c r="M290" s="61"/>
      <c r="N290" s="61"/>
    </row>
    <row r="291" spans="1:14" ht="21.75" customHeight="1" x14ac:dyDescent="0.4">
      <c r="A291" s="55"/>
      <c r="B291" s="56"/>
      <c r="C291" s="56"/>
      <c r="D291" s="73"/>
      <c r="E291" s="77"/>
      <c r="F291" s="75"/>
      <c r="G291" s="99" t="s">
        <v>50</v>
      </c>
      <c r="H291" s="66" t="s">
        <v>16</v>
      </c>
      <c r="I291" s="67">
        <f ca="1">IFERROR(__xludf.DUMMYFUNCTION("IMPORTRANGE(""https://docs.google.com/spreadsheets/d/1C3CXT74ZlgGe6_JY_1olB1XN4rF0dxEuIIF-xsYjHgg/edit?usp=sharing"",""งบกองทุน!v28"")"),100)</f>
        <v>100</v>
      </c>
      <c r="J291" s="68">
        <v>0</v>
      </c>
      <c r="K291" s="49">
        <f t="shared" ref="K291:K293" ca="1" si="67">IF(I291&gt;0,J291*100/I291,0)</f>
        <v>0</v>
      </c>
      <c r="L291" s="61"/>
      <c r="M291" s="61"/>
      <c r="N291" s="61"/>
    </row>
    <row r="292" spans="1:14" ht="21.75" customHeight="1" x14ac:dyDescent="0.4">
      <c r="A292" s="55"/>
      <c r="B292" s="56"/>
      <c r="C292" s="56"/>
      <c r="D292" s="73"/>
      <c r="E292" s="77"/>
      <c r="F292" s="75"/>
      <c r="G292" s="76" t="s">
        <v>34</v>
      </c>
      <c r="H292" s="66" t="s">
        <v>103</v>
      </c>
      <c r="I292" s="67">
        <f ca="1">IFERROR(__xludf.DUMMYFUNCTION("IMPORTRANGE(""https://docs.google.com/spreadsheets/d/1C3CXT74ZlgGe6_JY_1olB1XN4rF0dxEuIIF-xsYjHgg/edit?usp=sharing"",""งบกองทุน!w28"")"),1000)</f>
        <v>1000</v>
      </c>
      <c r="J292" s="68">
        <v>0</v>
      </c>
      <c r="K292" s="49">
        <f t="shared" ca="1" si="67"/>
        <v>0</v>
      </c>
      <c r="L292" s="61"/>
      <c r="M292" s="61"/>
      <c r="N292" s="61"/>
    </row>
    <row r="293" spans="1:14" ht="21.75" customHeight="1" x14ac:dyDescent="0.4">
      <c r="A293" s="55"/>
      <c r="B293" s="56"/>
      <c r="C293" s="56"/>
      <c r="D293" s="73"/>
      <c r="E293" s="77"/>
      <c r="F293" s="75"/>
      <c r="G293" s="76"/>
      <c r="H293" s="66" t="s">
        <v>16</v>
      </c>
      <c r="I293" s="67">
        <f ca="1">IFERROR(__xludf.DUMMYFUNCTION("IMPORTRANGE(""https://docs.google.com/spreadsheets/d/1C3CXT74ZlgGe6_JY_1olB1XN4rF0dxEuIIF-xsYjHgg/edit?usp=sharing"",""งบกองทุน!x28"")"),100)</f>
        <v>100</v>
      </c>
      <c r="J293" s="68">
        <v>0</v>
      </c>
      <c r="K293" s="49">
        <f t="shared" ca="1" si="67"/>
        <v>0</v>
      </c>
      <c r="L293" s="61"/>
      <c r="M293" s="61"/>
      <c r="N293" s="61"/>
    </row>
    <row r="294" spans="1:14" ht="21.75" customHeight="1" x14ac:dyDescent="0.4">
      <c r="A294" s="55"/>
      <c r="B294" s="56"/>
      <c r="C294" s="56"/>
      <c r="D294" s="73"/>
      <c r="E294" s="74" t="s">
        <v>35</v>
      </c>
      <c r="F294" s="75"/>
      <c r="G294" s="76"/>
      <c r="H294" s="66"/>
      <c r="I294" s="67"/>
      <c r="J294" s="68">
        <v>0</v>
      </c>
      <c r="K294" s="49"/>
      <c r="L294" s="61"/>
      <c r="M294" s="61"/>
      <c r="N294" s="61"/>
    </row>
    <row r="295" spans="1:14" ht="21.75" customHeight="1" x14ac:dyDescent="0.4">
      <c r="A295" s="55"/>
      <c r="B295" s="56"/>
      <c r="C295" s="56"/>
      <c r="D295" s="81">
        <v>3</v>
      </c>
      <c r="E295" s="82" t="s">
        <v>36</v>
      </c>
      <c r="F295" s="83"/>
      <c r="G295" s="84"/>
      <c r="H295" s="66"/>
      <c r="I295" s="67"/>
      <c r="J295" s="85">
        <v>0</v>
      </c>
      <c r="K295" s="49"/>
      <c r="L295" s="61"/>
      <c r="M295" s="61"/>
      <c r="N295" s="61"/>
    </row>
    <row r="296" spans="1:14" ht="21.75" customHeight="1" x14ac:dyDescent="0.4">
      <c r="A296" s="222"/>
      <c r="B296" s="223">
        <v>3</v>
      </c>
      <c r="C296" s="223" t="s">
        <v>128</v>
      </c>
      <c r="D296" s="224"/>
      <c r="E296" s="224"/>
      <c r="F296" s="224"/>
      <c r="G296" s="225"/>
      <c r="H296" s="226" t="s">
        <v>103</v>
      </c>
      <c r="I296" s="227">
        <f ca="1">SUM(I313,I317,I322)</f>
        <v>225</v>
      </c>
      <c r="J296" s="227">
        <f>J313+J317+J322</f>
        <v>0</v>
      </c>
      <c r="K296" s="228">
        <f t="shared" ref="K296:K297" ca="1" si="68">IF(I296&gt;0,J296*100/I296,0)</f>
        <v>0</v>
      </c>
      <c r="L296" s="229">
        <f t="shared" ref="L296:M296" ca="1" si="69">SUM(L298:L299)</f>
        <v>252320</v>
      </c>
      <c r="M296" s="229">
        <f t="shared" si="69"/>
        <v>0</v>
      </c>
      <c r="N296" s="229">
        <f ca="1">+IF(L296&gt;0,M296*100/L296,0)</f>
        <v>0</v>
      </c>
    </row>
    <row r="297" spans="1:14" ht="21.75" customHeight="1" x14ac:dyDescent="0.4">
      <c r="A297" s="222"/>
      <c r="B297" s="223"/>
      <c r="C297" s="223"/>
      <c r="D297" s="236"/>
      <c r="E297" s="236"/>
      <c r="F297" s="236"/>
      <c r="G297" s="239"/>
      <c r="H297" s="226" t="s">
        <v>16</v>
      </c>
      <c r="I297" s="227">
        <f ca="1">SUM(I312,I316,I321)</f>
        <v>75</v>
      </c>
      <c r="J297" s="227">
        <f ca="1">J311</f>
        <v>0</v>
      </c>
      <c r="K297" s="228">
        <f t="shared" ca="1" si="68"/>
        <v>0</v>
      </c>
      <c r="L297" s="229"/>
      <c r="M297" s="229"/>
      <c r="N297" s="229"/>
    </row>
    <row r="298" spans="1:14" ht="21.75" customHeight="1" x14ac:dyDescent="0.4">
      <c r="A298" s="42"/>
      <c r="B298" s="43"/>
      <c r="C298" s="43" t="s">
        <v>17</v>
      </c>
      <c r="D298" s="44" t="s">
        <v>18</v>
      </c>
      <c r="E298" s="45"/>
      <c r="F298" s="45"/>
      <c r="G298" s="46" t="s">
        <v>19</v>
      </c>
      <c r="H298" s="47" t="s">
        <v>20</v>
      </c>
      <c r="I298" s="48" t="s">
        <v>21</v>
      </c>
      <c r="J298" s="48"/>
      <c r="K298" s="49"/>
      <c r="L298" s="50">
        <v>0</v>
      </c>
      <c r="M298" s="53">
        <v>0</v>
      </c>
      <c r="N298" s="53">
        <f t="shared" ref="N298:N301" si="70">+IF(L298&gt;0,M298*100/L298,0)</f>
        <v>0</v>
      </c>
    </row>
    <row r="299" spans="1:14" ht="21.75" customHeight="1" x14ac:dyDescent="0.4">
      <c r="A299" s="42"/>
      <c r="B299" s="43"/>
      <c r="C299" s="43"/>
      <c r="D299" s="51"/>
      <c r="E299" s="45"/>
      <c r="F299" s="45" t="s">
        <v>21</v>
      </c>
      <c r="G299" s="46" t="s">
        <v>22</v>
      </c>
      <c r="H299" s="47" t="s">
        <v>20</v>
      </c>
      <c r="I299" s="48"/>
      <c r="J299" s="48"/>
      <c r="K299" s="49"/>
      <c r="L299" s="50">
        <f t="shared" ref="L299:M299" ca="1" si="71">SUM(L300:L301)</f>
        <v>252320</v>
      </c>
      <c r="M299" s="53">
        <f t="shared" si="71"/>
        <v>0</v>
      </c>
      <c r="N299" s="53">
        <f t="shared" ca="1" si="70"/>
        <v>0</v>
      </c>
    </row>
    <row r="300" spans="1:14" ht="21.75" customHeight="1" x14ac:dyDescent="0.4">
      <c r="A300" s="42"/>
      <c r="B300" s="43"/>
      <c r="C300" s="43"/>
      <c r="D300" s="51"/>
      <c r="E300" s="45"/>
      <c r="F300" s="45"/>
      <c r="G300" s="52" t="s">
        <v>110</v>
      </c>
      <c r="H300" s="47" t="s">
        <v>20</v>
      </c>
      <c r="I300" s="48"/>
      <c r="J300" s="48"/>
      <c r="K300" s="49"/>
      <c r="L300" s="53">
        <f ca="1">IFERROR(__xludf.DUMMYFUNCTION("IMPORTRANGE(""https://docs.google.com/spreadsheets/d/1C3CXT74ZlgGe6_JY_1olB1XN4rF0dxEuIIF-xsYjHgg/edit?usp=sharing"",""งบกองทุน!z28"")"),0)</f>
        <v>0</v>
      </c>
      <c r="M300" s="53">
        <v>0</v>
      </c>
      <c r="N300" s="53">
        <f t="shared" ca="1" si="70"/>
        <v>0</v>
      </c>
    </row>
    <row r="301" spans="1:14" ht="21.75" customHeight="1" x14ac:dyDescent="0.4">
      <c r="A301" s="42"/>
      <c r="B301" s="43"/>
      <c r="C301" s="43"/>
      <c r="D301" s="51"/>
      <c r="E301" s="45"/>
      <c r="F301" s="45"/>
      <c r="G301" s="52" t="s">
        <v>111</v>
      </c>
      <c r="H301" s="47" t="s">
        <v>20</v>
      </c>
      <c r="I301" s="48"/>
      <c r="J301" s="48"/>
      <c r="K301" s="49"/>
      <c r="L301" s="53">
        <f ca="1">IFERROR(__xludf.DUMMYFUNCTION("IMPORTRANGE(""https://docs.google.com/spreadsheets/d/1C3CXT74ZlgGe6_JY_1olB1XN4rF0dxEuIIF-xsYjHgg/edit?usp=sharing"",""งบกองทุน!aa28"")"),252320)</f>
        <v>252320</v>
      </c>
      <c r="M301" s="53">
        <f>SUM(M302:M305)</f>
        <v>0</v>
      </c>
      <c r="N301" s="53">
        <f t="shared" ca="1" si="70"/>
        <v>0</v>
      </c>
    </row>
    <row r="302" spans="1:14" ht="21.75" customHeight="1" x14ac:dyDescent="0.4">
      <c r="A302" s="230"/>
      <c r="B302" s="231"/>
      <c r="C302" s="43"/>
      <c r="D302" s="232"/>
      <c r="E302" s="45"/>
      <c r="F302" s="45"/>
      <c r="G302" s="46" t="s">
        <v>112</v>
      </c>
      <c r="H302" s="47" t="s">
        <v>20</v>
      </c>
      <c r="I302" s="67"/>
      <c r="J302" s="67"/>
      <c r="K302" s="233"/>
      <c r="L302" s="53"/>
      <c r="M302" s="54">
        <v>0</v>
      </c>
      <c r="N302" s="53"/>
    </row>
    <row r="303" spans="1:14" ht="21.75" customHeight="1" x14ac:dyDescent="0.4">
      <c r="A303" s="230"/>
      <c r="B303" s="231"/>
      <c r="C303" s="43"/>
      <c r="D303" s="232"/>
      <c r="E303" s="45"/>
      <c r="F303" s="45"/>
      <c r="G303" s="46" t="s">
        <v>113</v>
      </c>
      <c r="H303" s="47" t="s">
        <v>20</v>
      </c>
      <c r="I303" s="67"/>
      <c r="J303" s="67"/>
      <c r="K303" s="233"/>
      <c r="L303" s="53"/>
      <c r="M303" s="54">
        <v>0</v>
      </c>
      <c r="N303" s="53"/>
    </row>
    <row r="304" spans="1:14" ht="21.75" customHeight="1" x14ac:dyDescent="0.4">
      <c r="A304" s="230"/>
      <c r="B304" s="231"/>
      <c r="C304" s="43"/>
      <c r="D304" s="232"/>
      <c r="E304" s="45"/>
      <c r="F304" s="45"/>
      <c r="G304" s="46" t="s">
        <v>114</v>
      </c>
      <c r="H304" s="47" t="s">
        <v>20</v>
      </c>
      <c r="I304" s="67"/>
      <c r="J304" s="67"/>
      <c r="K304" s="233"/>
      <c r="L304" s="53"/>
      <c r="M304" s="54">
        <v>0</v>
      </c>
      <c r="N304" s="53"/>
    </row>
    <row r="305" spans="1:14" ht="21.75" customHeight="1" x14ac:dyDescent="0.4">
      <c r="A305" s="230"/>
      <c r="B305" s="231"/>
      <c r="C305" s="43"/>
      <c r="D305" s="232"/>
      <c r="E305" s="45"/>
      <c r="F305" s="45"/>
      <c r="G305" s="46" t="s">
        <v>115</v>
      </c>
      <c r="H305" s="47" t="s">
        <v>20</v>
      </c>
      <c r="I305" s="67"/>
      <c r="J305" s="67"/>
      <c r="K305" s="233"/>
      <c r="L305" s="53"/>
      <c r="M305" s="54">
        <v>0</v>
      </c>
      <c r="N305" s="53"/>
    </row>
    <row r="306" spans="1:14" ht="21.75" customHeight="1" x14ac:dyDescent="0.4">
      <c r="A306" s="55"/>
      <c r="B306" s="56"/>
      <c r="C306" s="43" t="s">
        <v>17</v>
      </c>
      <c r="D306" s="57" t="s">
        <v>25</v>
      </c>
      <c r="E306" s="58"/>
      <c r="F306" s="58"/>
      <c r="G306" s="59"/>
      <c r="H306" s="60"/>
      <c r="I306" s="48"/>
      <c r="J306" s="48"/>
      <c r="K306" s="49"/>
      <c r="L306" s="61"/>
      <c r="M306" s="61"/>
      <c r="N306" s="61"/>
    </row>
    <row r="307" spans="1:14" ht="21.75" customHeight="1" x14ac:dyDescent="0.4">
      <c r="A307" s="55"/>
      <c r="B307" s="56"/>
      <c r="C307" s="56"/>
      <c r="D307" s="62">
        <v>1</v>
      </c>
      <c r="E307" s="63" t="s">
        <v>26</v>
      </c>
      <c r="F307" s="64"/>
      <c r="G307" s="65"/>
      <c r="H307" s="66"/>
      <c r="I307" s="67"/>
      <c r="J307" s="68">
        <v>0</v>
      </c>
      <c r="K307" s="49"/>
      <c r="L307" s="61"/>
      <c r="M307" s="61"/>
      <c r="N307" s="61"/>
    </row>
    <row r="308" spans="1:14" ht="21.75" customHeight="1" x14ac:dyDescent="0.4">
      <c r="A308" s="55"/>
      <c r="B308" s="56"/>
      <c r="C308" s="56"/>
      <c r="D308" s="69">
        <v>2</v>
      </c>
      <c r="E308" s="70" t="s">
        <v>27</v>
      </c>
      <c r="F308" s="71"/>
      <c r="G308" s="72"/>
      <c r="H308" s="66"/>
      <c r="I308" s="67"/>
      <c r="J308" s="68">
        <v>1</v>
      </c>
      <c r="K308" s="49"/>
      <c r="L308" s="61" t="s">
        <v>21</v>
      </c>
      <c r="M308" s="61" t="s">
        <v>21</v>
      </c>
      <c r="N308" s="61"/>
    </row>
    <row r="309" spans="1:14" ht="21.75" customHeight="1" x14ac:dyDescent="0.4">
      <c r="A309" s="55"/>
      <c r="B309" s="56"/>
      <c r="C309" s="56"/>
      <c r="D309" s="73"/>
      <c r="E309" s="74" t="s">
        <v>28</v>
      </c>
      <c r="F309" s="75"/>
      <c r="G309" s="76"/>
      <c r="H309" s="66"/>
      <c r="I309" s="67"/>
      <c r="J309" s="68">
        <v>1</v>
      </c>
      <c r="K309" s="49"/>
      <c r="L309" s="61"/>
      <c r="M309" s="61"/>
      <c r="N309" s="61"/>
    </row>
    <row r="310" spans="1:14" ht="21.75" customHeight="1" x14ac:dyDescent="0.4">
      <c r="A310" s="55"/>
      <c r="B310" s="56"/>
      <c r="C310" s="56"/>
      <c r="D310" s="73"/>
      <c r="E310" s="74" t="s">
        <v>29</v>
      </c>
      <c r="F310" s="75"/>
      <c r="G310" s="76"/>
      <c r="H310" s="66"/>
      <c r="I310" s="67"/>
      <c r="J310" s="68">
        <v>1</v>
      </c>
      <c r="K310" s="49"/>
      <c r="L310" s="61"/>
      <c r="M310" s="61"/>
      <c r="N310" s="61"/>
    </row>
    <row r="311" spans="1:14" ht="21.75" customHeight="1" x14ac:dyDescent="0.4">
      <c r="A311" s="55"/>
      <c r="B311" s="56"/>
      <c r="C311" s="56"/>
      <c r="D311" s="73"/>
      <c r="E311" s="77"/>
      <c r="F311" s="74" t="s">
        <v>50</v>
      </c>
      <c r="G311" s="240"/>
      <c r="H311" s="241" t="s">
        <v>16</v>
      </c>
      <c r="I311" s="79">
        <f t="shared" ref="I311:J311" ca="1" si="72">+I312+I316+I321</f>
        <v>75</v>
      </c>
      <c r="J311" s="79">
        <f t="shared" ca="1" si="72"/>
        <v>0</v>
      </c>
      <c r="K311" s="80">
        <f t="shared" ref="K311:K327" ca="1" si="73">IF(I311&gt;0,J311*100/I311,0)</f>
        <v>0</v>
      </c>
      <c r="L311" s="61"/>
      <c r="M311" s="61"/>
      <c r="N311" s="61"/>
    </row>
    <row r="312" spans="1:14" ht="21.75" customHeight="1" x14ac:dyDescent="0.4">
      <c r="A312" s="55"/>
      <c r="B312" s="56"/>
      <c r="C312" s="56"/>
      <c r="D312" s="73"/>
      <c r="E312" s="77"/>
      <c r="F312" s="242" t="s">
        <v>129</v>
      </c>
      <c r="G312" s="76"/>
      <c r="H312" s="78" t="s">
        <v>16</v>
      </c>
      <c r="I312" s="243">
        <f ca="1">IFERROR(__xludf.DUMMYFUNCTION("IMPORTRANGE(""https://docs.google.com/spreadsheets/d/1C3CXT74ZlgGe6_JY_1olB1XN4rF0dxEuIIF-xsYjHgg/edit?usp=sharing"",""งบกองทุน!ae28"")"),25)</f>
        <v>25</v>
      </c>
      <c r="J312" s="79">
        <f ca="1">IF(AND(J314=I314,J315=I315),I314,0)</f>
        <v>0</v>
      </c>
      <c r="K312" s="80">
        <f t="shared" ca="1" si="73"/>
        <v>0</v>
      </c>
      <c r="L312" s="61"/>
      <c r="M312" s="61"/>
      <c r="N312" s="61"/>
    </row>
    <row r="313" spans="1:14" ht="21.75" customHeight="1" x14ac:dyDescent="0.4">
      <c r="A313" s="55"/>
      <c r="B313" s="56"/>
      <c r="C313" s="56"/>
      <c r="D313" s="73"/>
      <c r="E313" s="77"/>
      <c r="F313" s="75"/>
      <c r="G313" s="76"/>
      <c r="H313" s="78" t="s">
        <v>103</v>
      </c>
      <c r="I313" s="243">
        <f ca="1">IFERROR(__xludf.DUMMYFUNCTION("IMPORTRANGE(""https://docs.google.com/spreadsheets/d/1C3CXT74ZlgGe6_JY_1olB1XN4rF0dxEuIIF-xsYjHgg/edit?usp=sharing"",""งบกองทุน!ad28"")"),75)</f>
        <v>75</v>
      </c>
      <c r="J313" s="154">
        <v>0</v>
      </c>
      <c r="K313" s="80">
        <f t="shared" ca="1" si="73"/>
        <v>0</v>
      </c>
      <c r="L313" s="61"/>
      <c r="M313" s="61"/>
      <c r="N313" s="61"/>
    </row>
    <row r="314" spans="1:14" ht="21.75" customHeight="1" x14ac:dyDescent="0.4">
      <c r="A314" s="55"/>
      <c r="B314" s="56"/>
      <c r="C314" s="56"/>
      <c r="D314" s="73"/>
      <c r="E314" s="77"/>
      <c r="F314" s="75"/>
      <c r="G314" s="99" t="s">
        <v>130</v>
      </c>
      <c r="H314" s="60" t="s">
        <v>16</v>
      </c>
      <c r="I314" s="200">
        <f ca="1">IFERROR(__xludf.DUMMYFUNCTION("IMPORTRANGE(""https://docs.google.com/spreadsheets/d/1C3CXT74ZlgGe6_JY_1olB1XN4rF0dxEuIIF-xsYjHgg/edit?usp=sharing"",""งบกองทุน!af28"")"),25)</f>
        <v>25</v>
      </c>
      <c r="J314" s="68">
        <v>0</v>
      </c>
      <c r="K314" s="49">
        <f t="shared" ca="1" si="73"/>
        <v>0</v>
      </c>
      <c r="L314" s="61"/>
      <c r="M314" s="61"/>
      <c r="N314" s="61"/>
    </row>
    <row r="315" spans="1:14" ht="21.75" customHeight="1" x14ac:dyDescent="0.4">
      <c r="A315" s="105"/>
      <c r="B315" s="106"/>
      <c r="C315" s="106"/>
      <c r="D315" s="244"/>
      <c r="E315" s="245"/>
      <c r="F315" s="204"/>
      <c r="G315" s="246" t="s">
        <v>131</v>
      </c>
      <c r="H315" s="206" t="s">
        <v>16</v>
      </c>
      <c r="I315" s="207">
        <f ca="1">IFERROR(__xludf.DUMMYFUNCTION("IMPORTRANGE(""https://docs.google.com/spreadsheets/d/1C3CXT74ZlgGe6_JY_1olB1XN4rF0dxEuIIF-xsYjHgg/edit?usp=sharing"",""งบกองทุน!ag28"")"),25)</f>
        <v>25</v>
      </c>
      <c r="J315" s="247">
        <v>0</v>
      </c>
      <c r="K315" s="114">
        <f t="shared" ca="1" si="73"/>
        <v>0</v>
      </c>
      <c r="L315" s="115"/>
      <c r="M315" s="115"/>
      <c r="N315" s="115"/>
    </row>
    <row r="316" spans="1:14" ht="21.75" customHeight="1" x14ac:dyDescent="0.4">
      <c r="A316" s="55"/>
      <c r="B316" s="56"/>
      <c r="C316" s="56"/>
      <c r="D316" s="73"/>
      <c r="E316" s="77"/>
      <c r="F316" s="242" t="s">
        <v>132</v>
      </c>
      <c r="G316" s="76"/>
      <c r="H316" s="78" t="s">
        <v>16</v>
      </c>
      <c r="I316" s="243">
        <f ca="1">IFERROR(__xludf.DUMMYFUNCTION("IMPORTRANGE(""https://docs.google.com/spreadsheets/d/1C3CXT74ZlgGe6_JY_1olB1XN4rF0dxEuIIF-xsYjHgg/edit?usp=sharing"",""งบกองทุน!ai28"")"),40)</f>
        <v>40</v>
      </c>
      <c r="J316" s="79">
        <f ca="1">IF(AND(J318=I318,J319=I319,J320=I320),I318,0)</f>
        <v>0</v>
      </c>
      <c r="K316" s="80">
        <f t="shared" ca="1" si="73"/>
        <v>0</v>
      </c>
      <c r="L316" s="61"/>
      <c r="M316" s="61"/>
      <c r="N316" s="61"/>
    </row>
    <row r="317" spans="1:14" ht="21.75" customHeight="1" x14ac:dyDescent="0.4">
      <c r="A317" s="55"/>
      <c r="B317" s="56"/>
      <c r="C317" s="56"/>
      <c r="D317" s="73"/>
      <c r="E317" s="77"/>
      <c r="F317" s="75"/>
      <c r="G317" s="76"/>
      <c r="H317" s="78" t="s">
        <v>103</v>
      </c>
      <c r="I317" s="243">
        <f ca="1">IFERROR(__xludf.DUMMYFUNCTION("IMPORTRANGE(""https://docs.google.com/spreadsheets/d/1C3CXT74ZlgGe6_JY_1olB1XN4rF0dxEuIIF-xsYjHgg/edit?usp=sharing"",""งบกองทุน!ah28"")"),120)</f>
        <v>120</v>
      </c>
      <c r="J317" s="154">
        <v>0</v>
      </c>
      <c r="K317" s="80">
        <f t="shared" ca="1" si="73"/>
        <v>0</v>
      </c>
      <c r="L317" s="61"/>
      <c r="M317" s="61"/>
      <c r="N317" s="61"/>
    </row>
    <row r="318" spans="1:14" ht="21.75" customHeight="1" x14ac:dyDescent="0.4">
      <c r="A318" s="55"/>
      <c r="B318" s="56"/>
      <c r="C318" s="56"/>
      <c r="D318" s="73"/>
      <c r="E318" s="77"/>
      <c r="F318" s="75"/>
      <c r="G318" s="99" t="s">
        <v>133</v>
      </c>
      <c r="H318" s="60" t="s">
        <v>16</v>
      </c>
      <c r="I318" s="200">
        <f ca="1">IFERROR(__xludf.DUMMYFUNCTION("IMPORTRANGE(""https://docs.google.com/spreadsheets/d/1C3CXT74ZlgGe6_JY_1olB1XN4rF0dxEuIIF-xsYjHgg/edit?usp=sharing"",""งบกองทุน!aj28"")"),40)</f>
        <v>40</v>
      </c>
      <c r="J318" s="68">
        <v>0</v>
      </c>
      <c r="K318" s="49">
        <f t="shared" ca="1" si="73"/>
        <v>0</v>
      </c>
      <c r="L318" s="61"/>
      <c r="M318" s="61"/>
      <c r="N318" s="61"/>
    </row>
    <row r="319" spans="1:14" ht="21.75" customHeight="1" x14ac:dyDescent="0.4">
      <c r="A319" s="55"/>
      <c r="B319" s="56"/>
      <c r="C319" s="56"/>
      <c r="D319" s="73"/>
      <c r="E319" s="77"/>
      <c r="F319" s="75"/>
      <c r="G319" s="99" t="s">
        <v>134</v>
      </c>
      <c r="H319" s="60" t="s">
        <v>16</v>
      </c>
      <c r="I319" s="200">
        <f ca="1">IFERROR(__xludf.DUMMYFUNCTION("IMPORTRANGE(""https://docs.google.com/spreadsheets/d/1C3CXT74ZlgGe6_JY_1olB1XN4rF0dxEuIIF-xsYjHgg/edit?usp=sharing"",""งบกองทุน!ak28"")"),40)</f>
        <v>40</v>
      </c>
      <c r="J319" s="68">
        <v>0</v>
      </c>
      <c r="K319" s="49">
        <f t="shared" ca="1" si="73"/>
        <v>0</v>
      </c>
      <c r="L319" s="61"/>
      <c r="M319" s="61"/>
      <c r="N319" s="61"/>
    </row>
    <row r="320" spans="1:14" ht="21.75" customHeight="1" x14ac:dyDescent="0.4">
      <c r="A320" s="55"/>
      <c r="B320" s="56"/>
      <c r="C320" s="56"/>
      <c r="D320" s="73"/>
      <c r="E320" s="77"/>
      <c r="F320" s="75"/>
      <c r="G320" s="99" t="s">
        <v>135</v>
      </c>
      <c r="H320" s="60" t="s">
        <v>16</v>
      </c>
      <c r="I320" s="200">
        <f ca="1">IFERROR(__xludf.DUMMYFUNCTION("IMPORTRANGE(""https://docs.google.com/spreadsheets/d/1C3CXT74ZlgGe6_JY_1olB1XN4rF0dxEuIIF-xsYjHgg/edit?usp=sharing"",""งบกองทุน!al28"")"),40)</f>
        <v>40</v>
      </c>
      <c r="J320" s="68">
        <v>0</v>
      </c>
      <c r="K320" s="49">
        <f t="shared" ca="1" si="73"/>
        <v>0</v>
      </c>
      <c r="L320" s="61"/>
      <c r="M320" s="61"/>
      <c r="N320" s="61"/>
    </row>
    <row r="321" spans="1:14" ht="21.75" customHeight="1" x14ac:dyDescent="0.4">
      <c r="A321" s="55"/>
      <c r="B321" s="56"/>
      <c r="C321" s="56"/>
      <c r="D321" s="73"/>
      <c r="E321" s="77"/>
      <c r="F321" s="242" t="s">
        <v>136</v>
      </c>
      <c r="G321" s="76"/>
      <c r="H321" s="78" t="s">
        <v>16</v>
      </c>
      <c r="I321" s="243">
        <f ca="1">IFERROR(__xludf.DUMMYFUNCTION("IMPORTRANGE(""https://docs.google.com/spreadsheets/d/1C3CXT74ZlgGe6_JY_1olB1XN4rF0dxEuIIF-xsYjHgg/edit?usp=sharing"",""งบกองทุน!an28"")"),10)</f>
        <v>10</v>
      </c>
      <c r="J321" s="79">
        <f ca="1">IF(AND(J323=I323,J324=I324),I323,0)</f>
        <v>0</v>
      </c>
      <c r="K321" s="80">
        <f t="shared" ca="1" si="73"/>
        <v>0</v>
      </c>
      <c r="L321" s="61"/>
      <c r="M321" s="61"/>
      <c r="N321" s="61"/>
    </row>
    <row r="322" spans="1:14" ht="21.75" customHeight="1" x14ac:dyDescent="0.4">
      <c r="A322" s="55"/>
      <c r="B322" s="56"/>
      <c r="C322" s="56"/>
      <c r="D322" s="73"/>
      <c r="E322" s="77"/>
      <c r="F322" s="75"/>
      <c r="G322" s="76"/>
      <c r="H322" s="78" t="s">
        <v>103</v>
      </c>
      <c r="I322" s="243">
        <f ca="1">IFERROR(__xludf.DUMMYFUNCTION("IMPORTRANGE(""https://docs.google.com/spreadsheets/d/1C3CXT74ZlgGe6_JY_1olB1XN4rF0dxEuIIF-xsYjHgg/edit?usp=sharing"",""งบกองทุน!am28"")"),30)</f>
        <v>30</v>
      </c>
      <c r="J322" s="154">
        <v>0</v>
      </c>
      <c r="K322" s="80">
        <f t="shared" ca="1" si="73"/>
        <v>0</v>
      </c>
      <c r="L322" s="61"/>
      <c r="M322" s="61"/>
      <c r="N322" s="61"/>
    </row>
    <row r="323" spans="1:14" ht="21.75" customHeight="1" x14ac:dyDescent="0.4">
      <c r="A323" s="55"/>
      <c r="B323" s="56"/>
      <c r="C323" s="56"/>
      <c r="D323" s="73"/>
      <c r="E323" s="77"/>
      <c r="F323" s="75"/>
      <c r="G323" s="99" t="s">
        <v>137</v>
      </c>
      <c r="H323" s="60" t="s">
        <v>16</v>
      </c>
      <c r="I323" s="248">
        <f ca="1">IFERROR(__xludf.DUMMYFUNCTION("IMPORTRANGE(""https://docs.google.com/spreadsheets/d/1C3CXT74ZlgGe6_JY_1olB1XN4rF0dxEuIIF-xsYjHgg/edit?usp=sharing"",""งบกองทุน!ao28"")"),10)</f>
        <v>10</v>
      </c>
      <c r="J323" s="68">
        <v>0</v>
      </c>
      <c r="K323" s="49">
        <f t="shared" ca="1" si="73"/>
        <v>0</v>
      </c>
      <c r="L323" s="61"/>
      <c r="M323" s="61"/>
      <c r="N323" s="61"/>
    </row>
    <row r="324" spans="1:14" ht="21.75" customHeight="1" x14ac:dyDescent="0.4">
      <c r="A324" s="55"/>
      <c r="B324" s="56"/>
      <c r="C324" s="56"/>
      <c r="D324" s="73"/>
      <c r="E324" s="77"/>
      <c r="F324" s="75"/>
      <c r="G324" s="99" t="s">
        <v>138</v>
      </c>
      <c r="H324" s="60" t="s">
        <v>16</v>
      </c>
      <c r="I324" s="248">
        <f ca="1">IFERROR(__xludf.DUMMYFUNCTION("IMPORTRANGE(""https://docs.google.com/spreadsheets/d/1C3CXT74ZlgGe6_JY_1olB1XN4rF0dxEuIIF-xsYjHgg/edit?usp=sharing"",""งบกองทุน!ap28"")"),10)</f>
        <v>10</v>
      </c>
      <c r="J324" s="68">
        <v>0</v>
      </c>
      <c r="K324" s="49">
        <f t="shared" ca="1" si="73"/>
        <v>0</v>
      </c>
      <c r="L324" s="61"/>
      <c r="M324" s="61"/>
      <c r="N324" s="61"/>
    </row>
    <row r="325" spans="1:14" ht="21.75" customHeight="1" x14ac:dyDescent="0.4">
      <c r="A325" s="55"/>
      <c r="B325" s="56"/>
      <c r="C325" s="56"/>
      <c r="D325" s="73"/>
      <c r="E325" s="77"/>
      <c r="F325" s="74" t="s">
        <v>34</v>
      </c>
      <c r="G325" s="240"/>
      <c r="H325" s="241" t="s">
        <v>16</v>
      </c>
      <c r="I325" s="79">
        <f ca="1">SUM(I326,I327)</f>
        <v>65</v>
      </c>
      <c r="J325" s="79">
        <f ca="1">IF(AND(J326=I326,J327=I327),I325,0)</f>
        <v>0</v>
      </c>
      <c r="K325" s="80">
        <f t="shared" ca="1" si="73"/>
        <v>0</v>
      </c>
      <c r="L325" s="61"/>
      <c r="M325" s="61"/>
      <c r="N325" s="61"/>
    </row>
    <row r="326" spans="1:14" ht="21.75" customHeight="1" x14ac:dyDescent="0.4">
      <c r="A326" s="249"/>
      <c r="B326" s="250"/>
      <c r="C326" s="250"/>
      <c r="D326" s="251"/>
      <c r="E326" s="77"/>
      <c r="F326" s="75"/>
      <c r="G326" s="99" t="s">
        <v>139</v>
      </c>
      <c r="H326" s="60" t="s">
        <v>16</v>
      </c>
      <c r="I326" s="248">
        <f ca="1">IFERROR(__xludf.DUMMYFUNCTION("IMPORTRANGE(""https://docs.google.com/spreadsheets/d/1C3CXT74ZlgGe6_JY_1olB1XN4rF0dxEuIIF-xsYjHgg/edit?usp=sharing"",""งบกองทุน!ar28"")"),25)</f>
        <v>25</v>
      </c>
      <c r="J326" s="68">
        <v>0</v>
      </c>
      <c r="K326" s="49">
        <f t="shared" ca="1" si="73"/>
        <v>0</v>
      </c>
      <c r="L326" s="61"/>
      <c r="M326" s="61"/>
      <c r="N326" s="61"/>
    </row>
    <row r="327" spans="1:14" ht="21.75" customHeight="1" x14ac:dyDescent="0.4">
      <c r="A327" s="249"/>
      <c r="B327" s="250"/>
      <c r="C327" s="250"/>
      <c r="D327" s="251"/>
      <c r="E327" s="77"/>
      <c r="F327" s="75"/>
      <c r="G327" s="99" t="s">
        <v>140</v>
      </c>
      <c r="H327" s="60" t="s">
        <v>16</v>
      </c>
      <c r="I327" s="248">
        <f ca="1">IFERROR(__xludf.DUMMYFUNCTION("IMPORTRANGE(""https://docs.google.com/spreadsheets/d/1C3CXT74ZlgGe6_JY_1olB1XN4rF0dxEuIIF-xsYjHgg/edit?usp=sharing"",""งบกองทุน!as28"")"),40)</f>
        <v>40</v>
      </c>
      <c r="J327" s="68">
        <v>0</v>
      </c>
      <c r="K327" s="49">
        <f t="shared" ca="1" si="73"/>
        <v>0</v>
      </c>
      <c r="L327" s="61"/>
      <c r="M327" s="61"/>
      <c r="N327" s="61"/>
    </row>
    <row r="328" spans="1:14" ht="21.75" customHeight="1" x14ac:dyDescent="0.4">
      <c r="A328" s="55"/>
      <c r="B328" s="56"/>
      <c r="C328" s="56"/>
      <c r="D328" s="73"/>
      <c r="E328" s="74" t="s">
        <v>35</v>
      </c>
      <c r="F328" s="75"/>
      <c r="G328" s="76"/>
      <c r="H328" s="66"/>
      <c r="I328" s="67"/>
      <c r="J328" s="68">
        <v>0</v>
      </c>
      <c r="K328" s="49"/>
      <c r="L328" s="61"/>
      <c r="M328" s="61"/>
      <c r="N328" s="61"/>
    </row>
    <row r="329" spans="1:14" ht="21.75" customHeight="1" x14ac:dyDescent="0.4">
      <c r="A329" s="55"/>
      <c r="B329" s="56"/>
      <c r="C329" s="56"/>
      <c r="D329" s="81">
        <v>3</v>
      </c>
      <c r="E329" s="82" t="s">
        <v>36</v>
      </c>
      <c r="F329" s="83"/>
      <c r="G329" s="84"/>
      <c r="H329" s="66"/>
      <c r="I329" s="67"/>
      <c r="J329" s="85">
        <v>0</v>
      </c>
      <c r="K329" s="49"/>
      <c r="L329" s="61"/>
      <c r="M329" s="61"/>
      <c r="N329" s="61"/>
    </row>
    <row r="330" spans="1:14" ht="21.75" customHeight="1" x14ac:dyDescent="0.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20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95000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4">
      <c r="A331" s="42"/>
      <c r="B331" s="43"/>
      <c r="C331" s="43" t="s">
        <v>17</v>
      </c>
      <c r="D331" s="44" t="s">
        <v>18</v>
      </c>
      <c r="E331" s="45"/>
      <c r="F331" s="45"/>
      <c r="G331" s="46" t="s">
        <v>19</v>
      </c>
      <c r="H331" s="47" t="s">
        <v>20</v>
      </c>
      <c r="I331" s="48" t="s">
        <v>21</v>
      </c>
      <c r="J331" s="48"/>
      <c r="K331" s="49"/>
      <c r="L331" s="50">
        <v>0</v>
      </c>
      <c r="M331" s="53">
        <v>0</v>
      </c>
      <c r="N331" s="53">
        <f t="shared" si="75"/>
        <v>0</v>
      </c>
    </row>
    <row r="332" spans="1:14" ht="21.75" customHeight="1" x14ac:dyDescent="0.4">
      <c r="A332" s="42"/>
      <c r="B332" s="43"/>
      <c r="C332" s="43"/>
      <c r="D332" s="51"/>
      <c r="E332" s="45"/>
      <c r="F332" s="45" t="s">
        <v>21</v>
      </c>
      <c r="G332" s="46" t="s">
        <v>22</v>
      </c>
      <c r="H332" s="47" t="s">
        <v>20</v>
      </c>
      <c r="I332" s="48"/>
      <c r="J332" s="48"/>
      <c r="K332" s="49"/>
      <c r="L332" s="50">
        <f t="shared" ref="L332:M332" ca="1" si="76">SUM(L333:L334)</f>
        <v>95000</v>
      </c>
      <c r="M332" s="53">
        <f t="shared" si="76"/>
        <v>0</v>
      </c>
      <c r="N332" s="53">
        <f t="shared" ca="1" si="75"/>
        <v>0</v>
      </c>
    </row>
    <row r="333" spans="1:14" ht="21.75" customHeight="1" x14ac:dyDescent="0.4">
      <c r="A333" s="42"/>
      <c r="B333" s="43"/>
      <c r="C333" s="43"/>
      <c r="D333" s="51"/>
      <c r="E333" s="45"/>
      <c r="F333" s="45"/>
      <c r="G333" s="52" t="s">
        <v>110</v>
      </c>
      <c r="H333" s="47" t="s">
        <v>20</v>
      </c>
      <c r="I333" s="48"/>
      <c r="J333" s="48"/>
      <c r="K333" s="49"/>
      <c r="L333" s="53">
        <f ca="1">IFERROR(__xludf.DUMMYFUNCTION("IMPORTRANGE(""https://docs.google.com/spreadsheets/d/1C3CXT74ZlgGe6_JY_1olB1XN4rF0dxEuIIF-xsYjHgg/edit?usp=sharing"",""งบกองทุน!au28"")"),0)</f>
        <v>0</v>
      </c>
      <c r="M333" s="53">
        <v>0</v>
      </c>
      <c r="N333" s="53">
        <f t="shared" ca="1" si="75"/>
        <v>0</v>
      </c>
    </row>
    <row r="334" spans="1:14" ht="21.75" customHeight="1" x14ac:dyDescent="0.4">
      <c r="A334" s="42"/>
      <c r="B334" s="43"/>
      <c r="C334" s="43"/>
      <c r="D334" s="51"/>
      <c r="E334" s="45"/>
      <c r="F334" s="45"/>
      <c r="G334" s="52" t="s">
        <v>111</v>
      </c>
      <c r="H334" s="47" t="s">
        <v>20</v>
      </c>
      <c r="I334" s="48"/>
      <c r="J334" s="48"/>
      <c r="K334" s="49"/>
      <c r="L334" s="53">
        <f ca="1">IFERROR(__xludf.DUMMYFUNCTION("IMPORTRANGE(""https://docs.google.com/spreadsheets/d/1C3CXT74ZlgGe6_JY_1olB1XN4rF0dxEuIIF-xsYjHgg/edit?usp=sharing"",""งบกองทุน!av28"")"),95000)</f>
        <v>95000</v>
      </c>
      <c r="M334" s="53">
        <f>SUM(M335:M338)</f>
        <v>0</v>
      </c>
      <c r="N334" s="53">
        <f t="shared" ca="1" si="75"/>
        <v>0</v>
      </c>
    </row>
    <row r="335" spans="1:14" ht="21.75" customHeight="1" x14ac:dyDescent="0.4">
      <c r="A335" s="230"/>
      <c r="B335" s="231"/>
      <c r="C335" s="43"/>
      <c r="D335" s="232"/>
      <c r="E335" s="45"/>
      <c r="F335" s="45"/>
      <c r="G335" s="46" t="s">
        <v>112</v>
      </c>
      <c r="H335" s="47" t="s">
        <v>20</v>
      </c>
      <c r="I335" s="67"/>
      <c r="J335" s="67"/>
      <c r="K335" s="233"/>
      <c r="L335" s="53"/>
      <c r="M335" s="54">
        <v>0</v>
      </c>
      <c r="N335" s="53"/>
    </row>
    <row r="336" spans="1:14" ht="21.75" customHeight="1" x14ac:dyDescent="0.4">
      <c r="A336" s="230"/>
      <c r="B336" s="231"/>
      <c r="C336" s="43"/>
      <c r="D336" s="232"/>
      <c r="E336" s="45"/>
      <c r="F336" s="45"/>
      <c r="G336" s="46" t="s">
        <v>113</v>
      </c>
      <c r="H336" s="47" t="s">
        <v>20</v>
      </c>
      <c r="I336" s="67"/>
      <c r="J336" s="67"/>
      <c r="K336" s="233"/>
      <c r="L336" s="53"/>
      <c r="M336" s="54">
        <v>0</v>
      </c>
      <c r="N336" s="53"/>
    </row>
    <row r="337" spans="1:14" ht="21.75" customHeight="1" x14ac:dyDescent="0.4">
      <c r="A337" s="230"/>
      <c r="B337" s="231"/>
      <c r="C337" s="43"/>
      <c r="D337" s="232"/>
      <c r="E337" s="45"/>
      <c r="F337" s="45"/>
      <c r="G337" s="46" t="s">
        <v>114</v>
      </c>
      <c r="H337" s="47" t="s">
        <v>20</v>
      </c>
      <c r="I337" s="67"/>
      <c r="J337" s="67"/>
      <c r="K337" s="233"/>
      <c r="L337" s="53"/>
      <c r="M337" s="54">
        <v>0</v>
      </c>
      <c r="N337" s="53"/>
    </row>
    <row r="338" spans="1:14" ht="21.75" customHeight="1" x14ac:dyDescent="0.4">
      <c r="A338" s="230"/>
      <c r="B338" s="231"/>
      <c r="C338" s="43"/>
      <c r="D338" s="232"/>
      <c r="E338" s="45"/>
      <c r="F338" s="45"/>
      <c r="G338" s="46" t="s">
        <v>115</v>
      </c>
      <c r="H338" s="47" t="s">
        <v>20</v>
      </c>
      <c r="I338" s="67"/>
      <c r="J338" s="67"/>
      <c r="K338" s="233"/>
      <c r="L338" s="53"/>
      <c r="M338" s="54">
        <v>0</v>
      </c>
      <c r="N338" s="53"/>
    </row>
    <row r="339" spans="1:14" ht="21.75" customHeight="1" x14ac:dyDescent="0.4">
      <c r="A339" s="55"/>
      <c r="B339" s="56"/>
      <c r="C339" s="43" t="s">
        <v>17</v>
      </c>
      <c r="D339" s="57" t="s">
        <v>25</v>
      </c>
      <c r="E339" s="58"/>
      <c r="F339" s="58"/>
      <c r="G339" s="59"/>
      <c r="H339" s="60"/>
      <c r="I339" s="48"/>
      <c r="J339" s="48"/>
      <c r="K339" s="49"/>
      <c r="L339" s="61"/>
      <c r="M339" s="61"/>
      <c r="N339" s="61"/>
    </row>
    <row r="340" spans="1:14" ht="21.75" customHeight="1" x14ac:dyDescent="0.4">
      <c r="A340" s="55"/>
      <c r="B340" s="56"/>
      <c r="C340" s="56"/>
      <c r="D340" s="62">
        <v>1</v>
      </c>
      <c r="E340" s="63" t="s">
        <v>26</v>
      </c>
      <c r="F340" s="64"/>
      <c r="G340" s="65"/>
      <c r="H340" s="66"/>
      <c r="I340" s="67"/>
      <c r="J340" s="85">
        <v>0</v>
      </c>
      <c r="K340" s="49"/>
      <c r="L340" s="61"/>
      <c r="M340" s="61"/>
      <c r="N340" s="61"/>
    </row>
    <row r="341" spans="1:14" ht="21.75" customHeight="1" x14ac:dyDescent="0.4">
      <c r="A341" s="55"/>
      <c r="B341" s="56"/>
      <c r="C341" s="56"/>
      <c r="D341" s="69">
        <v>2</v>
      </c>
      <c r="E341" s="70" t="s">
        <v>27</v>
      </c>
      <c r="F341" s="71"/>
      <c r="G341" s="72"/>
      <c r="H341" s="66"/>
      <c r="I341" s="67"/>
      <c r="J341" s="85">
        <v>1</v>
      </c>
      <c r="K341" s="49"/>
      <c r="L341" s="61" t="s">
        <v>21</v>
      </c>
      <c r="M341" s="61" t="s">
        <v>21</v>
      </c>
      <c r="N341" s="61"/>
    </row>
    <row r="342" spans="1:14" ht="21.75" customHeight="1" x14ac:dyDescent="0.4">
      <c r="A342" s="55"/>
      <c r="B342" s="56"/>
      <c r="C342" s="56"/>
      <c r="D342" s="73"/>
      <c r="E342" s="74" t="s">
        <v>142</v>
      </c>
      <c r="F342" s="75"/>
      <c r="G342" s="76"/>
      <c r="H342" s="66"/>
      <c r="I342" s="67"/>
      <c r="J342" s="68">
        <v>1</v>
      </c>
      <c r="K342" s="49"/>
      <c r="L342" s="61"/>
      <c r="M342" s="61"/>
      <c r="N342" s="61"/>
    </row>
    <row r="343" spans="1:14" ht="21.75" customHeight="1" x14ac:dyDescent="0.4">
      <c r="A343" s="55"/>
      <c r="B343" s="56"/>
      <c r="C343" s="56"/>
      <c r="D343" s="73"/>
      <c r="E343" s="74" t="s">
        <v>29</v>
      </c>
      <c r="F343" s="75"/>
      <c r="G343" s="76"/>
      <c r="H343" s="66"/>
      <c r="I343" s="67"/>
      <c r="J343" s="68">
        <v>1</v>
      </c>
      <c r="K343" s="49"/>
      <c r="L343" s="61"/>
      <c r="M343" s="61"/>
      <c r="N343" s="61"/>
    </row>
    <row r="344" spans="1:14" ht="21.75" customHeight="1" x14ac:dyDescent="0.4">
      <c r="A344" s="55"/>
      <c r="B344" s="56"/>
      <c r="C344" s="56"/>
      <c r="D344" s="73"/>
      <c r="E344" s="77"/>
      <c r="F344" s="260" t="s">
        <v>82</v>
      </c>
      <c r="G344" s="76"/>
      <c r="H344" s="66" t="s">
        <v>16</v>
      </c>
      <c r="I344" s="243">
        <f t="shared" ref="I344:J344" ca="1" si="77">+I345+I346+I347</f>
        <v>20</v>
      </c>
      <c r="J344" s="79">
        <f t="shared" si="77"/>
        <v>0</v>
      </c>
      <c r="K344" s="49">
        <f t="shared" ref="K344:K347" ca="1" si="78">IF(I344&gt;0,J344*100/I344,0)</f>
        <v>0</v>
      </c>
      <c r="L344" s="61"/>
      <c r="M344" s="61"/>
      <c r="N344" s="61"/>
    </row>
    <row r="345" spans="1:14" ht="21.75" customHeight="1" x14ac:dyDescent="0.4">
      <c r="A345" s="55"/>
      <c r="B345" s="56"/>
      <c r="C345" s="56"/>
      <c r="D345" s="73"/>
      <c r="E345" s="77"/>
      <c r="F345" s="75"/>
      <c r="G345" s="99" t="s">
        <v>143</v>
      </c>
      <c r="H345" s="66" t="s">
        <v>16</v>
      </c>
      <c r="I345" s="200">
        <f ca="1">IFERROR(__xludf.DUMMYFUNCTION("IMPORTRANGE(""https://docs.google.com/spreadsheets/d/1C3CXT74ZlgGe6_JY_1olB1XN4rF0dxEuIIF-xsYjHgg/edit?usp=sharing"",""งบกองทุน!ay28"")"),20)</f>
        <v>20</v>
      </c>
      <c r="J345" s="68">
        <v>0</v>
      </c>
      <c r="K345" s="49">
        <f t="shared" ca="1" si="78"/>
        <v>0</v>
      </c>
      <c r="L345" s="61"/>
      <c r="M345" s="61"/>
      <c r="N345" s="61"/>
    </row>
    <row r="346" spans="1:14" ht="21.75" customHeight="1" x14ac:dyDescent="0.4">
      <c r="A346" s="55"/>
      <c r="B346" s="56"/>
      <c r="C346" s="56"/>
      <c r="D346" s="73"/>
      <c r="E346" s="77"/>
      <c r="F346" s="75"/>
      <c r="G346" s="76" t="s">
        <v>229</v>
      </c>
      <c r="H346" s="66" t="s">
        <v>16</v>
      </c>
      <c r="I346" s="200">
        <f ca="1">IFERROR(__xludf.DUMMYFUNCTION("IMPORTRANGE(""https://docs.google.com/spreadsheets/d/1C3CXT74ZlgGe6_JY_1olB1XN4rF0dxEuIIF-xsYjHgg/edit?usp=sharing"",""งบกองทุน!az28"")"),0)</f>
        <v>0</v>
      </c>
      <c r="J346" s="67">
        <v>0</v>
      </c>
      <c r="K346" s="49">
        <f t="shared" ca="1" si="78"/>
        <v>0</v>
      </c>
      <c r="L346" s="61"/>
      <c r="M346" s="61"/>
      <c r="N346" s="61"/>
    </row>
    <row r="347" spans="1:14" ht="21.75" customHeight="1" x14ac:dyDescent="0.4">
      <c r="A347" s="55"/>
      <c r="B347" s="56"/>
      <c r="C347" s="56"/>
      <c r="D347" s="73"/>
      <c r="E347" s="77"/>
      <c r="F347" s="75"/>
      <c r="G347" s="76" t="s">
        <v>145</v>
      </c>
      <c r="H347" s="66" t="s">
        <v>16</v>
      </c>
      <c r="I347" s="67">
        <f ca="1">IFERROR(__xludf.DUMMYFUNCTION("IMPORTRANGE(""https://docs.google.com/spreadsheets/d/1C3CXT74ZlgGe6_JY_1olB1XN4rF0dxEuIIF-xsYjHgg/edit?usp=sharing"",""งบกองทุน!Ba28"")"),0)</f>
        <v>0</v>
      </c>
      <c r="J347" s="67">
        <v>0</v>
      </c>
      <c r="K347" s="49">
        <f t="shared" ca="1" si="78"/>
        <v>0</v>
      </c>
      <c r="L347" s="61"/>
      <c r="M347" s="61"/>
      <c r="N347" s="61"/>
    </row>
    <row r="348" spans="1:14" ht="21.75" customHeight="1" x14ac:dyDescent="0.4">
      <c r="A348" s="55"/>
      <c r="B348" s="56"/>
      <c r="C348" s="56"/>
      <c r="D348" s="73"/>
      <c r="E348" s="74" t="s">
        <v>35</v>
      </c>
      <c r="F348" s="75"/>
      <c r="G348" s="76"/>
      <c r="H348" s="66"/>
      <c r="I348" s="67"/>
      <c r="J348" s="68">
        <v>0</v>
      </c>
      <c r="K348" s="49"/>
      <c r="L348" s="61"/>
      <c r="M348" s="61"/>
      <c r="N348" s="61"/>
    </row>
    <row r="349" spans="1:14" ht="21.75" customHeight="1" x14ac:dyDescent="0.4">
      <c r="A349" s="55"/>
      <c r="B349" s="56"/>
      <c r="C349" s="56"/>
      <c r="D349" s="81">
        <v>3</v>
      </c>
      <c r="E349" s="82" t="s">
        <v>36</v>
      </c>
      <c r="F349" s="83"/>
      <c r="G349" s="84"/>
      <c r="H349" s="66"/>
      <c r="I349" s="67"/>
      <c r="J349" s="85">
        <v>0</v>
      </c>
      <c r="K349" s="49"/>
      <c r="L349" s="61"/>
      <c r="M349" s="61"/>
      <c r="N349" s="61"/>
    </row>
    <row r="350" spans="1:14" ht="21.75" customHeight="1" x14ac:dyDescent="0.4">
      <c r="A350" s="222"/>
      <c r="B350" s="223">
        <v>5</v>
      </c>
      <c r="C350" s="224" t="s">
        <v>146</v>
      </c>
      <c r="D350" s="224"/>
      <c r="E350" s="224"/>
      <c r="F350" s="224"/>
      <c r="G350" s="225"/>
      <c r="H350" s="226" t="s">
        <v>103</v>
      </c>
      <c r="I350" s="227">
        <f ca="1">I359</f>
        <v>60571</v>
      </c>
      <c r="J350" s="227">
        <f>+J359</f>
        <v>0</v>
      </c>
      <c r="K350" s="228">
        <f ca="1">IF(I350&gt;0,J350*100/I350,0)</f>
        <v>0</v>
      </c>
      <c r="L350" s="229">
        <f t="shared" ref="L350:M350" ca="1" si="79">SUM(L351:L352)</f>
        <v>513545</v>
      </c>
      <c r="M350" s="229">
        <f t="shared" si="79"/>
        <v>32180.09</v>
      </c>
      <c r="N350" s="229">
        <f t="shared" ref="N350:N354" ca="1" si="80">+IF(L350&gt;0,M350*100/L350,0)</f>
        <v>6.2662648842847268</v>
      </c>
    </row>
    <row r="351" spans="1:14" ht="21.75" customHeight="1" x14ac:dyDescent="0.4">
      <c r="A351" s="42"/>
      <c r="B351" s="43"/>
      <c r="C351" s="43" t="s">
        <v>17</v>
      </c>
      <c r="D351" s="44" t="s">
        <v>18</v>
      </c>
      <c r="E351" s="45"/>
      <c r="F351" s="45"/>
      <c r="G351" s="46" t="s">
        <v>19</v>
      </c>
      <c r="H351" s="47" t="s">
        <v>20</v>
      </c>
      <c r="I351" s="48" t="s">
        <v>21</v>
      </c>
      <c r="J351" s="48"/>
      <c r="K351" s="49"/>
      <c r="L351" s="50">
        <v>0</v>
      </c>
      <c r="M351" s="53">
        <v>0</v>
      </c>
      <c r="N351" s="53">
        <f t="shared" si="80"/>
        <v>0</v>
      </c>
    </row>
    <row r="352" spans="1:14" ht="21.75" customHeight="1" x14ac:dyDescent="0.4">
      <c r="A352" s="42"/>
      <c r="B352" s="43"/>
      <c r="C352" s="43"/>
      <c r="D352" s="51"/>
      <c r="E352" s="45"/>
      <c r="F352" s="45" t="s">
        <v>21</v>
      </c>
      <c r="G352" s="46" t="s">
        <v>22</v>
      </c>
      <c r="H352" s="47" t="s">
        <v>20</v>
      </c>
      <c r="I352" s="48"/>
      <c r="J352" s="48"/>
      <c r="K352" s="49"/>
      <c r="L352" s="50">
        <f t="shared" ref="L352:M352" ca="1" si="81">SUM(L353:L354)</f>
        <v>513545</v>
      </c>
      <c r="M352" s="53">
        <f t="shared" si="81"/>
        <v>32180.09</v>
      </c>
      <c r="N352" s="53">
        <f t="shared" ca="1" si="80"/>
        <v>6.2662648842847268</v>
      </c>
    </row>
    <row r="353" spans="1:14" ht="21.75" customHeight="1" x14ac:dyDescent="0.4">
      <c r="A353" s="42"/>
      <c r="B353" s="43"/>
      <c r="C353" s="43"/>
      <c r="D353" s="51"/>
      <c r="E353" s="45"/>
      <c r="F353" s="45"/>
      <c r="G353" s="52" t="s">
        <v>110</v>
      </c>
      <c r="H353" s="47" t="s">
        <v>20</v>
      </c>
      <c r="I353" s="48"/>
      <c r="J353" s="48"/>
      <c r="K353" s="49"/>
      <c r="L353" s="53">
        <f ca="1">IFERROR(__xludf.DUMMYFUNCTION("IMPORTRANGE(""https://docs.google.com/spreadsheets/d/1C3CXT74ZlgGe6_JY_1olB1XN4rF0dxEuIIF-xsYjHgg/edit?usp=sharing"",""งบกองทุน!Bc28"")"),0)</f>
        <v>0</v>
      </c>
      <c r="M353" s="53">
        <v>0</v>
      </c>
      <c r="N353" s="53">
        <f t="shared" ca="1" si="80"/>
        <v>0</v>
      </c>
    </row>
    <row r="354" spans="1:14" ht="21.75" customHeight="1" x14ac:dyDescent="0.4">
      <c r="A354" s="42"/>
      <c r="B354" s="43"/>
      <c r="C354" s="43"/>
      <c r="D354" s="51"/>
      <c r="E354" s="45"/>
      <c r="F354" s="45"/>
      <c r="G354" s="52" t="s">
        <v>111</v>
      </c>
      <c r="H354" s="47" t="s">
        <v>20</v>
      </c>
      <c r="I354" s="48"/>
      <c r="J354" s="48"/>
      <c r="K354" s="49"/>
      <c r="L354" s="53">
        <f ca="1">IFERROR(__xludf.DUMMYFUNCTION("IMPORTRANGE(""https://docs.google.com/spreadsheets/d/1C3CXT74ZlgGe6_JY_1olB1XN4rF0dxEuIIF-xsYjHgg/edit?usp=sharing"",""งบกองทุน!Bd28"")"),513545)</f>
        <v>513545</v>
      </c>
      <c r="M354" s="53">
        <f>SUM(M355:M358)</f>
        <v>32180.09</v>
      </c>
      <c r="N354" s="53">
        <f t="shared" ca="1" si="80"/>
        <v>6.2662648842847268</v>
      </c>
    </row>
    <row r="355" spans="1:14" ht="21.75" customHeight="1" x14ac:dyDescent="0.4">
      <c r="A355" s="230"/>
      <c r="B355" s="231"/>
      <c r="C355" s="43"/>
      <c r="D355" s="232"/>
      <c r="E355" s="45"/>
      <c r="F355" s="45"/>
      <c r="G355" s="46" t="s">
        <v>112</v>
      </c>
      <c r="H355" s="47" t="s">
        <v>20</v>
      </c>
      <c r="I355" s="67"/>
      <c r="J355" s="67"/>
      <c r="K355" s="233"/>
      <c r="L355" s="53"/>
      <c r="M355" s="53">
        <v>0</v>
      </c>
      <c r="N355" s="53"/>
    </row>
    <row r="356" spans="1:14" ht="21.75" customHeight="1" x14ac:dyDescent="0.4">
      <c r="A356" s="230"/>
      <c r="B356" s="231"/>
      <c r="C356" s="43"/>
      <c r="D356" s="232"/>
      <c r="E356" s="45"/>
      <c r="F356" s="45"/>
      <c r="G356" s="46" t="s">
        <v>113</v>
      </c>
      <c r="H356" s="47" t="s">
        <v>20</v>
      </c>
      <c r="I356" s="67"/>
      <c r="J356" s="67"/>
      <c r="K356" s="233"/>
      <c r="L356" s="53"/>
      <c r="M356" s="53">
        <v>0</v>
      </c>
      <c r="N356" s="53"/>
    </row>
    <row r="357" spans="1:14" ht="21.75" customHeight="1" x14ac:dyDescent="0.4">
      <c r="A357" s="230"/>
      <c r="B357" s="231"/>
      <c r="C357" s="43"/>
      <c r="D357" s="232"/>
      <c r="E357" s="45"/>
      <c r="F357" s="45"/>
      <c r="G357" s="46" t="s">
        <v>114</v>
      </c>
      <c r="H357" s="47" t="s">
        <v>20</v>
      </c>
      <c r="I357" s="67"/>
      <c r="J357" s="67"/>
      <c r="K357" s="233"/>
      <c r="L357" s="53"/>
      <c r="M357" s="54">
        <v>9900.09</v>
      </c>
      <c r="N357" s="53"/>
    </row>
    <row r="358" spans="1:14" ht="21.75" customHeight="1" x14ac:dyDescent="0.4">
      <c r="A358" s="230"/>
      <c r="B358" s="231"/>
      <c r="C358" s="43"/>
      <c r="D358" s="232"/>
      <c r="E358" s="45"/>
      <c r="F358" s="45"/>
      <c r="G358" s="46" t="s">
        <v>115</v>
      </c>
      <c r="H358" s="47" t="s">
        <v>20</v>
      </c>
      <c r="I358" s="67"/>
      <c r="J358" s="67"/>
      <c r="K358" s="233"/>
      <c r="L358" s="53"/>
      <c r="M358" s="54">
        <v>22280</v>
      </c>
      <c r="N358" s="53"/>
    </row>
    <row r="359" spans="1:14" ht="21.75" customHeight="1" x14ac:dyDescent="0.4">
      <c r="A359" s="55"/>
      <c r="B359" s="56"/>
      <c r="C359" s="261" t="s">
        <v>147</v>
      </c>
      <c r="D359" s="261"/>
      <c r="E359" s="262"/>
      <c r="F359" s="262"/>
      <c r="G359" s="263"/>
      <c r="H359" s="136" t="s">
        <v>103</v>
      </c>
      <c r="I359" s="137">
        <f ca="1">IFERROR(__xludf.DUMMYFUNCTION("IMPORTRANGE(""https://docs.google.com/spreadsheets/d/1C3CXT74ZlgGe6_JY_1olB1XN4rF0dxEuIIF-xsYjHgg/edit?usp=sharing"",""งบกองทุน!BE28"")"),60571)</f>
        <v>60571</v>
      </c>
      <c r="J359" s="137">
        <f>+J376</f>
        <v>0</v>
      </c>
      <c r="K359" s="138">
        <f t="shared" ref="K359:K425" ca="1" si="82">IF(I359&gt;0,J359*100/I359,0)</f>
        <v>0</v>
      </c>
      <c r="L359" s="140"/>
      <c r="M359" s="140"/>
      <c r="N359" s="140"/>
    </row>
    <row r="360" spans="1:14" ht="21.75" customHeight="1" x14ac:dyDescent="0.4">
      <c r="A360" s="249"/>
      <c r="B360" s="250"/>
      <c r="C360" s="250"/>
      <c r="D360" s="251"/>
      <c r="E360" s="73" t="s">
        <v>148</v>
      </c>
      <c r="F360" s="75"/>
      <c r="G360" s="76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IFERROR(__xludf.DUMMYFUNCTION("IMPORTRANGE(""https://docs.google.com/spreadsheets/d/1C3CXT74ZlgGe6_JY_1olB1XN4rF0dxEuIIF-xsYjHgg/edit?usp=sharing"",""งบกองทุน!BE28"")"),60571)</f>
        <v>60571</v>
      </c>
      <c r="J360" s="265">
        <f t="shared" ref="J360:J361" si="83">+J362+J364+J366</f>
        <v>0</v>
      </c>
      <c r="K360" s="80">
        <f t="shared" ca="1" si="82"/>
        <v>0</v>
      </c>
      <c r="L360" s="61"/>
      <c r="M360" s="61"/>
      <c r="N360" s="61"/>
    </row>
    <row r="361" spans="1:14" ht="21.75" customHeight="1" x14ac:dyDescent="0.4">
      <c r="A361" s="249"/>
      <c r="B361" s="250"/>
      <c r="C361" s="250"/>
      <c r="D361" s="251"/>
      <c r="E361" s="75"/>
      <c r="F361" s="75"/>
      <c r="G361" s="76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IFERROR(__xludf.DUMMYFUNCTION("IMPORTRANGE(""https://docs.google.com/spreadsheets/d/1C3CXT74ZlgGe6_JY_1olB1XN4rF0dxEuIIF-xsYjHgg/edit?usp=sharing"",""งบกองทุน!Bf28"")"),5640)</f>
        <v>5640</v>
      </c>
      <c r="J361" s="265">
        <f t="shared" si="83"/>
        <v>0</v>
      </c>
      <c r="K361" s="80">
        <f t="shared" ca="1" si="82"/>
        <v>0</v>
      </c>
      <c r="L361" s="61"/>
      <c r="M361" s="61"/>
      <c r="N361" s="61"/>
    </row>
    <row r="362" spans="1:14" ht="21.75" customHeight="1" x14ac:dyDescent="0.4">
      <c r="A362" s="249"/>
      <c r="B362" s="250"/>
      <c r="C362" s="250"/>
      <c r="D362" s="251"/>
      <c r="E362" s="75"/>
      <c r="F362" s="242" t="s">
        <v>149</v>
      </c>
      <c r="G362" s="266"/>
      <c r="H362" s="267" t="s">
        <v>103</v>
      </c>
      <c r="I362" s="48">
        <v>0</v>
      </c>
      <c r="J362" s="68">
        <v>0</v>
      </c>
      <c r="K362" s="49">
        <f t="shared" si="82"/>
        <v>0</v>
      </c>
      <c r="L362" s="61"/>
      <c r="M362" s="61"/>
      <c r="N362" s="61"/>
    </row>
    <row r="363" spans="1:14" ht="21.75" customHeight="1" x14ac:dyDescent="0.4">
      <c r="A363" s="249"/>
      <c r="B363" s="250"/>
      <c r="C363" s="250"/>
      <c r="D363" s="251"/>
      <c r="E363" s="75"/>
      <c r="F363" s="75"/>
      <c r="G363" s="266"/>
      <c r="H363" s="267" t="s">
        <v>15</v>
      </c>
      <c r="I363" s="48">
        <v>0</v>
      </c>
      <c r="J363" s="68">
        <v>0</v>
      </c>
      <c r="K363" s="49">
        <f t="shared" si="82"/>
        <v>0</v>
      </c>
      <c r="L363" s="61"/>
      <c r="M363" s="61"/>
      <c r="N363" s="61"/>
    </row>
    <row r="364" spans="1:14" ht="21.75" customHeight="1" x14ac:dyDescent="0.4">
      <c r="A364" s="249"/>
      <c r="B364" s="250"/>
      <c r="C364" s="250"/>
      <c r="D364" s="251"/>
      <c r="E364" s="75"/>
      <c r="F364" s="242" t="s">
        <v>150</v>
      </c>
      <c r="G364" s="266"/>
      <c r="H364" s="267" t="s">
        <v>103</v>
      </c>
      <c r="I364" s="48">
        <v>0</v>
      </c>
      <c r="J364" s="68">
        <v>0</v>
      </c>
      <c r="K364" s="49">
        <f t="shared" si="82"/>
        <v>0</v>
      </c>
      <c r="L364" s="61"/>
      <c r="M364" s="61"/>
      <c r="N364" s="61"/>
    </row>
    <row r="365" spans="1:14" ht="21.75" customHeight="1" x14ac:dyDescent="0.4">
      <c r="A365" s="249"/>
      <c r="B365" s="250"/>
      <c r="C365" s="250"/>
      <c r="D365" s="251"/>
      <c r="E365" s="75"/>
      <c r="F365" s="75"/>
      <c r="G365" s="266"/>
      <c r="H365" s="267" t="s">
        <v>15</v>
      </c>
      <c r="I365" s="48">
        <v>0</v>
      </c>
      <c r="J365" s="68">
        <v>0</v>
      </c>
      <c r="K365" s="49">
        <f t="shared" si="82"/>
        <v>0</v>
      </c>
      <c r="L365" s="61"/>
      <c r="M365" s="61"/>
      <c r="N365" s="61"/>
    </row>
    <row r="366" spans="1:14" ht="21.75" customHeight="1" x14ac:dyDescent="0.4">
      <c r="A366" s="249"/>
      <c r="B366" s="250"/>
      <c r="C366" s="250"/>
      <c r="D366" s="251"/>
      <c r="E366" s="75"/>
      <c r="F366" s="242" t="s">
        <v>151</v>
      </c>
      <c r="G366" s="266"/>
      <c r="H366" s="267" t="s">
        <v>103</v>
      </c>
      <c r="I366" s="48">
        <v>0</v>
      </c>
      <c r="J366" s="68">
        <v>0</v>
      </c>
      <c r="K366" s="49">
        <f t="shared" si="82"/>
        <v>0</v>
      </c>
      <c r="L366" s="61"/>
      <c r="M366" s="61"/>
      <c r="N366" s="61"/>
    </row>
    <row r="367" spans="1:14" ht="21.75" customHeight="1" x14ac:dyDescent="0.4">
      <c r="A367" s="249"/>
      <c r="B367" s="250"/>
      <c r="C367" s="250"/>
      <c r="D367" s="251"/>
      <c r="E367" s="75"/>
      <c r="F367" s="75"/>
      <c r="G367" s="75"/>
      <c r="H367" s="267" t="s">
        <v>15</v>
      </c>
      <c r="I367" s="48">
        <v>0</v>
      </c>
      <c r="J367" s="68">
        <v>0</v>
      </c>
      <c r="K367" s="49">
        <f t="shared" si="82"/>
        <v>0</v>
      </c>
      <c r="L367" s="61"/>
      <c r="M367" s="61"/>
      <c r="N367" s="61"/>
    </row>
    <row r="368" spans="1:14" ht="21.75" customHeight="1" x14ac:dyDescent="0.4">
      <c r="A368" s="249"/>
      <c r="B368" s="250"/>
      <c r="C368" s="250"/>
      <c r="D368" s="251"/>
      <c r="E368" s="155" t="s">
        <v>152</v>
      </c>
      <c r="F368" s="75"/>
      <c r="G368" s="76"/>
      <c r="H368" s="264" t="s">
        <v>103</v>
      </c>
      <c r="I368" s="265">
        <f ca="1">+I359</f>
        <v>60571</v>
      </c>
      <c r="J368" s="265">
        <f t="shared" ref="J368:J369" si="84">+J370+J372+J374</f>
        <v>0</v>
      </c>
      <c r="K368" s="80">
        <f t="shared" ca="1" si="82"/>
        <v>0</v>
      </c>
      <c r="L368" s="61"/>
      <c r="M368" s="61"/>
      <c r="N368" s="61"/>
    </row>
    <row r="369" spans="1:14" ht="21.75" customHeight="1" x14ac:dyDescent="0.4">
      <c r="A369" s="249"/>
      <c r="B369" s="250"/>
      <c r="C369" s="250"/>
      <c r="D369" s="251"/>
      <c r="E369" s="75"/>
      <c r="F369" s="75"/>
      <c r="G369" s="76"/>
      <c r="H369" s="264" t="s">
        <v>15</v>
      </c>
      <c r="I369" s="265">
        <f ca="1">I361</f>
        <v>5640</v>
      </c>
      <c r="J369" s="265">
        <f t="shared" si="84"/>
        <v>0</v>
      </c>
      <c r="K369" s="49">
        <f t="shared" ca="1" si="82"/>
        <v>0</v>
      </c>
      <c r="L369" s="61"/>
      <c r="M369" s="61"/>
      <c r="N369" s="61"/>
    </row>
    <row r="370" spans="1:14" ht="21.75" customHeight="1" x14ac:dyDescent="0.4">
      <c r="A370" s="249"/>
      <c r="B370" s="250"/>
      <c r="C370" s="250"/>
      <c r="D370" s="251"/>
      <c r="E370" s="75"/>
      <c r="F370" s="74" t="s">
        <v>153</v>
      </c>
      <c r="G370" s="266"/>
      <c r="H370" s="267" t="s">
        <v>103</v>
      </c>
      <c r="I370" s="48">
        <v>0</v>
      </c>
      <c r="J370" s="68">
        <v>0</v>
      </c>
      <c r="K370" s="49">
        <f t="shared" si="82"/>
        <v>0</v>
      </c>
      <c r="L370" s="61"/>
      <c r="M370" s="61"/>
      <c r="N370" s="61"/>
    </row>
    <row r="371" spans="1:14" ht="21.75" customHeight="1" x14ac:dyDescent="0.4">
      <c r="A371" s="249"/>
      <c r="B371" s="250"/>
      <c r="C371" s="250"/>
      <c r="D371" s="251"/>
      <c r="E371" s="75"/>
      <c r="F371" s="75"/>
      <c r="G371" s="266"/>
      <c r="H371" s="267" t="s">
        <v>15</v>
      </c>
      <c r="I371" s="48">
        <v>0</v>
      </c>
      <c r="J371" s="68">
        <v>0</v>
      </c>
      <c r="K371" s="49">
        <f t="shared" si="82"/>
        <v>0</v>
      </c>
      <c r="L371" s="61"/>
      <c r="M371" s="61"/>
      <c r="N371" s="61"/>
    </row>
    <row r="372" spans="1:14" ht="21.75" customHeight="1" x14ac:dyDescent="0.4">
      <c r="A372" s="249"/>
      <c r="B372" s="250"/>
      <c r="C372" s="250"/>
      <c r="D372" s="251"/>
      <c r="E372" s="75"/>
      <c r="F372" s="74" t="s">
        <v>154</v>
      </c>
      <c r="G372" s="266"/>
      <c r="H372" s="267" t="s">
        <v>103</v>
      </c>
      <c r="I372" s="48">
        <v>0</v>
      </c>
      <c r="J372" s="68">
        <v>0</v>
      </c>
      <c r="K372" s="49">
        <f t="shared" si="82"/>
        <v>0</v>
      </c>
      <c r="L372" s="61"/>
      <c r="M372" s="61"/>
      <c r="N372" s="61"/>
    </row>
    <row r="373" spans="1:14" ht="21.75" customHeight="1" x14ac:dyDescent="0.4">
      <c r="A373" s="249"/>
      <c r="B373" s="250"/>
      <c r="C373" s="250"/>
      <c r="D373" s="251"/>
      <c r="E373" s="75"/>
      <c r="F373" s="75"/>
      <c r="G373" s="266"/>
      <c r="H373" s="267" t="s">
        <v>15</v>
      </c>
      <c r="I373" s="48">
        <v>0</v>
      </c>
      <c r="J373" s="68">
        <v>0</v>
      </c>
      <c r="K373" s="49">
        <f t="shared" si="82"/>
        <v>0</v>
      </c>
      <c r="L373" s="61"/>
      <c r="M373" s="61"/>
      <c r="N373" s="61"/>
    </row>
    <row r="374" spans="1:14" ht="21.75" customHeight="1" x14ac:dyDescent="0.4">
      <c r="A374" s="249"/>
      <c r="B374" s="250"/>
      <c r="C374" s="250"/>
      <c r="D374" s="251"/>
      <c r="E374" s="75"/>
      <c r="F374" s="74" t="s">
        <v>155</v>
      </c>
      <c r="G374" s="266"/>
      <c r="H374" s="267" t="s">
        <v>103</v>
      </c>
      <c r="I374" s="48">
        <v>0</v>
      </c>
      <c r="J374" s="68">
        <v>0</v>
      </c>
      <c r="K374" s="49">
        <f t="shared" si="82"/>
        <v>0</v>
      </c>
      <c r="L374" s="61"/>
      <c r="M374" s="61"/>
      <c r="N374" s="61"/>
    </row>
    <row r="375" spans="1:14" ht="21.75" customHeight="1" x14ac:dyDescent="0.4">
      <c r="A375" s="249"/>
      <c r="B375" s="250"/>
      <c r="C375" s="250"/>
      <c r="D375" s="251"/>
      <c r="E375" s="75"/>
      <c r="F375" s="75"/>
      <c r="G375" s="76"/>
      <c r="H375" s="267" t="s">
        <v>15</v>
      </c>
      <c r="I375" s="48">
        <v>0</v>
      </c>
      <c r="J375" s="68">
        <v>0</v>
      </c>
      <c r="K375" s="49">
        <f t="shared" si="82"/>
        <v>0</v>
      </c>
      <c r="L375" s="61"/>
      <c r="M375" s="61"/>
      <c r="N375" s="61"/>
    </row>
    <row r="376" spans="1:14" ht="21.75" customHeight="1" x14ac:dyDescent="0.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60571</v>
      </c>
      <c r="J376" s="265">
        <f t="shared" ref="J376:J377" si="85">+J378+J380+J382+J388</f>
        <v>0</v>
      </c>
      <c r="K376" s="80">
        <f t="shared" ca="1" si="82"/>
        <v>0</v>
      </c>
      <c r="L376" s="275"/>
      <c r="M376" s="275"/>
      <c r="N376" s="275"/>
    </row>
    <row r="377" spans="1:14" ht="21.75" customHeight="1" x14ac:dyDescent="0.4">
      <c r="A377" s="249"/>
      <c r="B377" s="250"/>
      <c r="C377" s="250"/>
      <c r="D377" s="251"/>
      <c r="E377" s="75"/>
      <c r="F377" s="75"/>
      <c r="G377" s="76"/>
      <c r="H377" s="264" t="s">
        <v>15</v>
      </c>
      <c r="I377" s="265">
        <f ca="1">I361</f>
        <v>5640</v>
      </c>
      <c r="J377" s="265">
        <f t="shared" si="85"/>
        <v>0</v>
      </c>
      <c r="K377" s="49">
        <f t="shared" ca="1" si="82"/>
        <v>0</v>
      </c>
      <c r="L377" s="61"/>
      <c r="M377" s="61"/>
      <c r="N377" s="61"/>
    </row>
    <row r="378" spans="1:14" ht="21.75" customHeight="1" x14ac:dyDescent="0.4">
      <c r="A378" s="249"/>
      <c r="B378" s="250"/>
      <c r="C378" s="250"/>
      <c r="D378" s="251"/>
      <c r="E378" s="75"/>
      <c r="F378" s="74" t="s">
        <v>157</v>
      </c>
      <c r="G378" s="266"/>
      <c r="H378" s="267" t="s">
        <v>103</v>
      </c>
      <c r="I378" s="48">
        <v>0</v>
      </c>
      <c r="J378" s="68">
        <v>0</v>
      </c>
      <c r="K378" s="49">
        <f t="shared" si="82"/>
        <v>0</v>
      </c>
      <c r="L378" s="61"/>
      <c r="M378" s="61"/>
      <c r="N378" s="61"/>
    </row>
    <row r="379" spans="1:14" ht="21.75" customHeight="1" x14ac:dyDescent="0.4">
      <c r="A379" s="249"/>
      <c r="B379" s="250"/>
      <c r="C379" s="250"/>
      <c r="D379" s="251"/>
      <c r="E379" s="75"/>
      <c r="F379" s="75"/>
      <c r="G379" s="266"/>
      <c r="H379" s="267" t="s">
        <v>15</v>
      </c>
      <c r="I379" s="48">
        <v>0</v>
      </c>
      <c r="J379" s="68">
        <v>0</v>
      </c>
      <c r="K379" s="49">
        <f t="shared" si="82"/>
        <v>0</v>
      </c>
      <c r="L379" s="61"/>
      <c r="M379" s="61"/>
      <c r="N379" s="61"/>
    </row>
    <row r="380" spans="1:14" ht="21.75" customHeight="1" x14ac:dyDescent="0.4">
      <c r="A380" s="249"/>
      <c r="B380" s="250"/>
      <c r="C380" s="250"/>
      <c r="D380" s="251"/>
      <c r="E380" s="75"/>
      <c r="F380" s="74" t="s">
        <v>158</v>
      </c>
      <c r="G380" s="266"/>
      <c r="H380" s="267" t="s">
        <v>103</v>
      </c>
      <c r="I380" s="48">
        <v>0</v>
      </c>
      <c r="J380" s="68">
        <v>0</v>
      </c>
      <c r="K380" s="49">
        <f t="shared" si="82"/>
        <v>0</v>
      </c>
      <c r="L380" s="61"/>
      <c r="M380" s="61"/>
      <c r="N380" s="61"/>
    </row>
    <row r="381" spans="1:14" ht="21.75" customHeight="1" x14ac:dyDescent="0.4">
      <c r="A381" s="249"/>
      <c r="B381" s="250"/>
      <c r="C381" s="250"/>
      <c r="D381" s="251"/>
      <c r="E381" s="75"/>
      <c r="F381" s="75"/>
      <c r="G381" s="266"/>
      <c r="H381" s="267" t="s">
        <v>15</v>
      </c>
      <c r="I381" s="48">
        <v>0</v>
      </c>
      <c r="J381" s="68">
        <v>0</v>
      </c>
      <c r="K381" s="49">
        <f t="shared" si="82"/>
        <v>0</v>
      </c>
      <c r="L381" s="61"/>
      <c r="M381" s="61"/>
      <c r="N381" s="61"/>
    </row>
    <row r="382" spans="1:14" ht="21.75" customHeight="1" x14ac:dyDescent="0.4">
      <c r="A382" s="249"/>
      <c r="B382" s="250"/>
      <c r="C382" s="250"/>
      <c r="D382" s="251"/>
      <c r="E382" s="75"/>
      <c r="F382" s="74" t="s">
        <v>159</v>
      </c>
      <c r="G382" s="266"/>
      <c r="H382" s="267" t="s">
        <v>103</v>
      </c>
      <c r="I382" s="48">
        <v>0</v>
      </c>
      <c r="J382" s="265">
        <f t="shared" ref="J382:J383" si="86">J384+J386</f>
        <v>0</v>
      </c>
      <c r="K382" s="49">
        <f t="shared" si="82"/>
        <v>0</v>
      </c>
      <c r="L382" s="61"/>
      <c r="M382" s="61"/>
      <c r="N382" s="61"/>
    </row>
    <row r="383" spans="1:14" ht="21.75" customHeight="1" x14ac:dyDescent="0.4">
      <c r="A383" s="249"/>
      <c r="B383" s="250"/>
      <c r="C383" s="250"/>
      <c r="D383" s="251"/>
      <c r="E383" s="75"/>
      <c r="F383" s="75"/>
      <c r="G383" s="75"/>
      <c r="H383" s="267" t="s">
        <v>15</v>
      </c>
      <c r="I383" s="48">
        <v>0</v>
      </c>
      <c r="J383" s="265">
        <f t="shared" si="86"/>
        <v>0</v>
      </c>
      <c r="K383" s="49">
        <f t="shared" si="82"/>
        <v>0</v>
      </c>
      <c r="L383" s="61"/>
      <c r="M383" s="61"/>
      <c r="N383" s="61"/>
    </row>
    <row r="384" spans="1:14" ht="21.75" customHeight="1" x14ac:dyDescent="0.4">
      <c r="A384" s="249"/>
      <c r="B384" s="250"/>
      <c r="C384" s="250"/>
      <c r="D384" s="251"/>
      <c r="E384" s="75"/>
      <c r="F384" s="75"/>
      <c r="G384" s="74" t="s">
        <v>160</v>
      </c>
      <c r="H384" s="267" t="s">
        <v>103</v>
      </c>
      <c r="I384" s="48">
        <v>0</v>
      </c>
      <c r="J384" s="68">
        <v>0</v>
      </c>
      <c r="K384" s="49">
        <f t="shared" si="82"/>
        <v>0</v>
      </c>
      <c r="L384" s="61"/>
      <c r="M384" s="61"/>
      <c r="N384" s="61"/>
    </row>
    <row r="385" spans="1:14" ht="21.75" customHeight="1" x14ac:dyDescent="0.4">
      <c r="A385" s="249"/>
      <c r="B385" s="250"/>
      <c r="C385" s="250"/>
      <c r="D385" s="251"/>
      <c r="E385" s="75"/>
      <c r="F385" s="75"/>
      <c r="G385" s="75"/>
      <c r="H385" s="267" t="s">
        <v>15</v>
      </c>
      <c r="I385" s="48">
        <v>0</v>
      </c>
      <c r="J385" s="68">
        <v>0</v>
      </c>
      <c r="K385" s="49">
        <f t="shared" si="82"/>
        <v>0</v>
      </c>
      <c r="L385" s="61"/>
      <c r="M385" s="61"/>
      <c r="N385" s="61"/>
    </row>
    <row r="386" spans="1:14" ht="21.75" customHeight="1" x14ac:dyDescent="0.4">
      <c r="A386" s="249"/>
      <c r="B386" s="250"/>
      <c r="C386" s="250"/>
      <c r="D386" s="251"/>
      <c r="E386" s="75"/>
      <c r="F386" s="75"/>
      <c r="G386" s="74" t="s">
        <v>161</v>
      </c>
      <c r="H386" s="267" t="s">
        <v>103</v>
      </c>
      <c r="I386" s="48">
        <v>0</v>
      </c>
      <c r="J386" s="68">
        <v>0</v>
      </c>
      <c r="K386" s="49">
        <f t="shared" si="82"/>
        <v>0</v>
      </c>
      <c r="L386" s="61"/>
      <c r="M386" s="61"/>
      <c r="N386" s="61"/>
    </row>
    <row r="387" spans="1:14" ht="21.75" customHeight="1" x14ac:dyDescent="0.4">
      <c r="A387" s="249"/>
      <c r="B387" s="250"/>
      <c r="C387" s="250"/>
      <c r="D387" s="251"/>
      <c r="E387" s="75"/>
      <c r="F387" s="75"/>
      <c r="G387" s="76"/>
      <c r="H387" s="267" t="s">
        <v>15</v>
      </c>
      <c r="I387" s="48">
        <v>0</v>
      </c>
      <c r="J387" s="68">
        <v>0</v>
      </c>
      <c r="K387" s="49">
        <f t="shared" si="82"/>
        <v>0</v>
      </c>
      <c r="L387" s="61"/>
      <c r="M387" s="61"/>
      <c r="N387" s="61"/>
    </row>
    <row r="388" spans="1:14" ht="21.75" customHeight="1" x14ac:dyDescent="0.4">
      <c r="A388" s="249"/>
      <c r="B388" s="250"/>
      <c r="C388" s="250"/>
      <c r="D388" s="251"/>
      <c r="E388" s="75"/>
      <c r="F388" s="74" t="s">
        <v>162</v>
      </c>
      <c r="G388" s="266"/>
      <c r="H388" s="267" t="s">
        <v>103</v>
      </c>
      <c r="I388" s="48">
        <v>0</v>
      </c>
      <c r="J388" s="68">
        <v>0</v>
      </c>
      <c r="K388" s="49">
        <f t="shared" si="82"/>
        <v>0</v>
      </c>
      <c r="L388" s="61"/>
      <c r="M388" s="61"/>
      <c r="N388" s="61"/>
    </row>
    <row r="389" spans="1:14" ht="21.75" customHeight="1" x14ac:dyDescent="0.4">
      <c r="A389" s="276"/>
      <c r="B389" s="277"/>
      <c r="C389" s="277"/>
      <c r="D389" s="278"/>
      <c r="E389" s="204"/>
      <c r="F389" s="204"/>
      <c r="G389" s="204"/>
      <c r="H389" s="279" t="s">
        <v>15</v>
      </c>
      <c r="I389" s="384">
        <v>0</v>
      </c>
      <c r="J389" s="68">
        <v>0</v>
      </c>
      <c r="K389" s="114">
        <f t="shared" si="82"/>
        <v>0</v>
      </c>
      <c r="L389" s="115"/>
      <c r="M389" s="115"/>
      <c r="N389" s="115"/>
    </row>
    <row r="390" spans="1:14" ht="21.75" customHeight="1" x14ac:dyDescent="0.4">
      <c r="A390" s="55"/>
      <c r="B390" s="56"/>
      <c r="C390" s="261" t="s">
        <v>163</v>
      </c>
      <c r="D390" s="261"/>
      <c r="E390" s="262"/>
      <c r="F390" s="262"/>
      <c r="G390" s="263"/>
      <c r="H390" s="136" t="s">
        <v>103</v>
      </c>
      <c r="I390" s="137">
        <f ca="1">IFERROR(__xludf.DUMMYFUNCTION("IMPORTRANGE(""https://docs.google.com/spreadsheets/d/1C3CXT74ZlgGe6_JY_1olB1XN4rF0dxEuIIF-xsYjHgg/edit?usp=sharing"",""งบกองทุน!cd28"")"),1632)</f>
        <v>1632</v>
      </c>
      <c r="J390" s="137">
        <f>J391</f>
        <v>0</v>
      </c>
      <c r="K390" s="138">
        <f t="shared" ca="1" si="82"/>
        <v>0</v>
      </c>
      <c r="L390" s="140"/>
      <c r="M390" s="140"/>
      <c r="N390" s="140"/>
    </row>
    <row r="391" spans="1:14" ht="21.75" customHeight="1" x14ac:dyDescent="0.4">
      <c r="A391" s="55"/>
      <c r="B391" s="56"/>
      <c r="C391" s="56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IFERROR(__xludf.DUMMYFUNCTION("IMPORTRANGE(""https://docs.google.com/spreadsheets/d/1C3CXT74ZlgGe6_JY_1olB1XN4rF0dxEuIIF-xsYjHgg/edit?usp=sharing"",""งบกองทุน!cd28"")"),1632)</f>
        <v>1632</v>
      </c>
      <c r="J391" s="265">
        <f t="shared" ref="J391:J392" si="87">J393+J401+J407</f>
        <v>0</v>
      </c>
      <c r="K391" s="49">
        <f t="shared" ca="1" si="82"/>
        <v>0</v>
      </c>
      <c r="L391" s="61"/>
      <c r="M391" s="61"/>
      <c r="N391" s="61"/>
    </row>
    <row r="392" spans="1:14" ht="21.75" customHeight="1" x14ac:dyDescent="0.4">
      <c r="A392" s="55"/>
      <c r="B392" s="56"/>
      <c r="C392" s="56"/>
      <c r="D392" s="73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IFERROR(__xludf.DUMMYFUNCTION("IMPORTRANGE(""https://docs.google.com/spreadsheets/d/1C3CXT74ZlgGe6_JY_1olB1XN4rF0dxEuIIF-xsYjHgg/edit?usp=sharing"",""งบกองทุน!cc28"")"),99)</f>
        <v>99</v>
      </c>
      <c r="J392" s="265">
        <f t="shared" si="87"/>
        <v>0</v>
      </c>
      <c r="K392" s="80">
        <f t="shared" ca="1" si="82"/>
        <v>0</v>
      </c>
      <c r="L392" s="61"/>
      <c r="M392" s="61"/>
      <c r="N392" s="61"/>
    </row>
    <row r="393" spans="1:14" ht="21.75" customHeight="1" x14ac:dyDescent="0.4">
      <c r="A393" s="55"/>
      <c r="B393" s="56"/>
      <c r="C393" s="56"/>
      <c r="D393" s="251"/>
      <c r="E393" s="251" t="s">
        <v>165</v>
      </c>
      <c r="F393" s="75"/>
      <c r="G393" s="76"/>
      <c r="H393" s="267" t="s">
        <v>103</v>
      </c>
      <c r="I393" s="48">
        <v>0</v>
      </c>
      <c r="J393" s="48">
        <f t="shared" ref="J393:J394" si="88">J395+J397+J399</f>
        <v>0</v>
      </c>
      <c r="K393" s="49">
        <f t="shared" si="82"/>
        <v>0</v>
      </c>
      <c r="L393" s="61"/>
      <c r="M393" s="61"/>
      <c r="N393" s="61"/>
    </row>
    <row r="394" spans="1:14" ht="21.75" customHeight="1" x14ac:dyDescent="0.4">
      <c r="A394" s="55"/>
      <c r="B394" s="56"/>
      <c r="C394" s="56"/>
      <c r="D394" s="73"/>
      <c r="E394" s="75"/>
      <c r="F394" s="75"/>
      <c r="G394" s="76"/>
      <c r="H394" s="267" t="s">
        <v>15</v>
      </c>
      <c r="I394" s="48">
        <v>0</v>
      </c>
      <c r="J394" s="48">
        <f t="shared" si="88"/>
        <v>0</v>
      </c>
      <c r="K394" s="49">
        <f t="shared" si="82"/>
        <v>0</v>
      </c>
      <c r="L394" s="61"/>
      <c r="M394" s="61"/>
      <c r="N394" s="61"/>
    </row>
    <row r="395" spans="1:14" ht="21.75" customHeight="1" x14ac:dyDescent="0.4">
      <c r="A395" s="55"/>
      <c r="B395" s="56"/>
      <c r="C395" s="56"/>
      <c r="D395" s="73"/>
      <c r="E395" s="75"/>
      <c r="F395" s="242" t="s">
        <v>166</v>
      </c>
      <c r="G395" s="266"/>
      <c r="H395" s="267" t="s">
        <v>103</v>
      </c>
      <c r="I395" s="48">
        <v>0</v>
      </c>
      <c r="J395" s="68">
        <v>0</v>
      </c>
      <c r="K395" s="49">
        <f t="shared" si="82"/>
        <v>0</v>
      </c>
      <c r="L395" s="61"/>
      <c r="M395" s="61"/>
      <c r="N395" s="61"/>
    </row>
    <row r="396" spans="1:14" ht="21.75" customHeight="1" x14ac:dyDescent="0.4">
      <c r="A396" s="55"/>
      <c r="B396" s="56"/>
      <c r="C396" s="56"/>
      <c r="D396" s="73"/>
      <c r="E396" s="75"/>
      <c r="F396" s="75"/>
      <c r="G396" s="266"/>
      <c r="H396" s="267" t="s">
        <v>15</v>
      </c>
      <c r="I396" s="48">
        <v>0</v>
      </c>
      <c r="J396" s="68">
        <v>0</v>
      </c>
      <c r="K396" s="49">
        <f t="shared" si="82"/>
        <v>0</v>
      </c>
      <c r="L396" s="61"/>
      <c r="M396" s="61"/>
      <c r="N396" s="61"/>
    </row>
    <row r="397" spans="1:14" ht="21.75" customHeight="1" x14ac:dyDescent="0.4">
      <c r="A397" s="55"/>
      <c r="B397" s="56"/>
      <c r="C397" s="56"/>
      <c r="D397" s="73"/>
      <c r="E397" s="75"/>
      <c r="F397" s="242" t="s">
        <v>167</v>
      </c>
      <c r="G397" s="266"/>
      <c r="H397" s="267" t="s">
        <v>103</v>
      </c>
      <c r="I397" s="48">
        <v>0</v>
      </c>
      <c r="J397" s="68">
        <v>0</v>
      </c>
      <c r="K397" s="49">
        <f t="shared" si="82"/>
        <v>0</v>
      </c>
      <c r="L397" s="61"/>
      <c r="M397" s="61"/>
      <c r="N397" s="61"/>
    </row>
    <row r="398" spans="1:14" ht="21.75" customHeight="1" x14ac:dyDescent="0.4">
      <c r="A398" s="55"/>
      <c r="B398" s="56"/>
      <c r="C398" s="56"/>
      <c r="D398" s="73"/>
      <c r="E398" s="75"/>
      <c r="F398" s="75"/>
      <c r="G398" s="266"/>
      <c r="H398" s="267" t="s">
        <v>15</v>
      </c>
      <c r="I398" s="48">
        <v>0</v>
      </c>
      <c r="J398" s="68">
        <v>0</v>
      </c>
      <c r="K398" s="49">
        <f t="shared" si="82"/>
        <v>0</v>
      </c>
      <c r="L398" s="61"/>
      <c r="M398" s="61"/>
      <c r="N398" s="61"/>
    </row>
    <row r="399" spans="1:14" ht="21.75" customHeight="1" x14ac:dyDescent="0.4">
      <c r="A399" s="55"/>
      <c r="B399" s="56"/>
      <c r="C399" s="56"/>
      <c r="D399" s="73"/>
      <c r="E399" s="75"/>
      <c r="F399" s="242" t="s">
        <v>168</v>
      </c>
      <c r="G399" s="266"/>
      <c r="H399" s="267" t="s">
        <v>103</v>
      </c>
      <c r="I399" s="48">
        <v>0</v>
      </c>
      <c r="J399" s="68">
        <v>0</v>
      </c>
      <c r="K399" s="49">
        <f t="shared" si="82"/>
        <v>0</v>
      </c>
      <c r="L399" s="61"/>
      <c r="M399" s="61"/>
      <c r="N399" s="61"/>
    </row>
    <row r="400" spans="1:14" ht="21.75" customHeight="1" x14ac:dyDescent="0.4">
      <c r="A400" s="55"/>
      <c r="B400" s="56"/>
      <c r="C400" s="56"/>
      <c r="D400" s="73"/>
      <c r="E400" s="75"/>
      <c r="F400" s="75"/>
      <c r="G400" s="75"/>
      <c r="H400" s="267" t="s">
        <v>15</v>
      </c>
      <c r="I400" s="48">
        <v>0</v>
      </c>
      <c r="J400" s="68">
        <v>0</v>
      </c>
      <c r="K400" s="49">
        <f t="shared" si="82"/>
        <v>0</v>
      </c>
      <c r="L400" s="61"/>
      <c r="M400" s="61"/>
      <c r="N400" s="61"/>
    </row>
    <row r="401" spans="1:14" ht="21.75" customHeight="1" x14ac:dyDescent="0.4">
      <c r="A401" s="55"/>
      <c r="B401" s="56"/>
      <c r="C401" s="56"/>
      <c r="D401" s="73"/>
      <c r="E401" s="74" t="s">
        <v>169</v>
      </c>
      <c r="F401" s="75"/>
      <c r="G401" s="266"/>
      <c r="H401" s="267" t="s">
        <v>103</v>
      </c>
      <c r="I401" s="48">
        <v>0</v>
      </c>
      <c r="J401" s="48">
        <f t="shared" ref="J401:J402" si="89">+J403+J405</f>
        <v>0</v>
      </c>
      <c r="K401" s="49">
        <f t="shared" si="82"/>
        <v>0</v>
      </c>
      <c r="L401" s="61"/>
      <c r="M401" s="61"/>
      <c r="N401" s="61"/>
    </row>
    <row r="402" spans="1:14" ht="21.75" customHeight="1" x14ac:dyDescent="0.4">
      <c r="A402" s="55"/>
      <c r="B402" s="56"/>
      <c r="C402" s="56"/>
      <c r="D402" s="73"/>
      <c r="E402" s="75"/>
      <c r="F402" s="75"/>
      <c r="G402" s="75"/>
      <c r="H402" s="267" t="s">
        <v>15</v>
      </c>
      <c r="I402" s="48">
        <v>0</v>
      </c>
      <c r="J402" s="48">
        <f t="shared" si="89"/>
        <v>0</v>
      </c>
      <c r="K402" s="49">
        <f t="shared" si="82"/>
        <v>0</v>
      </c>
      <c r="L402" s="61"/>
      <c r="M402" s="61"/>
      <c r="N402" s="61"/>
    </row>
    <row r="403" spans="1:14" ht="21.75" customHeight="1" x14ac:dyDescent="0.4">
      <c r="A403" s="55"/>
      <c r="B403" s="56"/>
      <c r="C403" s="56"/>
      <c r="D403" s="73"/>
      <c r="E403" s="75"/>
      <c r="F403" s="74" t="s">
        <v>170</v>
      </c>
      <c r="G403" s="75"/>
      <c r="H403" s="267" t="s">
        <v>103</v>
      </c>
      <c r="I403" s="48">
        <v>0</v>
      </c>
      <c r="J403" s="68">
        <v>0</v>
      </c>
      <c r="K403" s="49">
        <f t="shared" si="82"/>
        <v>0</v>
      </c>
      <c r="L403" s="61"/>
      <c r="M403" s="61"/>
      <c r="N403" s="61"/>
    </row>
    <row r="404" spans="1:14" ht="21.75" customHeight="1" x14ac:dyDescent="0.4">
      <c r="A404" s="55"/>
      <c r="B404" s="56"/>
      <c r="C404" s="56"/>
      <c r="D404" s="73"/>
      <c r="E404" s="75"/>
      <c r="F404" s="75"/>
      <c r="G404" s="75"/>
      <c r="H404" s="267" t="s">
        <v>15</v>
      </c>
      <c r="I404" s="48">
        <v>0</v>
      </c>
      <c r="J404" s="68">
        <v>0</v>
      </c>
      <c r="K404" s="49">
        <f t="shared" si="82"/>
        <v>0</v>
      </c>
      <c r="L404" s="61"/>
      <c r="M404" s="61"/>
      <c r="N404" s="61"/>
    </row>
    <row r="405" spans="1:14" ht="21.75" customHeight="1" x14ac:dyDescent="0.4">
      <c r="A405" s="55"/>
      <c r="B405" s="56"/>
      <c r="C405" s="56"/>
      <c r="D405" s="73"/>
      <c r="E405" s="75"/>
      <c r="F405" s="74" t="s">
        <v>171</v>
      </c>
      <c r="G405" s="75"/>
      <c r="H405" s="267" t="s">
        <v>103</v>
      </c>
      <c r="I405" s="48">
        <v>0</v>
      </c>
      <c r="J405" s="68">
        <v>0</v>
      </c>
      <c r="K405" s="49">
        <f t="shared" si="82"/>
        <v>0</v>
      </c>
      <c r="L405" s="61"/>
      <c r="M405" s="61"/>
      <c r="N405" s="61"/>
    </row>
    <row r="406" spans="1:14" ht="21.75" customHeight="1" x14ac:dyDescent="0.4">
      <c r="A406" s="55"/>
      <c r="B406" s="56"/>
      <c r="C406" s="56"/>
      <c r="D406" s="73"/>
      <c r="E406" s="75"/>
      <c r="F406" s="75"/>
      <c r="G406" s="76"/>
      <c r="H406" s="267" t="s">
        <v>15</v>
      </c>
      <c r="I406" s="48">
        <v>0</v>
      </c>
      <c r="J406" s="68">
        <v>0</v>
      </c>
      <c r="K406" s="49">
        <f t="shared" si="82"/>
        <v>0</v>
      </c>
      <c r="L406" s="61"/>
      <c r="M406" s="61"/>
      <c r="N406" s="61"/>
    </row>
    <row r="407" spans="1:14" ht="21.75" customHeight="1" x14ac:dyDescent="0.4">
      <c r="A407" s="55"/>
      <c r="B407" s="56"/>
      <c r="C407" s="56"/>
      <c r="D407" s="251"/>
      <c r="E407" s="251" t="s">
        <v>225</v>
      </c>
      <c r="F407" s="75"/>
      <c r="G407" s="76"/>
      <c r="H407" s="267" t="s">
        <v>103</v>
      </c>
      <c r="I407" s="48">
        <v>0</v>
      </c>
      <c r="J407" s="68">
        <v>0</v>
      </c>
      <c r="K407" s="49">
        <f t="shared" si="82"/>
        <v>0</v>
      </c>
      <c r="L407" s="61"/>
      <c r="M407" s="61"/>
      <c r="N407" s="61"/>
    </row>
    <row r="408" spans="1:14" ht="21.75" customHeight="1" x14ac:dyDescent="0.4">
      <c r="A408" s="55"/>
      <c r="B408" s="56"/>
      <c r="C408" s="56"/>
      <c r="D408" s="73"/>
      <c r="E408" s="75"/>
      <c r="F408" s="75"/>
      <c r="G408" s="76"/>
      <c r="H408" s="267" t="s">
        <v>15</v>
      </c>
      <c r="I408" s="48">
        <v>0</v>
      </c>
      <c r="J408" s="68">
        <v>0</v>
      </c>
      <c r="K408" s="49">
        <f t="shared" si="82"/>
        <v>0</v>
      </c>
      <c r="L408" s="61"/>
      <c r="M408" s="61"/>
      <c r="N408" s="61"/>
    </row>
    <row r="409" spans="1:14" ht="21.75" customHeight="1" x14ac:dyDescent="0.4">
      <c r="A409" s="55"/>
      <c r="B409" s="56"/>
      <c r="C409" s="261" t="s">
        <v>173</v>
      </c>
      <c r="D409" s="261"/>
      <c r="E409" s="285"/>
      <c r="F409" s="285"/>
      <c r="G409" s="286"/>
      <c r="H409" s="287" t="s">
        <v>103</v>
      </c>
      <c r="I409" s="137">
        <f ca="1">IFERROR(__xludf.DUMMYFUNCTION("IMPORTRANGE(""https://docs.google.com/spreadsheets/d/1C3CXT74ZlgGe6_JY_1olB1XN4rF0dxEuIIF-xsYjHgg/edit?usp=sharing"",""งบกองทุน!cz28"")"),0)</f>
        <v>0</v>
      </c>
      <c r="J409" s="137">
        <f ca="1">SUM(J412,J414)</f>
        <v>0</v>
      </c>
      <c r="K409" s="138">
        <f t="shared" ca="1" si="82"/>
        <v>0</v>
      </c>
      <c r="L409" s="61"/>
      <c r="M409" s="61"/>
      <c r="N409" s="61"/>
    </row>
    <row r="410" spans="1:14" ht="21.75" customHeight="1" x14ac:dyDescent="0.4">
      <c r="A410" s="55"/>
      <c r="B410" s="56"/>
      <c r="C410" s="288"/>
      <c r="D410" s="288"/>
      <c r="E410" s="288" t="s">
        <v>174</v>
      </c>
      <c r="F410" s="289"/>
      <c r="G410" s="290"/>
      <c r="H410" s="291" t="s">
        <v>103</v>
      </c>
      <c r="I410" s="150">
        <f ca="1">IFERROR(__xludf.DUMMYFUNCTION("IMPORTRANGE(""https://docs.google.com/spreadsheets/d/1C3CXT74ZlgGe6_JY_1olB1XN4rF0dxEuIIF-xsYjHgg/edit?usp=sharing"",""งบกองทุน!cz28"")"),0)</f>
        <v>0</v>
      </c>
      <c r="J410" s="150">
        <f t="shared" ref="J410:J411" ca="1" si="90">SUM(J412,J414)</f>
        <v>0</v>
      </c>
      <c r="K410" s="147">
        <f t="shared" ca="1" si="82"/>
        <v>0</v>
      </c>
      <c r="L410" s="61"/>
      <c r="M410" s="61"/>
      <c r="N410" s="61"/>
    </row>
    <row r="411" spans="1:14" ht="21.75" customHeight="1" x14ac:dyDescent="0.4">
      <c r="A411" s="55"/>
      <c r="B411" s="56"/>
      <c r="C411" s="288"/>
      <c r="D411" s="288"/>
      <c r="E411" s="288" t="s">
        <v>175</v>
      </c>
      <c r="F411" s="289"/>
      <c r="G411" s="290"/>
      <c r="H411" s="291" t="s">
        <v>15</v>
      </c>
      <c r="I411" s="150">
        <f ca="1">IFERROR(__xludf.DUMMYFUNCTION("IMPORTRANGE(""https://docs.google.com/spreadsheets/d/1C3CXT74ZlgGe6_JY_1olB1XN4rF0dxEuIIF-xsYjHgg/edit?usp=sharing"",""งบกองทุน!cy28"")"),0)</f>
        <v>0</v>
      </c>
      <c r="J411" s="150">
        <f t="shared" ca="1" si="90"/>
        <v>0</v>
      </c>
      <c r="K411" s="147">
        <f t="shared" ca="1" si="82"/>
        <v>0</v>
      </c>
      <c r="L411" s="61"/>
      <c r="M411" s="61"/>
      <c r="N411" s="61"/>
    </row>
    <row r="412" spans="1:14" ht="21.75" customHeight="1" x14ac:dyDescent="0.4">
      <c r="A412" s="55"/>
      <c r="B412" s="56"/>
      <c r="C412" s="56"/>
      <c r="D412" s="73"/>
      <c r="E412" s="75"/>
      <c r="F412" s="75"/>
      <c r="G412" s="99" t="s">
        <v>176</v>
      </c>
      <c r="H412" s="267" t="s">
        <v>103</v>
      </c>
      <c r="I412" s="48">
        <v>0</v>
      </c>
      <c r="J412" s="67">
        <f ca="1">IFERROR(__xludf.DUMMYFUNCTION("IMPORTRANGE(""https://docs.google.com/spreadsheets/d/1C3CXT74ZlgGe6_JY_1olB1XN4rF0dxEuIIF-xsYjHgg/edit?usp=sharing"",""งบกองทุน!db28"")"),0)</f>
        <v>0</v>
      </c>
      <c r="K412" s="49">
        <f t="shared" si="82"/>
        <v>0</v>
      </c>
      <c r="L412" s="61"/>
      <c r="M412" s="61"/>
      <c r="N412" s="61"/>
    </row>
    <row r="413" spans="1:14" ht="21.75" customHeight="1" x14ac:dyDescent="0.4">
      <c r="A413" s="55"/>
      <c r="B413" s="56"/>
      <c r="C413" s="56"/>
      <c r="D413" s="73"/>
      <c r="E413" s="75"/>
      <c r="F413" s="75"/>
      <c r="G413" s="76"/>
      <c r="H413" s="267" t="s">
        <v>15</v>
      </c>
      <c r="I413" s="48">
        <v>0</v>
      </c>
      <c r="J413" s="67">
        <f ca="1">IFERROR(__xludf.DUMMYFUNCTION("IMPORTRANGE(""https://docs.google.com/spreadsheets/d/1C3CXT74ZlgGe6_JY_1olB1XN4rF0dxEuIIF-xsYjHgg/edit?usp=sharing"",""งบกองทุน!da28"")"),0)</f>
        <v>0</v>
      </c>
      <c r="K413" s="49">
        <f t="shared" si="82"/>
        <v>0</v>
      </c>
      <c r="L413" s="61"/>
      <c r="M413" s="61"/>
      <c r="N413" s="61"/>
    </row>
    <row r="414" spans="1:14" ht="21.75" customHeight="1" x14ac:dyDescent="0.4">
      <c r="A414" s="55"/>
      <c r="B414" s="56"/>
      <c r="C414" s="56"/>
      <c r="D414" s="73"/>
      <c r="E414" s="75"/>
      <c r="F414" s="75"/>
      <c r="G414" s="99" t="s">
        <v>177</v>
      </c>
      <c r="H414" s="267" t="s">
        <v>103</v>
      </c>
      <c r="I414" s="48">
        <v>0</v>
      </c>
      <c r="J414" s="67">
        <f ca="1">IFERROR(__xludf.DUMMYFUNCTION("IMPORTRANGE(""https://docs.google.com/spreadsheets/d/1C3CXT74ZlgGe6_JY_1olB1XN4rF0dxEuIIF-xsYjHgg/edit?usp=sharing"",""งบกองทุน!dd28"")"),0)</f>
        <v>0</v>
      </c>
      <c r="K414" s="49">
        <f t="shared" si="82"/>
        <v>0</v>
      </c>
      <c r="L414" s="61"/>
      <c r="M414" s="61"/>
      <c r="N414" s="61"/>
    </row>
    <row r="415" spans="1:14" ht="21.75" customHeight="1" x14ac:dyDescent="0.4">
      <c r="A415" s="55"/>
      <c r="B415" s="56"/>
      <c r="C415" s="56"/>
      <c r="D415" s="73"/>
      <c r="E415" s="75"/>
      <c r="F415" s="75"/>
      <c r="G415" s="76"/>
      <c r="H415" s="267" t="s">
        <v>15</v>
      </c>
      <c r="I415" s="48">
        <v>0</v>
      </c>
      <c r="J415" s="67">
        <f ca="1">IFERROR(__xludf.DUMMYFUNCTION("IMPORTRANGE(""https://docs.google.com/spreadsheets/d/1C3CXT74ZlgGe6_JY_1olB1XN4rF0dxEuIIF-xsYjHgg/edit?usp=sharing"",""งบกองทุน!dc28"")"),0)</f>
        <v>0</v>
      </c>
      <c r="K415" s="49">
        <f t="shared" si="82"/>
        <v>0</v>
      </c>
      <c r="L415" s="61"/>
      <c r="M415" s="61"/>
      <c r="N415" s="61"/>
    </row>
    <row r="416" spans="1:14" ht="21.75" customHeight="1" x14ac:dyDescent="0.4">
      <c r="A416" s="55"/>
      <c r="B416" s="56"/>
      <c r="C416" s="56"/>
      <c r="D416" s="73"/>
      <c r="E416" s="75"/>
      <c r="F416" s="75"/>
      <c r="G416" s="99" t="s">
        <v>178</v>
      </c>
      <c r="H416" s="267" t="s">
        <v>103</v>
      </c>
      <c r="I416" s="48">
        <v>0</v>
      </c>
      <c r="J416" s="67">
        <f ca="1">IFERROR(__xludf.DUMMYFUNCTION("IMPORTRANGE(""https://docs.google.com/spreadsheets/d/1C3CXT74ZlgGe6_JY_1olB1XN4rF0dxEuIIF-xsYjHgg/edit?usp=sharing"",""งบกองทุน!df28"")"),0)</f>
        <v>0</v>
      </c>
      <c r="K416" s="49">
        <f t="shared" si="82"/>
        <v>0</v>
      </c>
      <c r="L416" s="61"/>
      <c r="M416" s="61"/>
      <c r="N416" s="61"/>
    </row>
    <row r="417" spans="1:14" ht="21.75" customHeight="1" x14ac:dyDescent="0.4">
      <c r="A417" s="55"/>
      <c r="B417" s="56"/>
      <c r="C417" s="56"/>
      <c r="D417" s="73"/>
      <c r="E417" s="75"/>
      <c r="F417" s="75"/>
      <c r="G417" s="76"/>
      <c r="H417" s="267" t="s">
        <v>15</v>
      </c>
      <c r="I417" s="48">
        <v>0</v>
      </c>
      <c r="J417" s="67">
        <f ca="1">IFERROR(__xludf.DUMMYFUNCTION("IMPORTRANGE(""https://docs.google.com/spreadsheets/d/1C3CXT74ZlgGe6_JY_1olB1XN4rF0dxEuIIF-xsYjHgg/edit?usp=sharing"",""งบกองทุน!de28"")"),0)</f>
        <v>0</v>
      </c>
      <c r="K417" s="49">
        <f t="shared" si="82"/>
        <v>0</v>
      </c>
      <c r="L417" s="61"/>
      <c r="M417" s="61"/>
      <c r="N417" s="61"/>
    </row>
    <row r="418" spans="1:14" ht="21.75" customHeight="1" x14ac:dyDescent="0.4">
      <c r="A418" s="55"/>
      <c r="B418" s="56"/>
      <c r="C418" s="288"/>
      <c r="D418" s="288"/>
      <c r="E418" s="288" t="s">
        <v>179</v>
      </c>
      <c r="F418" s="289"/>
      <c r="G418" s="290"/>
      <c r="H418" s="291" t="s">
        <v>103</v>
      </c>
      <c r="I418" s="150">
        <f t="shared" ref="I418:I419" ca="1" si="91">J416</f>
        <v>0</v>
      </c>
      <c r="J418" s="150">
        <f t="shared" ref="J418:J419" si="92">SUM(J420,J422,J424)</f>
        <v>0</v>
      </c>
      <c r="K418" s="147">
        <f t="shared" ca="1" si="82"/>
        <v>0</v>
      </c>
      <c r="L418" s="61"/>
      <c r="M418" s="61"/>
      <c r="N418" s="61"/>
    </row>
    <row r="419" spans="1:14" ht="21.75" customHeight="1" x14ac:dyDescent="0.4">
      <c r="A419" s="55"/>
      <c r="B419" s="56"/>
      <c r="C419" s="288"/>
      <c r="D419" s="288"/>
      <c r="E419" s="288" t="s">
        <v>180</v>
      </c>
      <c r="F419" s="289"/>
      <c r="G419" s="290"/>
      <c r="H419" s="291" t="s">
        <v>15</v>
      </c>
      <c r="I419" s="150">
        <f t="shared" ca="1" si="91"/>
        <v>0</v>
      </c>
      <c r="J419" s="150">
        <f t="shared" si="92"/>
        <v>0</v>
      </c>
      <c r="K419" s="147">
        <f t="shared" ca="1" si="82"/>
        <v>0</v>
      </c>
      <c r="L419" s="61"/>
      <c r="M419" s="61"/>
      <c r="N419" s="61"/>
    </row>
    <row r="420" spans="1:14" ht="21.75" customHeight="1" x14ac:dyDescent="0.4">
      <c r="A420" s="55"/>
      <c r="B420" s="56"/>
      <c r="C420" s="56"/>
      <c r="D420" s="73"/>
      <c r="E420" s="75"/>
      <c r="F420" s="75"/>
      <c r="G420" s="99" t="s">
        <v>176</v>
      </c>
      <c r="H420" s="267" t="s">
        <v>103</v>
      </c>
      <c r="I420" s="48">
        <v>0</v>
      </c>
      <c r="J420" s="68">
        <v>0</v>
      </c>
      <c r="K420" s="49">
        <f t="shared" si="82"/>
        <v>0</v>
      </c>
      <c r="L420" s="61"/>
      <c r="M420" s="61"/>
      <c r="N420" s="61"/>
    </row>
    <row r="421" spans="1:14" ht="21.75" customHeight="1" x14ac:dyDescent="0.4">
      <c r="A421" s="55"/>
      <c r="B421" s="56"/>
      <c r="C421" s="56"/>
      <c r="D421" s="73"/>
      <c r="E421" s="75"/>
      <c r="F421" s="75"/>
      <c r="G421" s="76"/>
      <c r="H421" s="267" t="s">
        <v>15</v>
      </c>
      <c r="I421" s="48">
        <v>0</v>
      </c>
      <c r="J421" s="68">
        <v>0</v>
      </c>
      <c r="K421" s="49">
        <f t="shared" si="82"/>
        <v>0</v>
      </c>
      <c r="L421" s="61"/>
      <c r="M421" s="61"/>
      <c r="N421" s="61"/>
    </row>
    <row r="422" spans="1:14" ht="21.75" customHeight="1" x14ac:dyDescent="0.4">
      <c r="A422" s="55"/>
      <c r="B422" s="56"/>
      <c r="C422" s="56"/>
      <c r="D422" s="73"/>
      <c r="E422" s="75"/>
      <c r="F422" s="75"/>
      <c r="G422" s="99" t="s">
        <v>177</v>
      </c>
      <c r="H422" s="267" t="s">
        <v>103</v>
      </c>
      <c r="I422" s="48">
        <v>0</v>
      </c>
      <c r="J422" s="68">
        <v>0</v>
      </c>
      <c r="K422" s="49">
        <f t="shared" si="82"/>
        <v>0</v>
      </c>
      <c r="L422" s="61"/>
      <c r="M422" s="61"/>
      <c r="N422" s="61"/>
    </row>
    <row r="423" spans="1:14" ht="21.75" customHeight="1" x14ac:dyDescent="0.4">
      <c r="A423" s="55"/>
      <c r="B423" s="56"/>
      <c r="C423" s="56"/>
      <c r="D423" s="73"/>
      <c r="E423" s="75"/>
      <c r="F423" s="75"/>
      <c r="G423" s="76"/>
      <c r="H423" s="267" t="s">
        <v>15</v>
      </c>
      <c r="I423" s="48">
        <v>0</v>
      </c>
      <c r="J423" s="68">
        <v>0</v>
      </c>
      <c r="K423" s="49">
        <f t="shared" si="82"/>
        <v>0</v>
      </c>
      <c r="L423" s="61"/>
      <c r="M423" s="61"/>
      <c r="N423" s="61"/>
    </row>
    <row r="424" spans="1:14" ht="21.75" customHeight="1" x14ac:dyDescent="0.4">
      <c r="A424" s="55"/>
      <c r="B424" s="56"/>
      <c r="C424" s="56"/>
      <c r="D424" s="73"/>
      <c r="E424" s="75"/>
      <c r="F424" s="75"/>
      <c r="G424" s="99" t="s">
        <v>181</v>
      </c>
      <c r="H424" s="267" t="s">
        <v>103</v>
      </c>
      <c r="I424" s="48">
        <v>0</v>
      </c>
      <c r="J424" s="68">
        <v>0</v>
      </c>
      <c r="K424" s="49">
        <f t="shared" si="82"/>
        <v>0</v>
      </c>
      <c r="L424" s="61"/>
      <c r="M424" s="61"/>
      <c r="N424" s="61"/>
    </row>
    <row r="425" spans="1:14" ht="21.75" customHeight="1" x14ac:dyDescent="0.4">
      <c r="A425" s="292"/>
      <c r="B425" s="293"/>
      <c r="C425" s="293"/>
      <c r="D425" s="294"/>
      <c r="E425" s="295"/>
      <c r="F425" s="295"/>
      <c r="G425" s="296"/>
      <c r="H425" s="297" t="s">
        <v>15</v>
      </c>
      <c r="I425" s="298">
        <v>0</v>
      </c>
      <c r="J425" s="299">
        <v>0</v>
      </c>
      <c r="K425" s="309">
        <f t="shared" si="82"/>
        <v>0</v>
      </c>
      <c r="L425" s="300"/>
      <c r="M425" s="300"/>
      <c r="N425" s="300"/>
    </row>
    <row r="426" spans="1:14" ht="21.75" customHeight="1" x14ac:dyDescent="0.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3">I440</f>
        <v>22</v>
      </c>
      <c r="J426" s="257">
        <f t="shared" si="93"/>
        <v>0</v>
      </c>
      <c r="K426" s="258">
        <f ca="1">IF(I426&gt;0,J426*100/I426,0)</f>
        <v>0</v>
      </c>
      <c r="L426" s="259">
        <f t="shared" ref="L426:M426" ca="1" si="94">SUM(L427:L428)</f>
        <v>34340</v>
      </c>
      <c r="M426" s="259">
        <f t="shared" si="94"/>
        <v>0</v>
      </c>
      <c r="N426" s="259">
        <f t="shared" ref="N426:N430" ca="1" si="95">+IF(L426&gt;0,M426*100/L426,0)</f>
        <v>0</v>
      </c>
    </row>
    <row r="427" spans="1:14" ht="21.75" customHeight="1" x14ac:dyDescent="0.4">
      <c r="A427" s="42"/>
      <c r="B427" s="43"/>
      <c r="C427" s="43" t="s">
        <v>17</v>
      </c>
      <c r="D427" s="44" t="s">
        <v>18</v>
      </c>
      <c r="E427" s="45"/>
      <c r="F427" s="45"/>
      <c r="G427" s="46" t="s">
        <v>19</v>
      </c>
      <c r="H427" s="47" t="s">
        <v>20</v>
      </c>
      <c r="I427" s="48" t="s">
        <v>21</v>
      </c>
      <c r="J427" s="48"/>
      <c r="K427" s="49"/>
      <c r="L427" s="50">
        <v>0</v>
      </c>
      <c r="M427" s="53">
        <v>0</v>
      </c>
      <c r="N427" s="53">
        <f t="shared" si="95"/>
        <v>0</v>
      </c>
    </row>
    <row r="428" spans="1:14" ht="21.75" customHeight="1" x14ac:dyDescent="0.4">
      <c r="A428" s="42"/>
      <c r="B428" s="43"/>
      <c r="C428" s="43"/>
      <c r="D428" s="51"/>
      <c r="E428" s="45"/>
      <c r="F428" s="45" t="s">
        <v>21</v>
      </c>
      <c r="G428" s="46" t="s">
        <v>22</v>
      </c>
      <c r="H428" s="47" t="s">
        <v>20</v>
      </c>
      <c r="I428" s="48"/>
      <c r="J428" s="48"/>
      <c r="K428" s="49"/>
      <c r="L428" s="50">
        <f t="shared" ref="L428:M428" ca="1" si="96">SUM(L429:L430)</f>
        <v>34340</v>
      </c>
      <c r="M428" s="53">
        <f t="shared" si="96"/>
        <v>0</v>
      </c>
      <c r="N428" s="53">
        <f t="shared" ca="1" si="95"/>
        <v>0</v>
      </c>
    </row>
    <row r="429" spans="1:14" ht="21.75" customHeight="1" x14ac:dyDescent="0.4">
      <c r="A429" s="42"/>
      <c r="B429" s="43"/>
      <c r="C429" s="43"/>
      <c r="D429" s="51"/>
      <c r="E429" s="45"/>
      <c r="F429" s="45"/>
      <c r="G429" s="52" t="s">
        <v>110</v>
      </c>
      <c r="H429" s="47" t="s">
        <v>20</v>
      </c>
      <c r="I429" s="48"/>
      <c r="J429" s="48"/>
      <c r="K429" s="49"/>
      <c r="L429" s="53">
        <f ca="1">IFERROR(__xludf.DUMMYFUNCTION("IMPORTRANGE(""https://docs.google.com/spreadsheets/d/1C3CXT74ZlgGe6_JY_1olB1XN4rF0dxEuIIF-xsYjHgg/edit?usp=sharing"",""งบกองทุน!dn28"")"),0)</f>
        <v>0</v>
      </c>
      <c r="M429" s="53">
        <v>0</v>
      </c>
      <c r="N429" s="53">
        <f t="shared" ca="1" si="95"/>
        <v>0</v>
      </c>
    </row>
    <row r="430" spans="1:14" ht="21.75" customHeight="1" x14ac:dyDescent="0.4">
      <c r="A430" s="42"/>
      <c r="B430" s="43"/>
      <c r="C430" s="43"/>
      <c r="D430" s="51"/>
      <c r="E430" s="45"/>
      <c r="F430" s="45"/>
      <c r="G430" s="52" t="s">
        <v>111</v>
      </c>
      <c r="H430" s="47" t="s">
        <v>20</v>
      </c>
      <c r="I430" s="48"/>
      <c r="J430" s="48"/>
      <c r="K430" s="49"/>
      <c r="L430" s="53">
        <f ca="1">IFERROR(__xludf.DUMMYFUNCTION("IMPORTRANGE(""https://docs.google.com/spreadsheets/d/1C3CXT74ZlgGe6_JY_1olB1XN4rF0dxEuIIF-xsYjHgg/edit?usp=sharing"",""งบกองทุน!do28"")"),34340)</f>
        <v>34340</v>
      </c>
      <c r="M430" s="53">
        <f>SUM(M431:M434)</f>
        <v>0</v>
      </c>
      <c r="N430" s="53">
        <f t="shared" ca="1" si="95"/>
        <v>0</v>
      </c>
    </row>
    <row r="431" spans="1:14" ht="21.75" customHeight="1" x14ac:dyDescent="0.4">
      <c r="A431" s="230"/>
      <c r="B431" s="231"/>
      <c r="C431" s="43"/>
      <c r="D431" s="232"/>
      <c r="E431" s="45"/>
      <c r="F431" s="45"/>
      <c r="G431" s="46" t="s">
        <v>112</v>
      </c>
      <c r="H431" s="47" t="s">
        <v>20</v>
      </c>
      <c r="I431" s="67"/>
      <c r="J431" s="67"/>
      <c r="K431" s="233"/>
      <c r="L431" s="53"/>
      <c r="M431" s="54">
        <v>0</v>
      </c>
      <c r="N431" s="53"/>
    </row>
    <row r="432" spans="1:14" ht="21.75" customHeight="1" x14ac:dyDescent="0.4">
      <c r="A432" s="230"/>
      <c r="B432" s="231"/>
      <c r="C432" s="43"/>
      <c r="D432" s="232"/>
      <c r="E432" s="45"/>
      <c r="F432" s="45"/>
      <c r="G432" s="46" t="s">
        <v>113</v>
      </c>
      <c r="H432" s="47" t="s">
        <v>20</v>
      </c>
      <c r="I432" s="67"/>
      <c r="J432" s="67"/>
      <c r="K432" s="233"/>
      <c r="L432" s="53"/>
      <c r="M432" s="54">
        <v>0</v>
      </c>
      <c r="N432" s="53"/>
    </row>
    <row r="433" spans="1:14" ht="21.75" customHeight="1" x14ac:dyDescent="0.4">
      <c r="A433" s="230"/>
      <c r="B433" s="231"/>
      <c r="C433" s="43"/>
      <c r="D433" s="232"/>
      <c r="E433" s="45"/>
      <c r="F433" s="45"/>
      <c r="G433" s="46" t="s">
        <v>114</v>
      </c>
      <c r="H433" s="47" t="s">
        <v>20</v>
      </c>
      <c r="I433" s="67"/>
      <c r="J433" s="67"/>
      <c r="K433" s="233"/>
      <c r="L433" s="53"/>
      <c r="M433" s="54">
        <v>0</v>
      </c>
      <c r="N433" s="53"/>
    </row>
    <row r="434" spans="1:14" ht="21.75" customHeight="1" x14ac:dyDescent="0.4">
      <c r="A434" s="230"/>
      <c r="B434" s="231"/>
      <c r="C434" s="43"/>
      <c r="D434" s="232"/>
      <c r="E434" s="45"/>
      <c r="F434" s="45"/>
      <c r="G434" s="46" t="s">
        <v>115</v>
      </c>
      <c r="H434" s="47" t="s">
        <v>20</v>
      </c>
      <c r="I434" s="67"/>
      <c r="J434" s="67"/>
      <c r="K434" s="233"/>
      <c r="L434" s="53"/>
      <c r="M434" s="54">
        <v>0</v>
      </c>
      <c r="N434" s="53"/>
    </row>
    <row r="435" spans="1:14" ht="21.75" customHeight="1" x14ac:dyDescent="0.4">
      <c r="A435" s="55"/>
      <c r="B435" s="56"/>
      <c r="C435" s="43" t="s">
        <v>17</v>
      </c>
      <c r="D435" s="57" t="s">
        <v>25</v>
      </c>
      <c r="E435" s="58"/>
      <c r="F435" s="58"/>
      <c r="G435" s="59"/>
      <c r="H435" s="60"/>
      <c r="I435" s="48"/>
      <c r="J435" s="48"/>
      <c r="K435" s="49"/>
      <c r="L435" s="61"/>
      <c r="M435" s="61"/>
      <c r="N435" s="61"/>
    </row>
    <row r="436" spans="1:14" ht="21.75" customHeight="1" x14ac:dyDescent="0.4">
      <c r="A436" s="55"/>
      <c r="B436" s="56"/>
      <c r="C436" s="56"/>
      <c r="D436" s="62">
        <v>1</v>
      </c>
      <c r="E436" s="63" t="s">
        <v>26</v>
      </c>
      <c r="F436" s="64"/>
      <c r="G436" s="65"/>
      <c r="H436" s="66"/>
      <c r="I436" s="67"/>
      <c r="J436" s="68">
        <v>0</v>
      </c>
      <c r="K436" s="49"/>
      <c r="L436" s="61"/>
      <c r="M436" s="61"/>
      <c r="N436" s="61"/>
    </row>
    <row r="437" spans="1:14" ht="21.75" customHeight="1" x14ac:dyDescent="0.4">
      <c r="A437" s="55"/>
      <c r="B437" s="56"/>
      <c r="C437" s="56"/>
      <c r="D437" s="69">
        <v>2</v>
      </c>
      <c r="E437" s="70" t="s">
        <v>27</v>
      </c>
      <c r="F437" s="71"/>
      <c r="G437" s="72"/>
      <c r="H437" s="66"/>
      <c r="I437" s="67"/>
      <c r="J437" s="68">
        <v>1</v>
      </c>
      <c r="K437" s="49"/>
      <c r="L437" s="61" t="s">
        <v>21</v>
      </c>
      <c r="M437" s="61" t="s">
        <v>21</v>
      </c>
      <c r="N437" s="61"/>
    </row>
    <row r="438" spans="1:14" ht="21.75" customHeight="1" x14ac:dyDescent="0.4">
      <c r="A438" s="55"/>
      <c r="B438" s="56"/>
      <c r="C438" s="56"/>
      <c r="D438" s="73"/>
      <c r="E438" s="74" t="s">
        <v>28</v>
      </c>
      <c r="F438" s="75"/>
      <c r="G438" s="76"/>
      <c r="H438" s="66"/>
      <c r="I438" s="67"/>
      <c r="J438" s="68">
        <v>1</v>
      </c>
      <c r="K438" s="49"/>
      <c r="L438" s="61"/>
      <c r="M438" s="61"/>
      <c r="N438" s="61"/>
    </row>
    <row r="439" spans="1:14" ht="21.75" customHeight="1" x14ac:dyDescent="0.4">
      <c r="A439" s="55"/>
      <c r="B439" s="56"/>
      <c r="C439" s="56"/>
      <c r="D439" s="73"/>
      <c r="E439" s="74" t="s">
        <v>29</v>
      </c>
      <c r="F439" s="75"/>
      <c r="G439" s="76"/>
      <c r="H439" s="66"/>
      <c r="I439" s="67"/>
      <c r="J439" s="68">
        <v>1</v>
      </c>
      <c r="K439" s="49"/>
      <c r="L439" s="61"/>
      <c r="M439" s="61"/>
      <c r="N439" s="61"/>
    </row>
    <row r="440" spans="1:14" ht="21.75" customHeight="1" x14ac:dyDescent="0.4">
      <c r="A440" s="55"/>
      <c r="B440" s="56"/>
      <c r="C440" s="56"/>
      <c r="D440" s="73"/>
      <c r="E440" s="77"/>
      <c r="F440" s="75"/>
      <c r="G440" s="99" t="s">
        <v>183</v>
      </c>
      <c r="H440" s="66" t="s">
        <v>16</v>
      </c>
      <c r="I440" s="200">
        <f ca="1">IFERROR(__xludf.DUMMYFUNCTION("IMPORTRANGE(""https://docs.google.com/spreadsheets/d/1C3CXT74ZlgGe6_JY_1olB1XN4rF0dxEuIIF-xsYjHgg/edit?usp=sharing"",""งบกองทุน!dq28"")"),22)</f>
        <v>22</v>
      </c>
      <c r="J440" s="68">
        <v>0</v>
      </c>
      <c r="K440" s="49">
        <f t="shared" ref="K440:K441" ca="1" si="97">IF(I440&gt;0,J440*100/I440,0)</f>
        <v>0</v>
      </c>
      <c r="L440" s="61"/>
      <c r="M440" s="61"/>
      <c r="N440" s="61"/>
    </row>
    <row r="441" spans="1:14" ht="21.75" hidden="1" customHeight="1" x14ac:dyDescent="0.4">
      <c r="A441" s="55"/>
      <c r="B441" s="56"/>
      <c r="C441" s="56"/>
      <c r="D441" s="73"/>
      <c r="E441" s="77"/>
      <c r="F441" s="75"/>
      <c r="G441" s="99" t="s">
        <v>184</v>
      </c>
      <c r="H441" s="66" t="s">
        <v>16</v>
      </c>
      <c r="I441" s="200">
        <f ca="1">IFERROR(__xludf.DUMMYFUNCTION("IMPORTRANGE(""https://docs.google.com/spreadsheets/d/1C3CXT74ZlgGe6_JY_1olB1XN4rF0dxEuIIF-xsYjHgg/edit?usp=sharing"",""งบกองทุน!dr28"")"),22)</f>
        <v>22</v>
      </c>
      <c r="J441" s="68">
        <v>0</v>
      </c>
      <c r="K441" s="49">
        <f t="shared" ca="1" si="97"/>
        <v>0</v>
      </c>
      <c r="L441" s="61"/>
      <c r="M441" s="61"/>
      <c r="N441" s="61"/>
    </row>
    <row r="442" spans="1:14" ht="21.75" customHeight="1" x14ac:dyDescent="0.4">
      <c r="A442" s="55"/>
      <c r="B442" s="56"/>
      <c r="C442" s="56"/>
      <c r="D442" s="73"/>
      <c r="E442" s="74" t="s">
        <v>35</v>
      </c>
      <c r="F442" s="75"/>
      <c r="G442" s="76"/>
      <c r="H442" s="66"/>
      <c r="I442" s="67"/>
      <c r="J442" s="68">
        <v>0</v>
      </c>
      <c r="K442" s="49"/>
      <c r="L442" s="61"/>
      <c r="M442" s="61"/>
      <c r="N442" s="61"/>
    </row>
    <row r="443" spans="1:14" ht="21.75" customHeight="1" x14ac:dyDescent="0.4">
      <c r="A443" s="292"/>
      <c r="B443" s="293"/>
      <c r="C443" s="293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309"/>
      <c r="L443" s="300"/>
      <c r="M443" s="300"/>
      <c r="N443" s="300"/>
    </row>
    <row r="444" spans="1:14" ht="21.75" customHeight="1" x14ac:dyDescent="0.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8">SUM(I453,I455)</f>
        <v>9000</v>
      </c>
      <c r="J444" s="257">
        <f t="shared" si="98"/>
        <v>0</v>
      </c>
      <c r="K444" s="258">
        <f ca="1">IF(I444&gt;0,J444*100/I444,0)</f>
        <v>0</v>
      </c>
      <c r="L444" s="259">
        <f t="shared" ref="L444:M444" ca="1" si="99">SUM(L445:L446)</f>
        <v>534000</v>
      </c>
      <c r="M444" s="259">
        <f t="shared" si="99"/>
        <v>0</v>
      </c>
      <c r="N444" s="259">
        <f t="shared" ref="N444:N448" ca="1" si="100">+IF(L444&gt;0,M444*100/L444,0)</f>
        <v>0</v>
      </c>
    </row>
    <row r="445" spans="1:14" ht="21.75" customHeight="1" x14ac:dyDescent="0.4">
      <c r="A445" s="42"/>
      <c r="B445" s="43"/>
      <c r="C445" s="43" t="s">
        <v>17</v>
      </c>
      <c r="D445" s="44" t="s">
        <v>18</v>
      </c>
      <c r="E445" s="45"/>
      <c r="F445" s="45"/>
      <c r="G445" s="46" t="s">
        <v>19</v>
      </c>
      <c r="H445" s="47" t="s">
        <v>20</v>
      </c>
      <c r="I445" s="48" t="s">
        <v>21</v>
      </c>
      <c r="J445" s="48"/>
      <c r="K445" s="49"/>
      <c r="L445" s="50">
        <v>0</v>
      </c>
      <c r="M445" s="53">
        <v>0</v>
      </c>
      <c r="N445" s="53">
        <f t="shared" si="100"/>
        <v>0</v>
      </c>
    </row>
    <row r="446" spans="1:14" ht="21.75" customHeight="1" x14ac:dyDescent="0.4">
      <c r="A446" s="42"/>
      <c r="B446" s="43"/>
      <c r="C446" s="43"/>
      <c r="D446" s="51"/>
      <c r="E446" s="45"/>
      <c r="F446" s="45" t="s">
        <v>21</v>
      </c>
      <c r="G446" s="46" t="s">
        <v>22</v>
      </c>
      <c r="H446" s="47" t="s">
        <v>20</v>
      </c>
      <c r="I446" s="48"/>
      <c r="J446" s="48"/>
      <c r="K446" s="49"/>
      <c r="L446" s="50">
        <f t="shared" ref="L446:M446" ca="1" si="101">SUM(L447:L448)</f>
        <v>534000</v>
      </c>
      <c r="M446" s="53">
        <f t="shared" si="101"/>
        <v>0</v>
      </c>
      <c r="N446" s="53">
        <f t="shared" ca="1" si="100"/>
        <v>0</v>
      </c>
    </row>
    <row r="447" spans="1:14" ht="21.75" customHeight="1" x14ac:dyDescent="0.4">
      <c r="A447" s="42"/>
      <c r="B447" s="43"/>
      <c r="C447" s="43"/>
      <c r="D447" s="51"/>
      <c r="E447" s="45"/>
      <c r="F447" s="45"/>
      <c r="G447" s="52" t="s">
        <v>110</v>
      </c>
      <c r="H447" s="47" t="s">
        <v>20</v>
      </c>
      <c r="I447" s="48"/>
      <c r="J447" s="48"/>
      <c r="K447" s="49"/>
      <c r="L447" s="53">
        <f ca="1">IFERROR(__xludf.DUMMYFUNCTION("IMPORTRANGE(""https://docs.google.com/spreadsheets/d/1C3CXT74ZlgGe6_JY_1olB1XN4rF0dxEuIIF-xsYjHgg/edit?usp=sharing"",""งบกองทุน!dt28"")"),0)</f>
        <v>0</v>
      </c>
      <c r="M447" s="53">
        <v>0</v>
      </c>
      <c r="N447" s="53">
        <f t="shared" ca="1" si="100"/>
        <v>0</v>
      </c>
    </row>
    <row r="448" spans="1:14" ht="21.75" customHeight="1" x14ac:dyDescent="0.4">
      <c r="A448" s="42"/>
      <c r="B448" s="43"/>
      <c r="C448" s="43"/>
      <c r="D448" s="51"/>
      <c r="E448" s="45"/>
      <c r="F448" s="45"/>
      <c r="G448" s="52" t="s">
        <v>111</v>
      </c>
      <c r="H448" s="47" t="s">
        <v>20</v>
      </c>
      <c r="I448" s="48"/>
      <c r="J448" s="48"/>
      <c r="K448" s="49"/>
      <c r="L448" s="53">
        <f ca="1">IFERROR(__xludf.DUMMYFUNCTION("IMPORTRANGE(""https://docs.google.com/spreadsheets/d/1C3CXT74ZlgGe6_JY_1olB1XN4rF0dxEuIIF-xsYjHgg/edit?usp=sharing"",""งบกองทุน!du28"")"),534000)</f>
        <v>534000</v>
      </c>
      <c r="M448" s="53">
        <f>SUM(M449:M452)</f>
        <v>0</v>
      </c>
      <c r="N448" s="53">
        <f t="shared" ca="1" si="100"/>
        <v>0</v>
      </c>
    </row>
    <row r="449" spans="1:14" ht="21.75" customHeight="1" x14ac:dyDescent="0.4">
      <c r="A449" s="230"/>
      <c r="B449" s="231"/>
      <c r="C449" s="43"/>
      <c r="D449" s="232"/>
      <c r="E449" s="45"/>
      <c r="F449" s="45"/>
      <c r="G449" s="46" t="s">
        <v>112</v>
      </c>
      <c r="H449" s="47" t="s">
        <v>20</v>
      </c>
      <c r="I449" s="67"/>
      <c r="J449" s="67"/>
      <c r="K449" s="233"/>
      <c r="L449" s="53"/>
      <c r="M449" s="54">
        <v>0</v>
      </c>
      <c r="N449" s="53"/>
    </row>
    <row r="450" spans="1:14" ht="21.75" customHeight="1" x14ac:dyDescent="0.4">
      <c r="A450" s="230"/>
      <c r="B450" s="231"/>
      <c r="C450" s="43"/>
      <c r="D450" s="232"/>
      <c r="E450" s="45"/>
      <c r="F450" s="45"/>
      <c r="G450" s="46" t="s">
        <v>113</v>
      </c>
      <c r="H450" s="47" t="s">
        <v>20</v>
      </c>
      <c r="I450" s="67"/>
      <c r="J450" s="67"/>
      <c r="K450" s="233"/>
      <c r="L450" s="53"/>
      <c r="M450" s="54">
        <v>0</v>
      </c>
      <c r="N450" s="53"/>
    </row>
    <row r="451" spans="1:14" ht="21.75" customHeight="1" x14ac:dyDescent="0.4">
      <c r="A451" s="230"/>
      <c r="B451" s="231"/>
      <c r="C451" s="43"/>
      <c r="D451" s="232"/>
      <c r="E451" s="45"/>
      <c r="F451" s="45"/>
      <c r="G451" s="46" t="s">
        <v>114</v>
      </c>
      <c r="H451" s="47" t="s">
        <v>20</v>
      </c>
      <c r="I451" s="67"/>
      <c r="J451" s="67"/>
      <c r="K451" s="233"/>
      <c r="L451" s="53"/>
      <c r="M451" s="54">
        <v>0</v>
      </c>
      <c r="N451" s="53"/>
    </row>
    <row r="452" spans="1:14" ht="21.75" customHeight="1" x14ac:dyDescent="0.4">
      <c r="A452" s="230"/>
      <c r="B452" s="231"/>
      <c r="C452" s="43"/>
      <c r="D452" s="232"/>
      <c r="E452" s="45"/>
      <c r="F452" s="45"/>
      <c r="G452" s="46" t="s">
        <v>115</v>
      </c>
      <c r="H452" s="47" t="s">
        <v>20</v>
      </c>
      <c r="I452" s="67"/>
      <c r="J452" s="67"/>
      <c r="K452" s="233"/>
      <c r="L452" s="53"/>
      <c r="M452" s="54">
        <v>0</v>
      </c>
      <c r="N452" s="53"/>
    </row>
    <row r="453" spans="1:14" ht="21.75" customHeight="1" x14ac:dyDescent="0.4">
      <c r="A453" s="230"/>
      <c r="B453" s="231"/>
      <c r="C453" s="231"/>
      <c r="D453" s="310"/>
      <c r="E453" s="311"/>
      <c r="F453" s="311" t="s">
        <v>186</v>
      </c>
      <c r="G453" s="312"/>
      <c r="H453" s="313" t="s">
        <v>103</v>
      </c>
      <c r="I453" s="67">
        <f ca="1">IFERROR(__xludf.DUMMYFUNCTION("IMPORTRANGE(""https://docs.google.com/spreadsheets/d/1C3CXT74ZlgGe6_JY_1olB1XN4rF0dxEuIIF-xsYjHgg/edit?usp=sharing"",""งบกองทุน!dw28"")"),9000)</f>
        <v>9000</v>
      </c>
      <c r="J453" s="67">
        <v>0</v>
      </c>
      <c r="K453" s="233">
        <f t="shared" ref="K453:K457" ca="1" si="102">IF(I453&gt;0,J453*100/I453,0)</f>
        <v>0</v>
      </c>
      <c r="L453" s="53"/>
      <c r="M453" s="53"/>
      <c r="N453" s="53"/>
    </row>
    <row r="454" spans="1:14" ht="21.75" customHeight="1" x14ac:dyDescent="0.4">
      <c r="A454" s="230"/>
      <c r="B454" s="231"/>
      <c r="C454" s="231"/>
      <c r="D454" s="310"/>
      <c r="E454" s="311"/>
      <c r="F454" s="311"/>
      <c r="G454" s="312"/>
      <c r="H454" s="313" t="s">
        <v>15</v>
      </c>
      <c r="I454" s="67">
        <f ca="1">IFERROR(__xludf.DUMMYFUNCTION("IMPORTRANGE(""https://docs.google.com/spreadsheets/d/1C3CXT74ZlgGe6_JY_1olB1XN4rF0dxEuIIF-xsYjHgg/edit?usp=sharing"",""งบกองทุน!dx28"")"),0)</f>
        <v>0</v>
      </c>
      <c r="J454" s="67">
        <v>0</v>
      </c>
      <c r="K454" s="233">
        <f t="shared" ca="1" si="102"/>
        <v>0</v>
      </c>
      <c r="L454" s="53"/>
      <c r="M454" s="53"/>
      <c r="N454" s="53"/>
    </row>
    <row r="455" spans="1:14" ht="21.75" customHeight="1" x14ac:dyDescent="0.4">
      <c r="A455" s="230"/>
      <c r="B455" s="231"/>
      <c r="C455" s="231"/>
      <c r="D455" s="310"/>
      <c r="E455" s="311"/>
      <c r="F455" s="311" t="s">
        <v>187</v>
      </c>
      <c r="G455" s="312"/>
      <c r="H455" s="313" t="s">
        <v>103</v>
      </c>
      <c r="I455" s="67">
        <f ca="1">IFERROR(__xludf.DUMMYFUNCTION("IMPORTRANGE(""https://docs.google.com/spreadsheets/d/1C3CXT74ZlgGe6_JY_1olB1XN4rF0dxEuIIF-xsYjHgg/edit?usp=sharing"",""งบกองทุน!dy28"")"),0)</f>
        <v>0</v>
      </c>
      <c r="J455" s="67">
        <v>0</v>
      </c>
      <c r="K455" s="233">
        <f t="shared" ca="1" si="102"/>
        <v>0</v>
      </c>
      <c r="L455" s="53"/>
      <c r="M455" s="53"/>
      <c r="N455" s="53"/>
    </row>
    <row r="456" spans="1:14" ht="21.75" customHeight="1" x14ac:dyDescent="0.4">
      <c r="A456" s="230"/>
      <c r="B456" s="231"/>
      <c r="C456" s="231"/>
      <c r="D456" s="310"/>
      <c r="E456" s="311"/>
      <c r="F456" s="311"/>
      <c r="G456" s="312"/>
      <c r="H456" s="313" t="s">
        <v>15</v>
      </c>
      <c r="I456" s="67">
        <f ca="1">IFERROR(__xludf.DUMMYFUNCTION("IMPORTRANGE(""https://docs.google.com/spreadsheets/d/1C3CXT74ZlgGe6_JY_1olB1XN4rF0dxEuIIF-xsYjHgg/edit?usp=sharing"",""งบกองทุน!dz28"")"),0)</f>
        <v>0</v>
      </c>
      <c r="J456" s="67">
        <v>0</v>
      </c>
      <c r="K456" s="233">
        <f t="shared" ca="1" si="102"/>
        <v>0</v>
      </c>
      <c r="L456" s="53"/>
      <c r="M456" s="53"/>
      <c r="N456" s="53"/>
    </row>
    <row r="457" spans="1:14" ht="21.75" customHeight="1" x14ac:dyDescent="0.4">
      <c r="A457" s="222"/>
      <c r="B457" s="223">
        <v>8</v>
      </c>
      <c r="C457" s="224" t="s">
        <v>188</v>
      </c>
      <c r="D457" s="224"/>
      <c r="E457" s="224"/>
      <c r="F457" s="224"/>
      <c r="G457" s="225"/>
      <c r="H457" s="226" t="s">
        <v>16</v>
      </c>
      <c r="I457" s="227">
        <f ca="1">I466</f>
        <v>1500</v>
      </c>
      <c r="J457" s="227">
        <f>+J466</f>
        <v>324</v>
      </c>
      <c r="K457" s="228">
        <f t="shared" ca="1" si="102"/>
        <v>21.6</v>
      </c>
      <c r="L457" s="229">
        <f t="shared" ref="L457:M457" ca="1" si="103">SUM(L458:L459)</f>
        <v>144240</v>
      </c>
      <c r="M457" s="229">
        <f t="shared" si="103"/>
        <v>0</v>
      </c>
      <c r="N457" s="229">
        <f t="shared" ref="N457:N461" ca="1" si="104">+IF(L457&gt;0,M457*100/L457,0)</f>
        <v>0</v>
      </c>
    </row>
    <row r="458" spans="1:14" ht="21.75" customHeight="1" x14ac:dyDescent="0.4">
      <c r="A458" s="42"/>
      <c r="B458" s="43"/>
      <c r="C458" s="43" t="s">
        <v>17</v>
      </c>
      <c r="D458" s="44" t="s">
        <v>18</v>
      </c>
      <c r="E458" s="45"/>
      <c r="F458" s="45"/>
      <c r="G458" s="46" t="s">
        <v>19</v>
      </c>
      <c r="H458" s="47" t="s">
        <v>20</v>
      </c>
      <c r="I458" s="48" t="s">
        <v>21</v>
      </c>
      <c r="J458" s="48"/>
      <c r="K458" s="49"/>
      <c r="L458" s="50">
        <v>0</v>
      </c>
      <c r="M458" s="53">
        <v>0</v>
      </c>
      <c r="N458" s="53">
        <f t="shared" si="104"/>
        <v>0</v>
      </c>
    </row>
    <row r="459" spans="1:14" ht="21.75" customHeight="1" x14ac:dyDescent="0.4">
      <c r="A459" s="42"/>
      <c r="B459" s="43"/>
      <c r="C459" s="43"/>
      <c r="D459" s="51"/>
      <c r="E459" s="45"/>
      <c r="F459" s="45" t="s">
        <v>21</v>
      </c>
      <c r="G459" s="46" t="s">
        <v>22</v>
      </c>
      <c r="H459" s="47" t="s">
        <v>20</v>
      </c>
      <c r="I459" s="48"/>
      <c r="J459" s="48"/>
      <c r="K459" s="49"/>
      <c r="L459" s="50">
        <f t="shared" ref="L459:M459" ca="1" si="105">SUM(L460:L461)</f>
        <v>144240</v>
      </c>
      <c r="M459" s="53">
        <f t="shared" si="105"/>
        <v>0</v>
      </c>
      <c r="N459" s="53">
        <f t="shared" ca="1" si="104"/>
        <v>0</v>
      </c>
    </row>
    <row r="460" spans="1:14" ht="21.75" customHeight="1" x14ac:dyDescent="0.4">
      <c r="A460" s="42"/>
      <c r="B460" s="43"/>
      <c r="C460" s="43"/>
      <c r="D460" s="51"/>
      <c r="E460" s="45"/>
      <c r="F460" s="45"/>
      <c r="G460" s="52" t="s">
        <v>110</v>
      </c>
      <c r="H460" s="47" t="s">
        <v>20</v>
      </c>
      <c r="I460" s="48"/>
      <c r="J460" s="48"/>
      <c r="K460" s="49"/>
      <c r="L460" s="53">
        <f ca="1">IFERROR(__xludf.DUMMYFUNCTION("IMPORTRANGE(""https://docs.google.com/spreadsheets/d/1C3CXT74ZlgGe6_JY_1olB1XN4rF0dxEuIIF-xsYjHgg/edit?usp=sharing"",""งบกองทุน!Eb28"")"),0)</f>
        <v>0</v>
      </c>
      <c r="M460" s="53">
        <v>0</v>
      </c>
      <c r="N460" s="53">
        <f t="shared" ca="1" si="104"/>
        <v>0</v>
      </c>
    </row>
    <row r="461" spans="1:14" ht="21.75" customHeight="1" x14ac:dyDescent="0.4">
      <c r="A461" s="42"/>
      <c r="B461" s="43"/>
      <c r="C461" s="43"/>
      <c r="D461" s="51"/>
      <c r="E461" s="45"/>
      <c r="F461" s="45"/>
      <c r="G461" s="52" t="s">
        <v>111</v>
      </c>
      <c r="H461" s="47" t="s">
        <v>20</v>
      </c>
      <c r="I461" s="48"/>
      <c r="J461" s="48"/>
      <c r="K461" s="49"/>
      <c r="L461" s="53">
        <f ca="1">IFERROR(__xludf.DUMMYFUNCTION("IMPORTRANGE(""https://docs.google.com/spreadsheets/d/1C3CXT74ZlgGe6_JY_1olB1XN4rF0dxEuIIF-xsYjHgg/edit?usp=sharing"",""งบกองทุน!Ec28"")"),144240)</f>
        <v>144240</v>
      </c>
      <c r="M461" s="53">
        <f>SUM(M462:M465)</f>
        <v>0</v>
      </c>
      <c r="N461" s="53">
        <f t="shared" ca="1" si="104"/>
        <v>0</v>
      </c>
    </row>
    <row r="462" spans="1:14" ht="21.75" customHeight="1" x14ac:dyDescent="0.4">
      <c r="A462" s="230"/>
      <c r="B462" s="231"/>
      <c r="C462" s="43"/>
      <c r="D462" s="232"/>
      <c r="E462" s="45"/>
      <c r="F462" s="45"/>
      <c r="G462" s="46" t="s">
        <v>112</v>
      </c>
      <c r="H462" s="47" t="s">
        <v>20</v>
      </c>
      <c r="I462" s="67"/>
      <c r="J462" s="67"/>
      <c r="K462" s="233"/>
      <c r="L462" s="53"/>
      <c r="M462" s="53">
        <v>0</v>
      </c>
      <c r="N462" s="53"/>
    </row>
    <row r="463" spans="1:14" ht="21.75" customHeight="1" x14ac:dyDescent="0.4">
      <c r="A463" s="230"/>
      <c r="B463" s="231"/>
      <c r="C463" s="43"/>
      <c r="D463" s="232"/>
      <c r="E463" s="45"/>
      <c r="F463" s="45"/>
      <c r="G463" s="46" t="s">
        <v>113</v>
      </c>
      <c r="H463" s="47" t="s">
        <v>20</v>
      </c>
      <c r="I463" s="67"/>
      <c r="J463" s="67"/>
      <c r="K463" s="233"/>
      <c r="L463" s="53"/>
      <c r="M463" s="53">
        <v>0</v>
      </c>
      <c r="N463" s="53"/>
    </row>
    <row r="464" spans="1:14" ht="21.75" customHeight="1" x14ac:dyDescent="0.4">
      <c r="A464" s="230"/>
      <c r="B464" s="231"/>
      <c r="C464" s="43"/>
      <c r="D464" s="232"/>
      <c r="E464" s="45"/>
      <c r="F464" s="45"/>
      <c r="G464" s="46" t="s">
        <v>114</v>
      </c>
      <c r="H464" s="47" t="s">
        <v>20</v>
      </c>
      <c r="I464" s="67"/>
      <c r="J464" s="67"/>
      <c r="K464" s="233"/>
      <c r="L464" s="53"/>
      <c r="M464" s="54">
        <v>0</v>
      </c>
      <c r="N464" s="53"/>
    </row>
    <row r="465" spans="1:14" ht="21.75" customHeight="1" x14ac:dyDescent="0.4">
      <c r="A465" s="230"/>
      <c r="B465" s="231"/>
      <c r="C465" s="43"/>
      <c r="D465" s="232"/>
      <c r="E465" s="45"/>
      <c r="F465" s="45"/>
      <c r="G465" s="46" t="s">
        <v>115</v>
      </c>
      <c r="H465" s="47" t="s">
        <v>20</v>
      </c>
      <c r="I465" s="67"/>
      <c r="J465" s="67"/>
      <c r="K465" s="233"/>
      <c r="L465" s="53"/>
      <c r="M465" s="54">
        <v>0</v>
      </c>
      <c r="N465" s="53"/>
    </row>
    <row r="466" spans="1:14" ht="21.75" customHeight="1" x14ac:dyDescent="0.4">
      <c r="A466" s="55"/>
      <c r="B466" s="56"/>
      <c r="C466" s="56"/>
      <c r="D466" s="75"/>
      <c r="E466" s="74" t="s">
        <v>21</v>
      </c>
      <c r="F466" s="260" t="s">
        <v>189</v>
      </c>
      <c r="G466" s="240"/>
      <c r="H466" s="314" t="s">
        <v>16</v>
      </c>
      <c r="I466" s="265">
        <f ca="1">IFERROR(__xludf.DUMMYFUNCTION("IMPORTRANGE(""https://docs.google.com/spreadsheets/d/1C3CXT74ZlgGe6_JY_1olB1XN4rF0dxEuIIF-xsYjHgg/edit?usp=sharing"",""งบกองทุน!Ed28"")"),1500)</f>
        <v>1500</v>
      </c>
      <c r="J466" s="265">
        <f>+J469+J470+J471+J472</f>
        <v>324</v>
      </c>
      <c r="K466" s="80">
        <f ca="1">IF(I466&gt;0,J466*100/I466,0)</f>
        <v>21.6</v>
      </c>
      <c r="L466" s="61"/>
      <c r="M466" s="61"/>
      <c r="N466" s="61"/>
    </row>
    <row r="467" spans="1:14" ht="21.75" customHeight="1" x14ac:dyDescent="0.4">
      <c r="A467" s="55"/>
      <c r="B467" s="56"/>
      <c r="C467" s="56"/>
      <c r="D467" s="75"/>
      <c r="E467" s="75"/>
      <c r="F467" s="74" t="s">
        <v>190</v>
      </c>
      <c r="G467" s="76"/>
      <c r="H467" s="315"/>
      <c r="I467" s="48"/>
      <c r="J467" s="48"/>
      <c r="K467" s="49"/>
      <c r="L467" s="61"/>
      <c r="M467" s="61"/>
      <c r="N467" s="61"/>
    </row>
    <row r="468" spans="1:14" ht="21.75" customHeight="1" x14ac:dyDescent="0.4">
      <c r="A468" s="55"/>
      <c r="B468" s="56"/>
      <c r="C468" s="56"/>
      <c r="D468" s="75"/>
      <c r="E468" s="74" t="s">
        <v>21</v>
      </c>
      <c r="F468" s="74" t="s">
        <v>191</v>
      </c>
      <c r="G468" s="76"/>
      <c r="H468" s="315" t="s">
        <v>57</v>
      </c>
      <c r="I468" s="48">
        <v>0</v>
      </c>
      <c r="J468" s="68">
        <v>0</v>
      </c>
      <c r="K468" s="49">
        <f t="shared" ref="K468:K472" si="106">IF(I468&gt;0,J468*100/I468,0)</f>
        <v>0</v>
      </c>
      <c r="L468" s="61"/>
      <c r="M468" s="61"/>
      <c r="N468" s="61"/>
    </row>
    <row r="469" spans="1:14" ht="21.75" customHeight="1" x14ac:dyDescent="0.4">
      <c r="A469" s="55"/>
      <c r="B469" s="56"/>
      <c r="C469" s="56"/>
      <c r="D469" s="75"/>
      <c r="E469" s="75"/>
      <c r="F469" s="74" t="s">
        <v>192</v>
      </c>
      <c r="G469" s="76"/>
      <c r="H469" s="315" t="s">
        <v>16</v>
      </c>
      <c r="I469" s="48">
        <v>0</v>
      </c>
      <c r="J469" s="68">
        <v>0</v>
      </c>
      <c r="K469" s="49">
        <f t="shared" si="106"/>
        <v>0</v>
      </c>
      <c r="L469" s="61"/>
      <c r="M469" s="61"/>
      <c r="N469" s="61"/>
    </row>
    <row r="470" spans="1:14" ht="21.75" customHeight="1" x14ac:dyDescent="0.4">
      <c r="A470" s="55"/>
      <c r="B470" s="56"/>
      <c r="C470" s="56"/>
      <c r="D470" s="75"/>
      <c r="E470" s="75"/>
      <c r="F470" s="74" t="s">
        <v>193</v>
      </c>
      <c r="G470" s="76"/>
      <c r="H470" s="315" t="s">
        <v>16</v>
      </c>
      <c r="I470" s="48">
        <v>0</v>
      </c>
      <c r="J470" s="68">
        <v>324</v>
      </c>
      <c r="K470" s="49">
        <f t="shared" si="106"/>
        <v>0</v>
      </c>
      <c r="L470" s="61"/>
      <c r="M470" s="61"/>
      <c r="N470" s="61"/>
    </row>
    <row r="471" spans="1:14" ht="21.75" customHeight="1" x14ac:dyDescent="0.4">
      <c r="A471" s="55"/>
      <c r="B471" s="56"/>
      <c r="C471" s="56"/>
      <c r="D471" s="75"/>
      <c r="E471" s="75"/>
      <c r="F471" s="74" t="s">
        <v>194</v>
      </c>
      <c r="G471" s="266"/>
      <c r="H471" s="315" t="s">
        <v>16</v>
      </c>
      <c r="I471" s="48">
        <v>0</v>
      </c>
      <c r="J471" s="68">
        <v>0</v>
      </c>
      <c r="K471" s="49">
        <f t="shared" si="106"/>
        <v>0</v>
      </c>
      <c r="L471" s="61"/>
      <c r="M471" s="61"/>
      <c r="N471" s="61"/>
    </row>
    <row r="472" spans="1:14" ht="21.75" customHeight="1" x14ac:dyDescent="0.4">
      <c r="A472" s="55"/>
      <c r="B472" s="56"/>
      <c r="C472" s="56"/>
      <c r="D472" s="75"/>
      <c r="E472" s="75"/>
      <c r="F472" s="74" t="s">
        <v>195</v>
      </c>
      <c r="G472" s="266"/>
      <c r="H472" s="315" t="s">
        <v>16</v>
      </c>
      <c r="I472" s="48">
        <v>0</v>
      </c>
      <c r="J472" s="68">
        <v>0</v>
      </c>
      <c r="K472" s="49">
        <f t="shared" si="106"/>
        <v>0</v>
      </c>
      <c r="L472" s="61"/>
      <c r="M472" s="61"/>
      <c r="N472" s="61"/>
    </row>
    <row r="473" spans="1:14" ht="21.75" customHeight="1" x14ac:dyDescent="0.4">
      <c r="A473" s="222"/>
      <c r="B473" s="223">
        <v>9</v>
      </c>
      <c r="C473" s="224" t="s">
        <v>196</v>
      </c>
      <c r="D473" s="224"/>
      <c r="E473" s="224"/>
      <c r="F473" s="224"/>
      <c r="G473" s="225"/>
      <c r="H473" s="226" t="s">
        <v>16</v>
      </c>
      <c r="I473" s="227">
        <f ca="1">I484</f>
        <v>24</v>
      </c>
      <c r="J473" s="227">
        <f ca="1">J488</f>
        <v>0</v>
      </c>
      <c r="K473" s="228">
        <f ca="1">IF(I473&gt;0,J473*100/I473,0)</f>
        <v>0</v>
      </c>
      <c r="L473" s="229">
        <f ca="1">SUM(L474,L475)</f>
        <v>127824</v>
      </c>
      <c r="M473" s="229">
        <f>SUM(M474:M475)</f>
        <v>240</v>
      </c>
      <c r="N473" s="229">
        <f t="shared" ref="N473:N477" ca="1" si="107">+IF(L473&gt;0,M473*100/L473,0)</f>
        <v>0.1877581674802854</v>
      </c>
    </row>
    <row r="474" spans="1:14" ht="21.75" customHeight="1" x14ac:dyDescent="0.4">
      <c r="A474" s="42"/>
      <c r="B474" s="43"/>
      <c r="C474" s="43" t="s">
        <v>17</v>
      </c>
      <c r="D474" s="44" t="s">
        <v>18</v>
      </c>
      <c r="E474" s="45"/>
      <c r="F474" s="45"/>
      <c r="G474" s="46" t="s">
        <v>19</v>
      </c>
      <c r="H474" s="47" t="s">
        <v>20</v>
      </c>
      <c r="I474" s="48" t="s">
        <v>21</v>
      </c>
      <c r="J474" s="48"/>
      <c r="K474" s="49"/>
      <c r="L474" s="50">
        <v>0</v>
      </c>
      <c r="M474" s="53">
        <v>0</v>
      </c>
      <c r="N474" s="53">
        <f t="shared" si="107"/>
        <v>0</v>
      </c>
    </row>
    <row r="475" spans="1:14" ht="21.75" customHeight="1" x14ac:dyDescent="0.4">
      <c r="A475" s="42"/>
      <c r="B475" s="43"/>
      <c r="C475" s="43"/>
      <c r="D475" s="51"/>
      <c r="E475" s="45"/>
      <c r="F475" s="45" t="s">
        <v>21</v>
      </c>
      <c r="G475" s="46" t="s">
        <v>22</v>
      </c>
      <c r="H475" s="47" t="s">
        <v>20</v>
      </c>
      <c r="I475" s="48"/>
      <c r="J475" s="48"/>
      <c r="K475" s="49"/>
      <c r="L475" s="50">
        <f t="shared" ref="L475:M475" ca="1" si="108">SUM(L476:L477)</f>
        <v>127824</v>
      </c>
      <c r="M475" s="53">
        <f t="shared" si="108"/>
        <v>240</v>
      </c>
      <c r="N475" s="53">
        <f t="shared" ca="1" si="107"/>
        <v>0.1877581674802854</v>
      </c>
    </row>
    <row r="476" spans="1:14" ht="21.75" customHeight="1" x14ac:dyDescent="0.4">
      <c r="A476" s="42"/>
      <c r="B476" s="43"/>
      <c r="C476" s="43"/>
      <c r="D476" s="51"/>
      <c r="E476" s="45"/>
      <c r="F476" s="45"/>
      <c r="G476" s="52" t="s">
        <v>110</v>
      </c>
      <c r="H476" s="47" t="s">
        <v>20</v>
      </c>
      <c r="I476" s="48"/>
      <c r="J476" s="48"/>
      <c r="K476" s="49"/>
      <c r="L476" s="53">
        <f ca="1">IFERROR(__xludf.DUMMYFUNCTION("IMPORTRANGE(""https://docs.google.com/spreadsheets/d/1C3CXT74ZlgGe6_JY_1olB1XN4rF0dxEuIIF-xsYjHgg/edit?usp=sharing"",""งบกองทุน!Ek28"")"),0)</f>
        <v>0</v>
      </c>
      <c r="M476" s="53">
        <v>0</v>
      </c>
      <c r="N476" s="53">
        <f t="shared" ca="1" si="107"/>
        <v>0</v>
      </c>
    </row>
    <row r="477" spans="1:14" ht="21.75" customHeight="1" x14ac:dyDescent="0.4">
      <c r="A477" s="42"/>
      <c r="B477" s="43"/>
      <c r="C477" s="43"/>
      <c r="D477" s="51"/>
      <c r="E477" s="45"/>
      <c r="F477" s="45"/>
      <c r="G477" s="52" t="s">
        <v>111</v>
      </c>
      <c r="H477" s="47" t="s">
        <v>20</v>
      </c>
      <c r="I477" s="48"/>
      <c r="J477" s="48"/>
      <c r="K477" s="49"/>
      <c r="L477" s="53">
        <f ca="1">IFERROR(__xludf.DUMMYFUNCTION("IMPORTRANGE(""https://docs.google.com/spreadsheets/d/1C3CXT74ZlgGe6_JY_1olB1XN4rF0dxEuIIF-xsYjHgg/edit?usp=sharing"",""งบกองทุน!El28"")"),127824)</f>
        <v>127824</v>
      </c>
      <c r="M477" s="53">
        <f>SUM(M478:M481)</f>
        <v>240</v>
      </c>
      <c r="N477" s="53">
        <f t="shared" ca="1" si="107"/>
        <v>0.1877581674802854</v>
      </c>
    </row>
    <row r="478" spans="1:14" ht="21.75" customHeight="1" x14ac:dyDescent="0.4">
      <c r="A478" s="230"/>
      <c r="B478" s="231"/>
      <c r="C478" s="43"/>
      <c r="D478" s="232"/>
      <c r="E478" s="45"/>
      <c r="F478" s="45"/>
      <c r="G478" s="46" t="s">
        <v>112</v>
      </c>
      <c r="H478" s="47" t="s">
        <v>20</v>
      </c>
      <c r="I478" s="67"/>
      <c r="J478" s="67"/>
      <c r="K478" s="233"/>
      <c r="L478" s="53"/>
      <c r="M478" s="53">
        <v>0</v>
      </c>
      <c r="N478" s="53"/>
    </row>
    <row r="479" spans="1:14" ht="21.75" customHeight="1" x14ac:dyDescent="0.4">
      <c r="A479" s="230"/>
      <c r="B479" s="231"/>
      <c r="C479" s="43"/>
      <c r="D479" s="232"/>
      <c r="E479" s="45"/>
      <c r="F479" s="45"/>
      <c r="G479" s="46" t="s">
        <v>113</v>
      </c>
      <c r="H479" s="47" t="s">
        <v>20</v>
      </c>
      <c r="I479" s="67"/>
      <c r="J479" s="67"/>
      <c r="K479" s="233"/>
      <c r="L479" s="53"/>
      <c r="M479" s="53">
        <v>0</v>
      </c>
      <c r="N479" s="53"/>
    </row>
    <row r="480" spans="1:14" ht="21.75" customHeight="1" x14ac:dyDescent="0.4">
      <c r="A480" s="230"/>
      <c r="B480" s="231"/>
      <c r="C480" s="43"/>
      <c r="D480" s="232"/>
      <c r="E480" s="45"/>
      <c r="F480" s="45"/>
      <c r="G480" s="46" t="s">
        <v>114</v>
      </c>
      <c r="H480" s="47" t="s">
        <v>20</v>
      </c>
      <c r="I480" s="67"/>
      <c r="J480" s="67"/>
      <c r="K480" s="233"/>
      <c r="L480" s="53"/>
      <c r="M480" s="54">
        <v>0</v>
      </c>
      <c r="N480" s="53"/>
    </row>
    <row r="481" spans="1:14" ht="21.75" customHeight="1" x14ac:dyDescent="0.4">
      <c r="A481" s="230"/>
      <c r="B481" s="231"/>
      <c r="C481" s="43"/>
      <c r="D481" s="232"/>
      <c r="E481" s="45"/>
      <c r="F481" s="45"/>
      <c r="G481" s="46" t="s">
        <v>115</v>
      </c>
      <c r="H481" s="47" t="s">
        <v>20</v>
      </c>
      <c r="I481" s="67"/>
      <c r="J481" s="67"/>
      <c r="K481" s="233"/>
      <c r="L481" s="53"/>
      <c r="M481" s="54">
        <v>240</v>
      </c>
      <c r="N481" s="53"/>
    </row>
    <row r="482" spans="1:14" ht="21.75" customHeight="1" x14ac:dyDescent="0.4">
      <c r="A482" s="316"/>
      <c r="B482" s="51"/>
      <c r="C482" s="43"/>
      <c r="D482" s="155"/>
      <c r="E482" s="74" t="s">
        <v>197</v>
      </c>
      <c r="F482" s="75"/>
      <c r="G482" s="76"/>
      <c r="H482" s="60" t="s">
        <v>15</v>
      </c>
      <c r="I482" s="200">
        <f ca="1">IFERROR(__xludf.DUMMYFUNCTION("IMPORTRANGE(""https://docs.google.com/spreadsheets/d/1C3CXT74ZlgGe6_JY_1olB1XN4rF0dxEuIIF-xsYjHgg/edit?usp=sharing"",""งบกองทุน!Em28"")"),24)</f>
        <v>24</v>
      </c>
      <c r="J482" s="67">
        <f ca="1">IFERROR(__xludf.DUMMYFUNCTION("IMPORTRANGE(""https://docs.google.com/spreadsheets/d/1AGHcLOeeYFL3K4b9R1dSzyJy00PE_ra89DNTVfnxSWM/edit?usp=sharing"",""รวมที่ชุมชน!G17"")"),2)</f>
        <v>2</v>
      </c>
      <c r="K482" s="49">
        <f t="shared" ref="K482:K489" ca="1" si="109">IF(I482&gt;0,J482*100/I482,0)</f>
        <v>8.3333333333333339</v>
      </c>
      <c r="L482" s="61"/>
      <c r="M482" s="61"/>
      <c r="N482" s="61"/>
    </row>
    <row r="483" spans="1:14" ht="21.75" customHeight="1" x14ac:dyDescent="0.4">
      <c r="A483" s="316"/>
      <c r="B483" s="51"/>
      <c r="C483" s="43"/>
      <c r="D483" s="155"/>
      <c r="E483" s="75"/>
      <c r="F483" s="75"/>
      <c r="G483" s="76"/>
      <c r="H483" s="60" t="s">
        <v>103</v>
      </c>
      <c r="I483" s="200">
        <f ca="1">IFERROR(__xludf.DUMMYFUNCTION("IMPORTRANGE(""https://docs.google.com/spreadsheets/d/1C3CXT74ZlgGe6_JY_1olB1XN4rF0dxEuIIF-xsYjHgg/edit?usp=sharing"",""งบกองทุน!En28"")"),0)</f>
        <v>0</v>
      </c>
      <c r="J483" s="67">
        <f ca="1">IFERROR(__xludf.DUMMYFUNCTION("IMPORTRANGE(""https://docs.google.com/spreadsheets/d/1AGHcLOeeYFL3K4b9R1dSzyJy00PE_ra89DNTVfnxSWM/edit?usp=sharing"",""รวมที่ชุมชน!H17"")"),23.57)</f>
        <v>23.57</v>
      </c>
      <c r="K483" s="49">
        <f t="shared" ca="1" si="109"/>
        <v>0</v>
      </c>
      <c r="L483" s="61"/>
      <c r="M483" s="61"/>
      <c r="N483" s="61"/>
    </row>
    <row r="484" spans="1:14" ht="21.75" customHeight="1" x14ac:dyDescent="0.4">
      <c r="A484" s="316"/>
      <c r="B484" s="51"/>
      <c r="C484" s="43"/>
      <c r="D484" s="155"/>
      <c r="E484" s="74" t="s">
        <v>104</v>
      </c>
      <c r="F484" s="75"/>
      <c r="G484" s="76"/>
      <c r="H484" s="60" t="s">
        <v>16</v>
      </c>
      <c r="I484" s="200">
        <f ca="1">IFERROR(__xludf.DUMMYFUNCTION("IMPORTRANGE(""https://docs.google.com/spreadsheets/d/1C3CXT74ZlgGe6_JY_1olB1XN4rF0dxEuIIF-xsYjHgg/edit?usp=sharing"",""งบกองทุน!Eo28"")"),24)</f>
        <v>24</v>
      </c>
      <c r="J484" s="67">
        <f ca="1">IFERROR(__xludf.DUMMYFUNCTION("IMPORTRANGE(""https://docs.google.com/spreadsheets/d/1AGHcLOeeYFL3K4b9R1dSzyJy00PE_ra89DNTVfnxSWM/edit?usp=sharing"",""รวมที่ชุมชน!J17"")"),0)</f>
        <v>0</v>
      </c>
      <c r="K484" s="49">
        <f t="shared" ca="1" si="109"/>
        <v>0</v>
      </c>
      <c r="L484" s="61"/>
      <c r="M484" s="61"/>
      <c r="N484" s="61"/>
    </row>
    <row r="485" spans="1:14" ht="21.75" customHeight="1" x14ac:dyDescent="0.4">
      <c r="A485" s="316"/>
      <c r="B485" s="51"/>
      <c r="C485" s="43"/>
      <c r="D485" s="155"/>
      <c r="E485" s="75"/>
      <c r="F485" s="75"/>
      <c r="G485" s="76"/>
      <c r="H485" s="60" t="s">
        <v>103</v>
      </c>
      <c r="I485" s="200">
        <f ca="1">IFERROR(__xludf.DUMMYFUNCTION("IMPORTRANGE(""https://docs.google.com/spreadsheets/d/1C3CXT74ZlgGe6_JY_1olB1XN4rF0dxEuIIF-xsYjHgg/edit?usp=sharing"",""งบกองทุน!Ep28"")"),0)</f>
        <v>0</v>
      </c>
      <c r="J485" s="67">
        <f ca="1">IFERROR(__xludf.DUMMYFUNCTION("IMPORTRANGE(""https://docs.google.com/spreadsheets/d/1AGHcLOeeYFL3K4b9R1dSzyJy00PE_ra89DNTVfnxSWM/edit?usp=sharing"",""รวมที่ชุมชน!L17"")"),0)</f>
        <v>0</v>
      </c>
      <c r="K485" s="49">
        <f t="shared" ca="1" si="109"/>
        <v>0</v>
      </c>
      <c r="L485" s="61"/>
      <c r="M485" s="61"/>
      <c r="N485" s="61"/>
    </row>
    <row r="486" spans="1:14" ht="21.75" customHeight="1" x14ac:dyDescent="0.4">
      <c r="A486" s="316"/>
      <c r="B486" s="51"/>
      <c r="C486" s="43"/>
      <c r="D486" s="155"/>
      <c r="E486" s="74" t="s">
        <v>105</v>
      </c>
      <c r="F486" s="75"/>
      <c r="G486" s="76"/>
      <c r="H486" s="60" t="s">
        <v>16</v>
      </c>
      <c r="I486" s="200">
        <f ca="1">IFERROR(__xludf.DUMMYFUNCTION("IMPORTRANGE(""https://docs.google.com/spreadsheets/d/1C3CXT74ZlgGe6_JY_1olB1XN4rF0dxEuIIF-xsYjHgg/edit?usp=sharing"",""งบกองทุน!Eq28"")"),24)</f>
        <v>24</v>
      </c>
      <c r="J486" s="67">
        <f ca="1">IFERROR(__xludf.DUMMYFUNCTION("IMPORTRANGE(""https://docs.google.com/spreadsheets/d/1AGHcLOeeYFL3K4b9R1dSzyJy00PE_ra89DNTVfnxSWM/edit?usp=sharing"",""รวมที่ชุมชน!S17"")"),0)</f>
        <v>0</v>
      </c>
      <c r="K486" s="49">
        <f t="shared" ca="1" si="109"/>
        <v>0</v>
      </c>
      <c r="L486" s="61"/>
      <c r="M486" s="61"/>
      <c r="N486" s="61"/>
    </row>
    <row r="487" spans="1:14" ht="21.75" customHeight="1" x14ac:dyDescent="0.4">
      <c r="A487" s="316"/>
      <c r="B487" s="51"/>
      <c r="C487" s="43"/>
      <c r="D487" s="155"/>
      <c r="E487" s="75"/>
      <c r="F487" s="75"/>
      <c r="G487" s="76"/>
      <c r="H487" s="60" t="s">
        <v>103</v>
      </c>
      <c r="I487" s="200">
        <f ca="1">IFERROR(__xludf.DUMMYFUNCTION("IMPORTRANGE(""https://docs.google.com/spreadsheets/d/1C3CXT74ZlgGe6_JY_1olB1XN4rF0dxEuIIF-xsYjHgg/edit?usp=sharing"",""งบกองทุน!Er28"")"),0)</f>
        <v>0</v>
      </c>
      <c r="J487" s="67">
        <f ca="1">IFERROR(__xludf.DUMMYFUNCTION("IMPORTRANGE(""https://docs.google.com/spreadsheets/d/1AGHcLOeeYFL3K4b9R1dSzyJy00PE_ra89DNTVfnxSWM/edit?usp=sharing"",""รวมที่ชุมชน!U17"")"),0)</f>
        <v>0</v>
      </c>
      <c r="K487" s="49">
        <f t="shared" ca="1" si="109"/>
        <v>0</v>
      </c>
      <c r="L487" s="61"/>
      <c r="M487" s="61"/>
      <c r="N487" s="61"/>
    </row>
    <row r="488" spans="1:14" ht="21.75" customHeight="1" x14ac:dyDescent="0.4">
      <c r="A488" s="316"/>
      <c r="B488" s="51"/>
      <c r="C488" s="43"/>
      <c r="D488" s="155"/>
      <c r="E488" s="74" t="s">
        <v>106</v>
      </c>
      <c r="F488" s="75"/>
      <c r="G488" s="76"/>
      <c r="H488" s="60" t="s">
        <v>16</v>
      </c>
      <c r="I488" s="200">
        <f ca="1">IFERROR(__xludf.DUMMYFUNCTION("IMPORTRANGE(""https://docs.google.com/spreadsheets/d/1C3CXT74ZlgGe6_JY_1olB1XN4rF0dxEuIIF-xsYjHgg/edit?usp=sharing"",""งบกองทุน!Es28"")"),24)</f>
        <v>24</v>
      </c>
      <c r="J488" s="67">
        <f ca="1">IFERROR(__xludf.DUMMYFUNCTION("IMPORTRANGE(""https://docs.google.com/spreadsheets/d/1AGHcLOeeYFL3K4b9R1dSzyJy00PE_ra89DNTVfnxSWM/edit?usp=sharing"",""รวมที่ชุมชน!V17"")"),0)</f>
        <v>0</v>
      </c>
      <c r="K488" s="49">
        <f t="shared" ca="1" si="109"/>
        <v>0</v>
      </c>
      <c r="L488" s="61"/>
      <c r="M488" s="61"/>
      <c r="N488" s="61"/>
    </row>
    <row r="489" spans="1:14" ht="21.75" customHeight="1" x14ac:dyDescent="0.4">
      <c r="A489" s="317"/>
      <c r="B489" s="318"/>
      <c r="C489" s="319"/>
      <c r="D489" s="320"/>
      <c r="E489" s="295"/>
      <c r="F489" s="295"/>
      <c r="G489" s="296"/>
      <c r="H489" s="321" t="s">
        <v>103</v>
      </c>
      <c r="I489" s="322">
        <f ca="1">IFERROR(__xludf.DUMMYFUNCTION("IMPORTRANGE(""https://docs.google.com/spreadsheets/d/1C3CXT74ZlgGe6_JY_1olB1XN4rF0dxEuIIF-xsYjHgg/edit?usp=sharing"",""งบกองทุน!Et28"")"),0)</f>
        <v>0</v>
      </c>
      <c r="J489" s="112">
        <f ca="1">IFERROR(__xludf.DUMMYFUNCTION("IMPORTRANGE(""https://docs.google.com/spreadsheets/d/1AGHcLOeeYFL3K4b9R1dSzyJy00PE_ra89DNTVfnxSWM/edit?usp=sharing"",""รวมที่ชุมชน!X17"")"),0)</f>
        <v>0</v>
      </c>
      <c r="K489" s="114">
        <f t="shared" ca="1" si="109"/>
        <v>0</v>
      </c>
      <c r="L489" s="300"/>
      <c r="M489" s="300"/>
      <c r="N489" s="300"/>
    </row>
    <row r="490" spans="1:14" ht="21.75" customHeight="1" x14ac:dyDescent="0.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10">I504</f>
        <v>50</v>
      </c>
      <c r="J490" s="375">
        <f t="shared" si="110"/>
        <v>0</v>
      </c>
      <c r="K490" s="301">
        <f ca="1">IF(I490&gt;0,J490*100/I490,0)</f>
        <v>0</v>
      </c>
      <c r="L490" s="259">
        <f ca="1">SUM(L491,L492)</f>
        <v>4550</v>
      </c>
      <c r="M490" s="259">
        <f>SUM(M491:M492)</f>
        <v>400</v>
      </c>
      <c r="N490" s="259">
        <f t="shared" ref="N490:N494" ca="1" si="111">+IF(L490&gt;0,M490*100/L490,0)</f>
        <v>8.791208791208792</v>
      </c>
    </row>
    <row r="491" spans="1:14" ht="21.75" customHeight="1" x14ac:dyDescent="0.4">
      <c r="A491" s="42"/>
      <c r="B491" s="43"/>
      <c r="C491" s="43" t="s">
        <v>17</v>
      </c>
      <c r="D491" s="44" t="s">
        <v>18</v>
      </c>
      <c r="E491" s="45"/>
      <c r="F491" s="45"/>
      <c r="G491" s="46" t="s">
        <v>19</v>
      </c>
      <c r="H491" s="47" t="s">
        <v>20</v>
      </c>
      <c r="I491" s="48" t="s">
        <v>21</v>
      </c>
      <c r="J491" s="48"/>
      <c r="K491" s="49"/>
      <c r="L491" s="50">
        <v>0</v>
      </c>
      <c r="M491" s="53">
        <v>0</v>
      </c>
      <c r="N491" s="53">
        <f t="shared" si="111"/>
        <v>0</v>
      </c>
    </row>
    <row r="492" spans="1:14" ht="21.75" customHeight="1" x14ac:dyDescent="0.4">
      <c r="A492" s="42"/>
      <c r="B492" s="43"/>
      <c r="C492" s="43"/>
      <c r="D492" s="51"/>
      <c r="E492" s="45"/>
      <c r="F492" s="45" t="s">
        <v>21</v>
      </c>
      <c r="G492" s="46" t="s">
        <v>22</v>
      </c>
      <c r="H492" s="47" t="s">
        <v>20</v>
      </c>
      <c r="I492" s="48"/>
      <c r="J492" s="48"/>
      <c r="K492" s="49"/>
      <c r="L492" s="50">
        <f t="shared" ref="L492:M492" ca="1" si="112">SUM(L493:L494)</f>
        <v>4550</v>
      </c>
      <c r="M492" s="53">
        <f t="shared" si="112"/>
        <v>400</v>
      </c>
      <c r="N492" s="53">
        <f t="shared" ca="1" si="111"/>
        <v>8.791208791208792</v>
      </c>
    </row>
    <row r="493" spans="1:14" ht="21.75" customHeight="1" x14ac:dyDescent="0.4">
      <c r="A493" s="42"/>
      <c r="B493" s="43"/>
      <c r="C493" s="43"/>
      <c r="D493" s="51"/>
      <c r="E493" s="45"/>
      <c r="F493" s="45"/>
      <c r="G493" s="52" t="s">
        <v>110</v>
      </c>
      <c r="H493" s="47" t="s">
        <v>20</v>
      </c>
      <c r="I493" s="48"/>
      <c r="J493" s="48"/>
      <c r="K493" s="49"/>
      <c r="L493" s="53">
        <f ca="1">IFERROR(__xludf.DUMMYFUNCTION("IMPORTRANGE(""https://docs.google.com/spreadsheets/d/1C3CXT74ZlgGe6_JY_1olB1XN4rF0dxEuIIF-xsYjHgg/edit?usp=sharing"",""งบกองทุน!Ev28"")"),0)</f>
        <v>0</v>
      </c>
      <c r="M493" s="53">
        <v>0</v>
      </c>
      <c r="N493" s="53">
        <f t="shared" ca="1" si="111"/>
        <v>0</v>
      </c>
    </row>
    <row r="494" spans="1:14" ht="21.75" customHeight="1" x14ac:dyDescent="0.4">
      <c r="A494" s="42"/>
      <c r="B494" s="43"/>
      <c r="C494" s="43"/>
      <c r="D494" s="51"/>
      <c r="E494" s="45"/>
      <c r="F494" s="45"/>
      <c r="G494" s="52" t="s">
        <v>111</v>
      </c>
      <c r="H494" s="47" t="s">
        <v>20</v>
      </c>
      <c r="I494" s="48"/>
      <c r="J494" s="48"/>
      <c r="K494" s="49"/>
      <c r="L494" s="53">
        <f ca="1">IFERROR(__xludf.DUMMYFUNCTION("IMPORTRANGE(""https://docs.google.com/spreadsheets/d/1C3CXT74ZlgGe6_JY_1olB1XN4rF0dxEuIIF-xsYjHgg/edit?usp=sharing"",""งบกองทุน!Ew28"")"),4550)</f>
        <v>4550</v>
      </c>
      <c r="M494" s="53">
        <f>SUM(M495:M498)</f>
        <v>400</v>
      </c>
      <c r="N494" s="53">
        <f t="shared" ca="1" si="111"/>
        <v>8.791208791208792</v>
      </c>
    </row>
    <row r="495" spans="1:14" ht="21.75" customHeight="1" x14ac:dyDescent="0.4">
      <c r="A495" s="230"/>
      <c r="B495" s="231"/>
      <c r="C495" s="43"/>
      <c r="D495" s="232"/>
      <c r="E495" s="45"/>
      <c r="F495" s="45"/>
      <c r="G495" s="46" t="s">
        <v>112</v>
      </c>
      <c r="H495" s="47" t="s">
        <v>20</v>
      </c>
      <c r="I495" s="67"/>
      <c r="J495" s="67"/>
      <c r="K495" s="233"/>
      <c r="L495" s="53"/>
      <c r="M495" s="53">
        <v>0</v>
      </c>
      <c r="N495" s="53"/>
    </row>
    <row r="496" spans="1:14" ht="21.75" customHeight="1" x14ac:dyDescent="0.4">
      <c r="A496" s="230"/>
      <c r="B496" s="231"/>
      <c r="C496" s="43"/>
      <c r="D496" s="232"/>
      <c r="E496" s="45"/>
      <c r="F496" s="45"/>
      <c r="G496" s="46" t="s">
        <v>113</v>
      </c>
      <c r="H496" s="47" t="s">
        <v>20</v>
      </c>
      <c r="I496" s="67"/>
      <c r="J496" s="67"/>
      <c r="K496" s="233"/>
      <c r="L496" s="53"/>
      <c r="M496" s="53">
        <v>0</v>
      </c>
      <c r="N496" s="53"/>
    </row>
    <row r="497" spans="1:14" ht="21.75" customHeight="1" x14ac:dyDescent="0.4">
      <c r="A497" s="230"/>
      <c r="B497" s="231"/>
      <c r="C497" s="43"/>
      <c r="D497" s="232"/>
      <c r="E497" s="45"/>
      <c r="F497" s="45"/>
      <c r="G497" s="46" t="s">
        <v>114</v>
      </c>
      <c r="H497" s="47" t="s">
        <v>20</v>
      </c>
      <c r="I497" s="67"/>
      <c r="J497" s="67"/>
      <c r="K497" s="233"/>
      <c r="L497" s="53"/>
      <c r="M497" s="54">
        <v>0</v>
      </c>
      <c r="N497" s="53"/>
    </row>
    <row r="498" spans="1:14" ht="21.75" customHeight="1" x14ac:dyDescent="0.4">
      <c r="A498" s="230"/>
      <c r="B498" s="231"/>
      <c r="C498" s="43"/>
      <c r="D498" s="232"/>
      <c r="E498" s="45"/>
      <c r="F498" s="45"/>
      <c r="G498" s="46" t="s">
        <v>115</v>
      </c>
      <c r="H498" s="47" t="s">
        <v>20</v>
      </c>
      <c r="I498" s="67"/>
      <c r="J498" s="67"/>
      <c r="K498" s="233"/>
      <c r="L498" s="53"/>
      <c r="M498" s="54">
        <v>400</v>
      </c>
      <c r="N498" s="53"/>
    </row>
    <row r="499" spans="1:14" ht="21.75" customHeight="1" x14ac:dyDescent="0.4">
      <c r="A499" s="55"/>
      <c r="B499" s="56"/>
      <c r="C499" s="43" t="s">
        <v>17</v>
      </c>
      <c r="D499" s="57" t="s">
        <v>25</v>
      </c>
      <c r="E499" s="58"/>
      <c r="F499" s="58"/>
      <c r="G499" s="59"/>
      <c r="H499" s="60"/>
      <c r="I499" s="48"/>
      <c r="J499" s="48"/>
      <c r="K499" s="49"/>
      <c r="L499" s="61"/>
      <c r="M499" s="61"/>
      <c r="N499" s="61"/>
    </row>
    <row r="500" spans="1:14" ht="21.75" customHeight="1" x14ac:dyDescent="0.4">
      <c r="A500" s="55"/>
      <c r="B500" s="56"/>
      <c r="C500" s="56"/>
      <c r="D500" s="62">
        <v>1</v>
      </c>
      <c r="E500" s="63" t="s">
        <v>26</v>
      </c>
      <c r="F500" s="64"/>
      <c r="G500" s="65"/>
      <c r="H500" s="66"/>
      <c r="I500" s="67"/>
      <c r="J500" s="68">
        <v>0</v>
      </c>
      <c r="K500" s="49"/>
      <c r="L500" s="61"/>
      <c r="M500" s="61"/>
      <c r="N500" s="61"/>
    </row>
    <row r="501" spans="1:14" ht="21.75" customHeight="1" x14ac:dyDescent="0.4">
      <c r="A501" s="55"/>
      <c r="B501" s="56"/>
      <c r="C501" s="56"/>
      <c r="D501" s="69">
        <v>2</v>
      </c>
      <c r="E501" s="70" t="s">
        <v>27</v>
      </c>
      <c r="F501" s="71"/>
      <c r="G501" s="72"/>
      <c r="H501" s="66"/>
      <c r="I501" s="67"/>
      <c r="J501" s="68">
        <v>0</v>
      </c>
      <c r="K501" s="49"/>
      <c r="L501" s="61" t="s">
        <v>21</v>
      </c>
      <c r="M501" s="61" t="s">
        <v>21</v>
      </c>
      <c r="N501" s="61"/>
    </row>
    <row r="502" spans="1:14" ht="21.75" hidden="1" customHeight="1" x14ac:dyDescent="0.4">
      <c r="A502" s="376"/>
      <c r="B502" s="377"/>
      <c r="C502" s="377"/>
      <c r="D502" s="378"/>
      <c r="E502" s="379" t="s">
        <v>28</v>
      </c>
      <c r="F502" s="380"/>
      <c r="G502" s="381"/>
      <c r="H502" s="330"/>
      <c r="I502" s="331"/>
      <c r="J502" s="331">
        <v>0</v>
      </c>
      <c r="K502" s="382"/>
      <c r="L502" s="383"/>
      <c r="M502" s="383"/>
      <c r="N502" s="383"/>
    </row>
    <row r="503" spans="1:14" ht="21.75" hidden="1" customHeight="1" x14ac:dyDescent="0.4">
      <c r="A503" s="376"/>
      <c r="B503" s="377"/>
      <c r="C503" s="377"/>
      <c r="D503" s="378"/>
      <c r="E503" s="379" t="s">
        <v>29</v>
      </c>
      <c r="F503" s="380"/>
      <c r="G503" s="381"/>
      <c r="H503" s="330"/>
      <c r="I503" s="331"/>
      <c r="J503" s="331">
        <v>0</v>
      </c>
      <c r="K503" s="382"/>
      <c r="L503" s="383"/>
      <c r="M503" s="383"/>
      <c r="N503" s="383"/>
    </row>
    <row r="504" spans="1:14" ht="21.75" customHeight="1" x14ac:dyDescent="0.4">
      <c r="A504" s="55"/>
      <c r="B504" s="56"/>
      <c r="C504" s="56"/>
      <c r="D504" s="73"/>
      <c r="E504" s="75"/>
      <c r="F504" s="75" t="s">
        <v>199</v>
      </c>
      <c r="G504" s="76"/>
      <c r="H504" s="60" t="s">
        <v>103</v>
      </c>
      <c r="I504" s="67">
        <f ca="1">IFERROR(__xludf.DUMMYFUNCTION("IMPORTRANGE(""https://docs.google.com/spreadsheets/d/1C3CXT74ZlgGe6_JY_1olB1XN4rF0dxEuIIF-xsYjHgg/edit?usp=sharing"",""งบกองทุน!EZ28"")"),50)</f>
        <v>50</v>
      </c>
      <c r="J504" s="48">
        <f>+J510</f>
        <v>0</v>
      </c>
      <c r="K504" s="49">
        <f t="shared" ref="K504:K512" ca="1" si="113">IF(I$504&gt;0,J504*100/I$504,0)</f>
        <v>0</v>
      </c>
      <c r="L504" s="61"/>
      <c r="M504" s="61"/>
      <c r="N504" s="61"/>
    </row>
    <row r="505" spans="1:14" ht="21.75" customHeight="1" x14ac:dyDescent="0.4">
      <c r="A505" s="55"/>
      <c r="B505" s="56"/>
      <c r="C505" s="56"/>
      <c r="D505" s="73"/>
      <c r="E505" s="77"/>
      <c r="F505" s="75"/>
      <c r="G505" s="99" t="s">
        <v>200</v>
      </c>
      <c r="H505" s="60" t="s">
        <v>103</v>
      </c>
      <c r="I505" s="67">
        <v>0</v>
      </c>
      <c r="J505" s="68">
        <v>0</v>
      </c>
      <c r="K505" s="49">
        <f t="shared" ca="1" si="113"/>
        <v>0</v>
      </c>
      <c r="L505" s="61"/>
      <c r="M505" s="61"/>
      <c r="N505" s="61"/>
    </row>
    <row r="506" spans="1:14" ht="21.75" customHeight="1" x14ac:dyDescent="0.4">
      <c r="A506" s="55"/>
      <c r="B506" s="56"/>
      <c r="C506" s="56"/>
      <c r="D506" s="73"/>
      <c r="E506" s="77"/>
      <c r="F506" s="75"/>
      <c r="G506" s="99" t="s">
        <v>201</v>
      </c>
      <c r="H506" s="60" t="s">
        <v>103</v>
      </c>
      <c r="I506" s="67">
        <v>0</v>
      </c>
      <c r="J506" s="68">
        <v>0</v>
      </c>
      <c r="K506" s="49">
        <f t="shared" ca="1" si="113"/>
        <v>0</v>
      </c>
      <c r="L506" s="61"/>
      <c r="M506" s="61"/>
      <c r="N506" s="61"/>
    </row>
    <row r="507" spans="1:14" ht="21.75" customHeight="1" x14ac:dyDescent="0.4">
      <c r="A507" s="55"/>
      <c r="B507" s="56"/>
      <c r="C507" s="56"/>
      <c r="D507" s="73"/>
      <c r="E507" s="77"/>
      <c r="F507" s="75"/>
      <c r="G507" s="99" t="s">
        <v>202</v>
      </c>
      <c r="H507" s="60" t="s">
        <v>103</v>
      </c>
      <c r="I507" s="67">
        <v>0</v>
      </c>
      <c r="J507" s="68">
        <v>0</v>
      </c>
      <c r="K507" s="49">
        <f t="shared" ca="1" si="113"/>
        <v>0</v>
      </c>
      <c r="L507" s="61"/>
      <c r="M507" s="61"/>
      <c r="N507" s="61"/>
    </row>
    <row r="508" spans="1:14" ht="21.75" customHeight="1" x14ac:dyDescent="0.4">
      <c r="A508" s="55"/>
      <c r="B508" s="56"/>
      <c r="C508" s="56"/>
      <c r="D508" s="73"/>
      <c r="E508" s="77"/>
      <c r="F508" s="75"/>
      <c r="G508" s="99" t="s">
        <v>203</v>
      </c>
      <c r="H508" s="60" t="s">
        <v>103</v>
      </c>
      <c r="I508" s="67">
        <v>0</v>
      </c>
      <c r="J508" s="68">
        <v>0</v>
      </c>
      <c r="K508" s="49">
        <f t="shared" ca="1" si="113"/>
        <v>0</v>
      </c>
      <c r="L508" s="61"/>
      <c r="M508" s="61"/>
      <c r="N508" s="61"/>
    </row>
    <row r="509" spans="1:14" ht="21.75" customHeight="1" x14ac:dyDescent="0.4">
      <c r="A509" s="55"/>
      <c r="B509" s="56"/>
      <c r="C509" s="56"/>
      <c r="D509" s="73"/>
      <c r="E509" s="77"/>
      <c r="F509" s="75"/>
      <c r="G509" s="74" t="s">
        <v>204</v>
      </c>
      <c r="H509" s="60" t="s">
        <v>103</v>
      </c>
      <c r="I509" s="67">
        <v>0</v>
      </c>
      <c r="J509" s="68">
        <v>0</v>
      </c>
      <c r="K509" s="49">
        <f t="shared" ca="1" si="113"/>
        <v>0</v>
      </c>
      <c r="L509" s="61"/>
      <c r="M509" s="61"/>
      <c r="N509" s="61"/>
    </row>
    <row r="510" spans="1:14" ht="21.75" customHeight="1" x14ac:dyDescent="0.4">
      <c r="A510" s="55"/>
      <c r="B510" s="56"/>
      <c r="C510" s="56"/>
      <c r="D510" s="73"/>
      <c r="E510" s="77"/>
      <c r="F510" s="75"/>
      <c r="G510" s="74" t="s">
        <v>205</v>
      </c>
      <c r="H510" s="60" t="s">
        <v>103</v>
      </c>
      <c r="I510" s="67">
        <f t="shared" ref="I510:J510" si="114">I511+I512</f>
        <v>0</v>
      </c>
      <c r="J510" s="67">
        <f t="shared" si="114"/>
        <v>0</v>
      </c>
      <c r="K510" s="49">
        <f t="shared" ca="1" si="113"/>
        <v>0</v>
      </c>
      <c r="L510" s="61"/>
      <c r="M510" s="61"/>
      <c r="N510" s="61"/>
    </row>
    <row r="511" spans="1:14" ht="21.75" customHeight="1" x14ac:dyDescent="0.4">
      <c r="A511" s="55"/>
      <c r="B511" s="56"/>
      <c r="C511" s="56"/>
      <c r="D511" s="73"/>
      <c r="E511" s="77"/>
      <c r="F511" s="75"/>
      <c r="G511" s="334" t="s">
        <v>206</v>
      </c>
      <c r="H511" s="60" t="s">
        <v>103</v>
      </c>
      <c r="I511" s="67">
        <v>0</v>
      </c>
      <c r="J511" s="68">
        <v>0</v>
      </c>
      <c r="K511" s="49">
        <f t="shared" ca="1" si="113"/>
        <v>0</v>
      </c>
      <c r="L511" s="61"/>
      <c r="M511" s="61"/>
      <c r="N511" s="61"/>
    </row>
    <row r="512" spans="1:14" ht="21.75" customHeight="1" x14ac:dyDescent="0.4">
      <c r="A512" s="55"/>
      <c r="B512" s="56"/>
      <c r="C512" s="56"/>
      <c r="D512" s="73"/>
      <c r="E512" s="77"/>
      <c r="F512" s="75"/>
      <c r="G512" s="334" t="s">
        <v>207</v>
      </c>
      <c r="H512" s="60" t="s">
        <v>103</v>
      </c>
      <c r="I512" s="67">
        <v>0</v>
      </c>
      <c r="J512" s="68">
        <v>0</v>
      </c>
      <c r="K512" s="49">
        <f t="shared" ca="1" si="113"/>
        <v>0</v>
      </c>
      <c r="L512" s="61"/>
      <c r="M512" s="61"/>
      <c r="N512" s="61"/>
    </row>
    <row r="513" spans="1:14" ht="21.75" customHeight="1" x14ac:dyDescent="0.4">
      <c r="A513" s="55"/>
      <c r="B513" s="56"/>
      <c r="C513" s="56"/>
      <c r="D513" s="73"/>
      <c r="E513" s="75"/>
      <c r="F513" s="74" t="s">
        <v>208</v>
      </c>
      <c r="G513" s="76"/>
      <c r="H513" s="60" t="s">
        <v>103</v>
      </c>
      <c r="I513" s="67">
        <f ca="1">IFERROR(__xludf.DUMMYFUNCTION("IMPORTRANGE(""https://docs.google.com/spreadsheets/d/1C3CXT74ZlgGe6_JY_1olB1XN4rF0dxEuIIF-xsYjHgg/edit?usp=sharing"",""งบกองทุน!ff28"")"),32)</f>
        <v>32</v>
      </c>
      <c r="J513" s="48">
        <f>J514</f>
        <v>0</v>
      </c>
      <c r="K513" s="49">
        <f t="shared" ref="K513:K519" ca="1" si="115">IF(I$513&gt;0,J513*100/I$513,0)</f>
        <v>0</v>
      </c>
      <c r="L513" s="61"/>
      <c r="M513" s="61"/>
      <c r="N513" s="61"/>
    </row>
    <row r="514" spans="1:14" ht="21.75" customHeight="1" x14ac:dyDescent="0.4">
      <c r="A514" s="55"/>
      <c r="B514" s="56"/>
      <c r="C514" s="56"/>
      <c r="D514" s="73"/>
      <c r="E514" s="77"/>
      <c r="F514" s="75"/>
      <c r="G514" s="99" t="s">
        <v>205</v>
      </c>
      <c r="H514" s="60" t="s">
        <v>103</v>
      </c>
      <c r="I514" s="48">
        <f t="shared" ref="I514:J514" si="116">I515+I516</f>
        <v>0</v>
      </c>
      <c r="J514" s="48">
        <f t="shared" si="116"/>
        <v>0</v>
      </c>
      <c r="K514" s="49">
        <f t="shared" ca="1" si="115"/>
        <v>0</v>
      </c>
      <c r="L514" s="61"/>
      <c r="M514" s="61"/>
      <c r="N514" s="61"/>
    </row>
    <row r="515" spans="1:14" ht="21.75" customHeight="1" x14ac:dyDescent="0.4">
      <c r="A515" s="55"/>
      <c r="B515" s="56"/>
      <c r="C515" s="56"/>
      <c r="D515" s="73"/>
      <c r="E515" s="77"/>
      <c r="F515" s="75"/>
      <c r="G515" s="334" t="s">
        <v>206</v>
      </c>
      <c r="H515" s="60" t="s">
        <v>103</v>
      </c>
      <c r="I515" s="67">
        <v>0</v>
      </c>
      <c r="J515" s="68">
        <v>0</v>
      </c>
      <c r="K515" s="49">
        <f t="shared" ca="1" si="115"/>
        <v>0</v>
      </c>
      <c r="L515" s="61"/>
      <c r="M515" s="61"/>
      <c r="N515" s="61"/>
    </row>
    <row r="516" spans="1:14" ht="21.75" customHeight="1" x14ac:dyDescent="0.4">
      <c r="A516" s="55"/>
      <c r="B516" s="56"/>
      <c r="C516" s="56"/>
      <c r="D516" s="73"/>
      <c r="E516" s="77"/>
      <c r="F516" s="75"/>
      <c r="G516" s="334" t="s">
        <v>207</v>
      </c>
      <c r="H516" s="60" t="s">
        <v>103</v>
      </c>
      <c r="I516" s="67">
        <v>0</v>
      </c>
      <c r="J516" s="68">
        <v>0</v>
      </c>
      <c r="K516" s="49">
        <f t="shared" ca="1" si="115"/>
        <v>0</v>
      </c>
      <c r="L516" s="61"/>
      <c r="M516" s="61"/>
      <c r="N516" s="61"/>
    </row>
    <row r="517" spans="1:14" ht="21.75" customHeight="1" x14ac:dyDescent="0.4">
      <c r="A517" s="55"/>
      <c r="B517" s="56"/>
      <c r="C517" s="56"/>
      <c r="D517" s="73"/>
      <c r="E517" s="77"/>
      <c r="F517" s="75"/>
      <c r="G517" s="99" t="s">
        <v>209</v>
      </c>
      <c r="H517" s="60" t="s">
        <v>103</v>
      </c>
      <c r="I517" s="67">
        <f t="shared" ref="I517:J517" si="117">SUM(I518:I519)</f>
        <v>0</v>
      </c>
      <c r="J517" s="67">
        <f t="shared" si="117"/>
        <v>0</v>
      </c>
      <c r="K517" s="49">
        <f t="shared" ca="1" si="115"/>
        <v>0</v>
      </c>
      <c r="L517" s="61"/>
      <c r="M517" s="61"/>
      <c r="N517" s="61"/>
    </row>
    <row r="518" spans="1:14" ht="21.75" customHeight="1" x14ac:dyDescent="0.4">
      <c r="A518" s="55"/>
      <c r="B518" s="56"/>
      <c r="C518" s="56"/>
      <c r="D518" s="73"/>
      <c r="E518" s="77"/>
      <c r="F518" s="75"/>
      <c r="G518" s="334" t="s">
        <v>210</v>
      </c>
      <c r="H518" s="60" t="s">
        <v>103</v>
      </c>
      <c r="I518" s="67">
        <v>0</v>
      </c>
      <c r="J518" s="68">
        <v>0</v>
      </c>
      <c r="K518" s="49">
        <f t="shared" ca="1" si="115"/>
        <v>0</v>
      </c>
      <c r="L518" s="61"/>
      <c r="M518" s="61"/>
      <c r="N518" s="61"/>
    </row>
    <row r="519" spans="1:14" ht="21.75" customHeight="1" x14ac:dyDescent="0.4">
      <c r="A519" s="55"/>
      <c r="B519" s="56"/>
      <c r="C519" s="56"/>
      <c r="D519" s="73"/>
      <c r="E519" s="77"/>
      <c r="F519" s="75"/>
      <c r="G519" s="334" t="s">
        <v>211</v>
      </c>
      <c r="H519" s="60" t="s">
        <v>103</v>
      </c>
      <c r="I519" s="67">
        <v>0</v>
      </c>
      <c r="J519" s="68">
        <v>0</v>
      </c>
      <c r="K519" s="49">
        <f t="shared" ca="1" si="115"/>
        <v>0</v>
      </c>
      <c r="L519" s="61"/>
      <c r="M519" s="61"/>
      <c r="N519" s="61"/>
    </row>
    <row r="520" spans="1:14" ht="21.75" customHeight="1" x14ac:dyDescent="0.4">
      <c r="A520" s="335" t="s">
        <v>212</v>
      </c>
      <c r="B520" s="336"/>
      <c r="C520" s="336"/>
      <c r="D520" s="336"/>
      <c r="E520" s="336"/>
      <c r="F520" s="336"/>
      <c r="G520" s="337"/>
      <c r="H520" s="338"/>
      <c r="I520" s="339"/>
      <c r="J520" s="339"/>
      <c r="K520" s="340"/>
      <c r="L520" s="340"/>
      <c r="M520" s="340"/>
      <c r="N520" s="341"/>
    </row>
    <row r="521" spans="1:14" ht="21.75" customHeight="1" x14ac:dyDescent="0.4">
      <c r="A521" s="316"/>
      <c r="B521" s="45" t="s">
        <v>213</v>
      </c>
      <c r="C521" s="43"/>
      <c r="D521" s="51"/>
      <c r="E521" s="45"/>
      <c r="F521" s="45"/>
      <c r="G521" s="46"/>
      <c r="H521" s="342" t="s">
        <v>20</v>
      </c>
      <c r="I521" s="200">
        <f ca="1">IFERROR(__xludf.DUMMYFUNCTION("IMPORTRANGE(""https://docs.google.com/spreadsheets/d/1muirlRDkqiswvy_NRZ3Yh955hx-PF6_HhssUYiSJj8o/edit?usp=sharing"",""กองทุน!D28"")"),3890202.58)</f>
        <v>3890202.58</v>
      </c>
      <c r="J521" s="200">
        <f ca="1">IFERROR(__xludf.DUMMYFUNCTION("IMPORTRANGE(""https://docs.google.com/spreadsheets/d/1muirlRDkqiswvy_NRZ3Yh955hx-PF6_HhssUYiSJj8o/edit?usp=sharing"",""กองทุน!F28"")"),34924.94)</f>
        <v>34924.94</v>
      </c>
      <c r="K521" s="201">
        <f t="shared" ref="K521:K528" ca="1" si="118">IF(I521&gt;0,J521*100/I521,0)</f>
        <v>0.89776661450880024</v>
      </c>
      <c r="L521" s="201"/>
      <c r="M521" s="201"/>
      <c r="N521" s="53"/>
    </row>
    <row r="522" spans="1:14" ht="21.75" customHeight="1" x14ac:dyDescent="0.4">
      <c r="A522" s="316"/>
      <c r="B522" s="43"/>
      <c r="C522" s="43"/>
      <c r="D522" s="51"/>
      <c r="E522" s="45"/>
      <c r="F522" s="45"/>
      <c r="G522" s="46"/>
      <c r="H522" s="342" t="s">
        <v>16</v>
      </c>
      <c r="I522" s="200">
        <f ca="1">IFERROR(__xludf.DUMMYFUNCTION("IMPORTRANGE(""https://docs.google.com/spreadsheets/d/1muirlRDkqiswvy_NRZ3Yh955hx-PF6_HhssUYiSJj8o/edit?usp=sharing"",""กองทุน!C28"")"),290)</f>
        <v>290</v>
      </c>
      <c r="J522" s="200">
        <f ca="1">IFERROR(__xludf.DUMMYFUNCTION("IMPORTRANGE(""https://docs.google.com/spreadsheets/d/1muirlRDkqiswvy_NRZ3Yh955hx-PF6_HhssUYiSJj8o/edit?usp=sharing"",""กองทุน!E28"")"),2)</f>
        <v>2</v>
      </c>
      <c r="K522" s="201">
        <f t="shared" ca="1" si="118"/>
        <v>0.68965517241379315</v>
      </c>
      <c r="L522" s="201"/>
      <c r="M522" s="201"/>
      <c r="N522" s="53"/>
    </row>
    <row r="523" spans="1:14" ht="21.75" customHeight="1" x14ac:dyDescent="0.4">
      <c r="A523" s="316"/>
      <c r="B523" s="45" t="s">
        <v>214</v>
      </c>
      <c r="C523" s="43"/>
      <c r="D523" s="51"/>
      <c r="E523" s="45"/>
      <c r="F523" s="45"/>
      <c r="G523" s="46"/>
      <c r="H523" s="342" t="s">
        <v>20</v>
      </c>
      <c r="I523" s="200">
        <f ca="1">IFERROR(__xludf.DUMMYFUNCTION("IMPORTRANGE(""https://docs.google.com/spreadsheets/d/1muirlRDkqiswvy_NRZ3Yh955hx-PF6_HhssUYiSJj8o/edit?usp=sharing"",""กองทุน!I28"")"),2561732.30999999)</f>
        <v>2561732.3099999898</v>
      </c>
      <c r="J523" s="200">
        <f ca="1">IFERROR(__xludf.DUMMYFUNCTION("IMPORTRANGE(""https://docs.google.com/spreadsheets/d/1muirlRDkqiswvy_NRZ3Yh955hx-PF6_HhssUYiSJj8o/edit?usp=sharing"",""กองทุน!K28"")"),42934.41)</f>
        <v>42934.41</v>
      </c>
      <c r="K523" s="201">
        <f t="shared" ca="1" si="118"/>
        <v>1.6759912748260637</v>
      </c>
      <c r="L523" s="201"/>
      <c r="M523" s="201"/>
      <c r="N523" s="53"/>
    </row>
    <row r="524" spans="1:14" ht="21.75" customHeight="1" x14ac:dyDescent="0.4">
      <c r="A524" s="316"/>
      <c r="B524" s="43"/>
      <c r="C524" s="43"/>
      <c r="D524" s="51"/>
      <c r="E524" s="45"/>
      <c r="F524" s="45"/>
      <c r="G524" s="46"/>
      <c r="H524" s="342" t="s">
        <v>16</v>
      </c>
      <c r="I524" s="200">
        <f ca="1">IFERROR(__xludf.DUMMYFUNCTION("IMPORTRANGE(""https://docs.google.com/spreadsheets/d/1muirlRDkqiswvy_NRZ3Yh955hx-PF6_HhssUYiSJj8o/edit?usp=sharing"",""กองทุน!H28"")"),116)</f>
        <v>116</v>
      </c>
      <c r="J524" s="200">
        <f ca="1">IFERROR(__xludf.DUMMYFUNCTION("IMPORTRANGE(""https://docs.google.com/spreadsheets/d/1muirlRDkqiswvy_NRZ3Yh955hx-PF6_HhssUYiSJj8o/edit?usp=sharing"",""กองทุน!J28"")"),5)</f>
        <v>5</v>
      </c>
      <c r="K524" s="201">
        <f t="shared" ca="1" si="118"/>
        <v>4.3103448275862073</v>
      </c>
      <c r="L524" s="201"/>
      <c r="M524" s="201"/>
      <c r="N524" s="53"/>
    </row>
    <row r="525" spans="1:14" ht="21.75" customHeight="1" x14ac:dyDescent="0.4">
      <c r="A525" s="316"/>
      <c r="B525" s="45" t="s">
        <v>215</v>
      </c>
      <c r="C525" s="43"/>
      <c r="D525" s="51"/>
      <c r="E525" s="45"/>
      <c r="F525" s="45"/>
      <c r="G525" s="46"/>
      <c r="H525" s="342" t="s">
        <v>20</v>
      </c>
      <c r="I525" s="200">
        <f ca="1">IFERROR(__xludf.DUMMYFUNCTION("IMPORTRANGE(""https://docs.google.com/spreadsheets/d/1muirlRDkqiswvy_NRZ3Yh955hx-PF6_HhssUYiSJj8o/edit?usp=sharing"",""กองทุน!N28"")"),0)</f>
        <v>0</v>
      </c>
      <c r="J525" s="200">
        <f ca="1">IFERROR(__xludf.DUMMYFUNCTION("IMPORTRANGE(""https://docs.google.com/spreadsheets/d/1muirlRDkqiswvy_NRZ3Yh955hx-PF6_HhssUYiSJj8o/edit?usp=sharing"",""กองทุน!P28"")"),0)</f>
        <v>0</v>
      </c>
      <c r="K525" s="201">
        <f t="shared" ca="1" si="118"/>
        <v>0</v>
      </c>
      <c r="L525" s="201"/>
      <c r="M525" s="201"/>
      <c r="N525" s="53"/>
    </row>
    <row r="526" spans="1:14" ht="21.75" customHeight="1" x14ac:dyDescent="0.4">
      <c r="A526" s="316"/>
      <c r="B526" s="45"/>
      <c r="C526" s="43"/>
      <c r="D526" s="51"/>
      <c r="E526" s="45"/>
      <c r="F526" s="45"/>
      <c r="G526" s="46"/>
      <c r="H526" s="342" t="s">
        <v>16</v>
      </c>
      <c r="I526" s="200">
        <f ca="1">IFERROR(__xludf.DUMMYFUNCTION("IMPORTRANGE(""https://docs.google.com/spreadsheets/d/1muirlRDkqiswvy_NRZ3Yh955hx-PF6_HhssUYiSJj8o/edit?usp=sharing"",""กองทุน!M28"")"),0)</f>
        <v>0</v>
      </c>
      <c r="J526" s="200">
        <f ca="1">IFERROR(__xludf.DUMMYFUNCTION("IMPORTRANGE(""https://docs.google.com/spreadsheets/d/1muirlRDkqiswvy_NRZ3Yh955hx-PF6_HhssUYiSJj8o/edit?usp=sharing"",""กองทุน!O28"")"),0)</f>
        <v>0</v>
      </c>
      <c r="K526" s="201">
        <f t="shared" ca="1" si="118"/>
        <v>0</v>
      </c>
      <c r="L526" s="201"/>
      <c r="M526" s="201"/>
      <c r="N526" s="53"/>
    </row>
    <row r="527" spans="1:14" ht="21.75" customHeight="1" x14ac:dyDescent="0.4">
      <c r="A527" s="316"/>
      <c r="B527" s="45" t="s">
        <v>216</v>
      </c>
      <c r="C527" s="43"/>
      <c r="D527" s="51"/>
      <c r="E527" s="45"/>
      <c r="F527" s="45"/>
      <c r="G527" s="46"/>
      <c r="H527" s="342" t="s">
        <v>20</v>
      </c>
      <c r="I527" s="200">
        <f ca="1">IFERROR(__xludf.DUMMYFUNCTION("IMPORTRANGE(""https://docs.google.com/spreadsheets/d/1muirlRDkqiswvy_NRZ3Yh955hx-PF6_HhssUYiSJj8o/edit?usp=sharing"",""กองทุน!S28"")"),4000000)</f>
        <v>4000000</v>
      </c>
      <c r="J527" s="200">
        <f ca="1">IFERROR(__xludf.DUMMYFUNCTION("IMPORTRANGE(""https://docs.google.com/spreadsheets/d/1muirlRDkqiswvy_NRZ3Yh955hx-PF6_HhssUYiSJj8o/edit?usp=sharing"",""กองทุน!U28"")"),0)</f>
        <v>0</v>
      </c>
      <c r="K527" s="201">
        <f t="shared" ca="1" si="118"/>
        <v>0</v>
      </c>
      <c r="L527" s="201"/>
      <c r="M527" s="201"/>
      <c r="N527" s="53"/>
    </row>
    <row r="528" spans="1:14" ht="21.75" customHeight="1" x14ac:dyDescent="0.4">
      <c r="A528" s="317"/>
      <c r="B528" s="319"/>
      <c r="C528" s="319"/>
      <c r="D528" s="318"/>
      <c r="E528" s="343"/>
      <c r="F528" s="343"/>
      <c r="G528" s="344"/>
      <c r="H528" s="345" t="s">
        <v>16</v>
      </c>
      <c r="I528" s="322">
        <f ca="1">IFERROR(__xludf.DUMMYFUNCTION("IMPORTRANGE(""https://docs.google.com/spreadsheets/d/1muirlRDkqiswvy_NRZ3Yh955hx-PF6_HhssUYiSJj8o/edit?usp=sharing"",""กองทุน!R28"")"),100)</f>
        <v>100</v>
      </c>
      <c r="J528" s="322">
        <f ca="1">IFERROR(__xludf.DUMMYFUNCTION("IMPORTRANGE(""https://docs.google.com/spreadsheets/d/1muirlRDkqiswvy_NRZ3Yh955hx-PF6_HhssUYiSJj8o/edit?usp=sharing"",""กองทุน!T28"")"),0)</f>
        <v>0</v>
      </c>
      <c r="K528" s="323">
        <f t="shared" ca="1" si="118"/>
        <v>0</v>
      </c>
      <c r="L528" s="323"/>
      <c r="M528" s="323"/>
      <c r="N528" s="346"/>
    </row>
    <row r="529" spans="1:14" ht="21.75" customHeight="1" x14ac:dyDescent="0.4">
      <c r="A529" s="347"/>
      <c r="B529" s="347"/>
      <c r="C529" s="347"/>
      <c r="D529" s="347"/>
      <c r="E529" s="348" t="s">
        <v>217</v>
      </c>
      <c r="F529" s="348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&amp;P/&amp;N&amp;R&amp;F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  <pageSetUpPr fitToPage="1"/>
  </sheetPr>
  <dimension ref="A1:N1036"/>
  <sheetViews>
    <sheetView view="pageBreakPreview" zoomScale="60" zoomScaleNormal="100" workbookViewId="0">
      <selection activeCell="L18" sqref="L18"/>
    </sheetView>
  </sheetViews>
  <sheetFormatPr defaultColWidth="12.625" defaultRowHeight="15" customHeight="1" x14ac:dyDescent="0.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4">
      <c r="A1" s="403" t="s">
        <v>0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</row>
    <row r="2" spans="1:14" ht="18" customHeight="1" x14ac:dyDescent="0.4">
      <c r="A2" s="403" t="s">
        <v>238</v>
      </c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404"/>
    </row>
    <row r="3" spans="1:14" ht="18" customHeight="1" x14ac:dyDescent="0.4">
      <c r="A3" s="403" t="s">
        <v>249</v>
      </c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04"/>
    </row>
    <row r="4" spans="1:14" ht="33.75" customHeight="1" x14ac:dyDescent="0.4">
      <c r="A4" s="2"/>
      <c r="B4" s="2"/>
      <c r="C4" s="2"/>
      <c r="D4" s="2"/>
      <c r="E4" s="2"/>
      <c r="F4" s="2"/>
      <c r="G4" s="2"/>
      <c r="H4" s="2"/>
      <c r="I4" s="2"/>
      <c r="J4" s="354" t="s">
        <v>2</v>
      </c>
      <c r="K4" s="4"/>
      <c r="L4" s="5"/>
      <c r="M4" s="355" t="s">
        <v>3</v>
      </c>
      <c r="N4" s="2"/>
    </row>
    <row r="5" spans="1:14" ht="21.75" customHeight="1" x14ac:dyDescent="0.55000000000000004">
      <c r="A5" s="405" t="s">
        <v>4</v>
      </c>
      <c r="B5" s="406"/>
      <c r="C5" s="406"/>
      <c r="D5" s="406"/>
      <c r="E5" s="406"/>
      <c r="F5" s="406"/>
      <c r="G5" s="407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2353405</v>
      </c>
      <c r="M6" s="16">
        <f t="shared" si="0"/>
        <v>494362</v>
      </c>
      <c r="N6" s="17">
        <f ca="1">IF(L6&gt;0,M6*100/L6,0)</f>
        <v>21.006244144123091</v>
      </c>
    </row>
    <row r="7" spans="1:14" ht="21.75" customHeight="1" x14ac:dyDescent="0.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1</v>
      </c>
      <c r="J9" s="38">
        <f t="shared" si="1"/>
        <v>0</v>
      </c>
      <c r="K9" s="41">
        <f t="shared" ref="K9:K10" ca="1" si="2">IF(I9&gt;0,J9*100/I9,0)</f>
        <v>0</v>
      </c>
      <c r="L9" s="40">
        <f ca="1">L11+L12</f>
        <v>577500</v>
      </c>
      <c r="M9" s="40">
        <f>SUM(M11:M12)</f>
        <v>119349</v>
      </c>
      <c r="N9" s="41">
        <f ca="1">IF(L9&gt;0,M9*100/L9,0)</f>
        <v>20.666493506493506</v>
      </c>
    </row>
    <row r="10" spans="1:14" ht="21.75" customHeight="1" x14ac:dyDescent="0.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35</v>
      </c>
      <c r="J10" s="38">
        <f t="shared" si="3"/>
        <v>0</v>
      </c>
      <c r="K10" s="41">
        <f t="shared" ca="1" si="2"/>
        <v>0</v>
      </c>
      <c r="L10" s="40"/>
      <c r="M10" s="40"/>
      <c r="N10" s="41"/>
    </row>
    <row r="11" spans="1:14" ht="21.75" customHeight="1" x14ac:dyDescent="0.4">
      <c r="A11" s="42"/>
      <c r="B11" s="43"/>
      <c r="C11" s="43" t="s">
        <v>17</v>
      </c>
      <c r="D11" s="44" t="s">
        <v>18</v>
      </c>
      <c r="E11" s="45"/>
      <c r="F11" s="45"/>
      <c r="G11" s="46" t="s">
        <v>19</v>
      </c>
      <c r="H11" s="47" t="s">
        <v>20</v>
      </c>
      <c r="I11" s="48" t="s">
        <v>21</v>
      </c>
      <c r="J11" s="48"/>
      <c r="K11" s="49"/>
      <c r="L11" s="50">
        <v>0</v>
      </c>
      <c r="M11" s="50">
        <v>0</v>
      </c>
      <c r="N11" s="50">
        <f t="shared" ref="N11:N14" si="4">+IF(L11&gt;0,M11*100/L11,0)</f>
        <v>0</v>
      </c>
    </row>
    <row r="12" spans="1:14" ht="21.75" customHeight="1" x14ac:dyDescent="0.4">
      <c r="A12" s="42"/>
      <c r="B12" s="43"/>
      <c r="C12" s="43"/>
      <c r="D12" s="51"/>
      <c r="E12" s="45"/>
      <c r="F12" s="45" t="s">
        <v>21</v>
      </c>
      <c r="G12" s="46" t="s">
        <v>22</v>
      </c>
      <c r="H12" s="47" t="s">
        <v>20</v>
      </c>
      <c r="I12" s="48"/>
      <c r="J12" s="48"/>
      <c r="K12" s="49"/>
      <c r="L12" s="53">
        <f ca="1">IFERROR(__xludf.DUMMYFUNCTION("IMPORTRANGE(""https://docs.google.com/spreadsheets/d/1C3CXT74ZlgGe6_JY_1olB1XN4rF0dxEuIIF-xsYjHgg/edit?usp=sharing"",""พรบ!C29"")"),577500)</f>
        <v>577500</v>
      </c>
      <c r="M12" s="50">
        <f>SUM(M13:M14)</f>
        <v>119349</v>
      </c>
      <c r="N12" s="50">
        <f t="shared" ca="1" si="4"/>
        <v>20.666493506493506</v>
      </c>
    </row>
    <row r="13" spans="1:14" ht="21.75" customHeight="1" x14ac:dyDescent="0.4">
      <c r="A13" s="42"/>
      <c r="B13" s="43"/>
      <c r="C13" s="43"/>
      <c r="D13" s="51"/>
      <c r="E13" s="45"/>
      <c r="F13" s="45"/>
      <c r="G13" s="52" t="s">
        <v>23</v>
      </c>
      <c r="H13" s="47" t="s">
        <v>20</v>
      </c>
      <c r="I13" s="48"/>
      <c r="J13" s="48"/>
      <c r="K13" s="49"/>
      <c r="L13" s="53">
        <f ca="1">IFERROR(__xludf.DUMMYFUNCTION("IMPORTRANGE(""https://docs.google.com/spreadsheets/d/1C3CXT74ZlgGe6_JY_1olB1XN4rF0dxEuIIF-xsYjHgg/edit?usp=sharing"",""พรบ!D29"")"),179500)</f>
        <v>179500</v>
      </c>
      <c r="M13" s="54">
        <v>8905</v>
      </c>
      <c r="N13" s="53">
        <f t="shared" ca="1" si="4"/>
        <v>4.96100278551532</v>
      </c>
    </row>
    <row r="14" spans="1:14" ht="21.75" customHeight="1" x14ac:dyDescent="0.4">
      <c r="A14" s="42"/>
      <c r="B14" s="43"/>
      <c r="C14" s="43"/>
      <c r="D14" s="51"/>
      <c r="E14" s="45"/>
      <c r="F14" s="45"/>
      <c r="G14" s="52" t="s">
        <v>24</v>
      </c>
      <c r="H14" s="47" t="s">
        <v>20</v>
      </c>
      <c r="I14" s="48"/>
      <c r="J14" s="48"/>
      <c r="K14" s="49"/>
      <c r="L14" s="53">
        <f ca="1">IFERROR(__xludf.DUMMYFUNCTION("IMPORTRANGE(""https://docs.google.com/spreadsheets/d/1C3CXT74ZlgGe6_JY_1olB1XN4rF0dxEuIIF-xsYjHgg/edit?usp=sharing"",""พรบ!E29"")"),398000)</f>
        <v>398000</v>
      </c>
      <c r="M14" s="54">
        <v>110444</v>
      </c>
      <c r="N14" s="53">
        <f t="shared" ca="1" si="4"/>
        <v>27.749748743718595</v>
      </c>
    </row>
    <row r="15" spans="1:14" ht="21.75" customHeight="1" x14ac:dyDescent="0.4">
      <c r="A15" s="55"/>
      <c r="B15" s="56"/>
      <c r="C15" s="43" t="s">
        <v>17</v>
      </c>
      <c r="D15" s="57" t="s">
        <v>25</v>
      </c>
      <c r="E15" s="58"/>
      <c r="F15" s="58"/>
      <c r="G15" s="59"/>
      <c r="H15" s="60"/>
      <c r="I15" s="48"/>
      <c r="J15" s="48"/>
      <c r="K15" s="49"/>
      <c r="L15" s="61"/>
      <c r="M15" s="61"/>
      <c r="N15" s="61"/>
    </row>
    <row r="16" spans="1:14" ht="21.75" customHeight="1" x14ac:dyDescent="0.4">
      <c r="A16" s="55"/>
      <c r="B16" s="56"/>
      <c r="C16" s="56"/>
      <c r="D16" s="62">
        <v>1</v>
      </c>
      <c r="E16" s="63" t="s">
        <v>26</v>
      </c>
      <c r="F16" s="64"/>
      <c r="G16" s="65"/>
      <c r="H16" s="66"/>
      <c r="I16" s="67"/>
      <c r="J16" s="68">
        <v>0</v>
      </c>
      <c r="K16" s="49"/>
      <c r="L16" s="61"/>
      <c r="M16" s="61"/>
      <c r="N16" s="61"/>
    </row>
    <row r="17" spans="1:14" ht="21.75" customHeight="1" x14ac:dyDescent="0.4">
      <c r="A17" s="55"/>
      <c r="B17" s="56"/>
      <c r="C17" s="56"/>
      <c r="D17" s="69">
        <v>2</v>
      </c>
      <c r="E17" s="70" t="s">
        <v>27</v>
      </c>
      <c r="F17" s="71"/>
      <c r="G17" s="72"/>
      <c r="H17" s="66"/>
      <c r="I17" s="67"/>
      <c r="J17" s="68">
        <v>1</v>
      </c>
      <c r="K17" s="49"/>
      <c r="L17" s="61" t="s">
        <v>21</v>
      </c>
      <c r="M17" s="61" t="s">
        <v>21</v>
      </c>
      <c r="N17" s="61"/>
    </row>
    <row r="18" spans="1:14" ht="21.75" customHeight="1" x14ac:dyDescent="0.4">
      <c r="A18" s="55"/>
      <c r="B18" s="56"/>
      <c r="C18" s="56"/>
      <c r="D18" s="73"/>
      <c r="E18" s="74" t="s">
        <v>28</v>
      </c>
      <c r="F18" s="75"/>
      <c r="G18" s="76"/>
      <c r="H18" s="66"/>
      <c r="I18" s="67"/>
      <c r="J18" s="68">
        <v>1</v>
      </c>
      <c r="K18" s="49"/>
      <c r="L18" s="61"/>
      <c r="M18" s="61"/>
      <c r="N18" s="61"/>
    </row>
    <row r="19" spans="1:14" ht="21.75" customHeight="1" x14ac:dyDescent="0.4">
      <c r="A19" s="55"/>
      <c r="B19" s="56"/>
      <c r="C19" s="56"/>
      <c r="D19" s="73"/>
      <c r="E19" s="74" t="s">
        <v>29</v>
      </c>
      <c r="F19" s="75"/>
      <c r="G19" s="76"/>
      <c r="H19" s="66"/>
      <c r="I19" s="67"/>
      <c r="J19" s="68">
        <v>1</v>
      </c>
      <c r="K19" s="49"/>
      <c r="L19" s="61"/>
      <c r="M19" s="61"/>
      <c r="N19" s="61"/>
    </row>
    <row r="20" spans="1:14" ht="21.75" customHeight="1" x14ac:dyDescent="0.4">
      <c r="A20" s="55"/>
      <c r="B20" s="56"/>
      <c r="C20" s="56"/>
      <c r="D20" s="73"/>
      <c r="E20" s="77"/>
      <c r="F20" s="74" t="s">
        <v>30</v>
      </c>
      <c r="G20" s="75"/>
      <c r="H20" s="78" t="s">
        <v>15</v>
      </c>
      <c r="I20" s="79">
        <f t="shared" ref="I20:J20" ca="1" si="5">+I22+I24+I26</f>
        <v>1</v>
      </c>
      <c r="J20" s="79">
        <f t="shared" si="5"/>
        <v>0</v>
      </c>
      <c r="K20" s="80">
        <f t="shared" ref="K20:K28" ca="1" si="6">IF(I20&gt;0,J20*100/I20,0)</f>
        <v>0</v>
      </c>
      <c r="L20" s="61"/>
      <c r="M20" s="61"/>
      <c r="N20" s="61"/>
    </row>
    <row r="21" spans="1:14" ht="21.75" customHeight="1" x14ac:dyDescent="0.4">
      <c r="A21" s="55"/>
      <c r="B21" s="56"/>
      <c r="C21" s="56"/>
      <c r="D21" s="73"/>
      <c r="E21" s="77"/>
      <c r="F21" s="75"/>
      <c r="G21" s="76"/>
      <c r="H21" s="78" t="s">
        <v>16</v>
      </c>
      <c r="I21" s="79">
        <f t="shared" ref="I21:J21" ca="1" si="7">+I23+I25+I27</f>
        <v>35</v>
      </c>
      <c r="J21" s="79">
        <f t="shared" si="7"/>
        <v>0</v>
      </c>
      <c r="K21" s="80">
        <f t="shared" ca="1" si="6"/>
        <v>0</v>
      </c>
      <c r="L21" s="61"/>
      <c r="M21" s="61"/>
      <c r="N21" s="61"/>
    </row>
    <row r="22" spans="1:14" ht="21.75" customHeight="1" x14ac:dyDescent="0.4">
      <c r="A22" s="55"/>
      <c r="B22" s="56"/>
      <c r="C22" s="56"/>
      <c r="D22" s="73"/>
      <c r="E22" s="77"/>
      <c r="F22" s="75"/>
      <c r="G22" s="75" t="s">
        <v>31</v>
      </c>
      <c r="H22" s="60" t="s">
        <v>15</v>
      </c>
      <c r="I22" s="48">
        <f ca="1">IFERROR(__xludf.DUMMYFUNCTION("IMPORTRANGE(""https://docs.google.com/spreadsheets/d/1C3CXT74ZlgGe6_JY_1olB1XN4rF0dxEuIIF-xsYjHgg/edit?usp=sharing"",""พรบ!H29"")"),0)</f>
        <v>0</v>
      </c>
      <c r="J22" s="67">
        <v>0</v>
      </c>
      <c r="K22" s="49">
        <f t="shared" ca="1" si="6"/>
        <v>0</v>
      </c>
      <c r="L22" s="61"/>
      <c r="M22" s="61"/>
      <c r="N22" s="61"/>
    </row>
    <row r="23" spans="1:14" ht="21.75" customHeight="1" x14ac:dyDescent="0.4">
      <c r="A23" s="55"/>
      <c r="B23" s="56"/>
      <c r="C23" s="56"/>
      <c r="D23" s="73"/>
      <c r="E23" s="77"/>
      <c r="F23" s="75"/>
      <c r="G23" s="76"/>
      <c r="H23" s="60" t="s">
        <v>16</v>
      </c>
      <c r="I23" s="48">
        <f ca="1">IFERROR(__xludf.DUMMYFUNCTION("IMPORTRANGE(""https://docs.google.com/spreadsheets/d/1C3CXT74ZlgGe6_JY_1olB1XN4rF0dxEuIIF-xsYjHgg/edit?usp=sharing"",""พรบ!I29"")"),0)</f>
        <v>0</v>
      </c>
      <c r="J23" s="67">
        <v>0</v>
      </c>
      <c r="K23" s="49">
        <f t="shared" ca="1" si="6"/>
        <v>0</v>
      </c>
      <c r="L23" s="61"/>
      <c r="M23" s="61"/>
      <c r="N23" s="61"/>
    </row>
    <row r="24" spans="1:14" ht="21.75" customHeight="1" x14ac:dyDescent="0.4">
      <c r="A24" s="55"/>
      <c r="B24" s="56"/>
      <c r="C24" s="56"/>
      <c r="D24" s="73"/>
      <c r="E24" s="77"/>
      <c r="F24" s="75"/>
      <c r="G24" s="75" t="s">
        <v>32</v>
      </c>
      <c r="H24" s="60" t="s">
        <v>15</v>
      </c>
      <c r="I24" s="48">
        <f ca="1">IFERROR(__xludf.DUMMYFUNCTION("IMPORTRANGE(""https://docs.google.com/spreadsheets/d/1C3CXT74ZlgGe6_JY_1olB1XN4rF0dxEuIIF-xsYjHgg/edit?usp=sharing"",""พรบ!J29"")"),1)</f>
        <v>1</v>
      </c>
      <c r="J24" s="68">
        <v>0</v>
      </c>
      <c r="K24" s="49">
        <f t="shared" ca="1" si="6"/>
        <v>0</v>
      </c>
      <c r="L24" s="61"/>
      <c r="M24" s="61"/>
      <c r="N24" s="61"/>
    </row>
    <row r="25" spans="1:14" ht="21.75" customHeight="1" x14ac:dyDescent="0.4">
      <c r="A25" s="55"/>
      <c r="B25" s="56"/>
      <c r="C25" s="56"/>
      <c r="D25" s="73"/>
      <c r="E25" s="77"/>
      <c r="F25" s="75"/>
      <c r="G25" s="76"/>
      <c r="H25" s="60" t="s">
        <v>16</v>
      </c>
      <c r="I25" s="48">
        <f ca="1">IFERROR(__xludf.DUMMYFUNCTION("IMPORTRANGE(""https://docs.google.com/spreadsheets/d/1C3CXT74ZlgGe6_JY_1olB1XN4rF0dxEuIIF-xsYjHgg/edit?usp=sharing"",""พรบ!K29"")"),35)</f>
        <v>35</v>
      </c>
      <c r="J25" s="68">
        <v>0</v>
      </c>
      <c r="K25" s="49">
        <f t="shared" ca="1" si="6"/>
        <v>0</v>
      </c>
      <c r="L25" s="61"/>
      <c r="M25" s="61"/>
      <c r="N25" s="61"/>
    </row>
    <row r="26" spans="1:14" ht="21.75" customHeight="1" x14ac:dyDescent="0.4">
      <c r="A26" s="55"/>
      <c r="B26" s="56"/>
      <c r="C26" s="56"/>
      <c r="D26" s="73"/>
      <c r="E26" s="77"/>
      <c r="F26" s="75"/>
      <c r="G26" s="75" t="s">
        <v>33</v>
      </c>
      <c r="H26" s="60" t="s">
        <v>15</v>
      </c>
      <c r="I26" s="48">
        <f ca="1">IFERROR(__xludf.DUMMYFUNCTION("IMPORTRANGE(""https://docs.google.com/spreadsheets/d/1C3CXT74ZlgGe6_JY_1olB1XN4rF0dxEuIIF-xsYjHgg/edit?usp=sharing"",""พรบ!L29"")"),0)</f>
        <v>0</v>
      </c>
      <c r="J26" s="67">
        <v>0</v>
      </c>
      <c r="K26" s="49">
        <f t="shared" ca="1" si="6"/>
        <v>0</v>
      </c>
      <c r="L26" s="61"/>
      <c r="M26" s="61"/>
      <c r="N26" s="61"/>
    </row>
    <row r="27" spans="1:14" ht="21.75" customHeight="1" x14ac:dyDescent="0.4">
      <c r="A27" s="55"/>
      <c r="B27" s="56"/>
      <c r="C27" s="56"/>
      <c r="D27" s="73"/>
      <c r="E27" s="77"/>
      <c r="F27" s="75"/>
      <c r="G27" s="76"/>
      <c r="H27" s="60" t="s">
        <v>16</v>
      </c>
      <c r="I27" s="48">
        <f ca="1">IFERROR(__xludf.DUMMYFUNCTION("IMPORTRANGE(""https://docs.google.com/spreadsheets/d/1C3CXT74ZlgGe6_JY_1olB1XN4rF0dxEuIIF-xsYjHgg/edit?usp=sharing"",""พรบ!M29"")"),0)</f>
        <v>0</v>
      </c>
      <c r="J27" s="67">
        <v>0</v>
      </c>
      <c r="K27" s="49">
        <f t="shared" ca="1" si="6"/>
        <v>0</v>
      </c>
      <c r="L27" s="61"/>
      <c r="M27" s="61"/>
      <c r="N27" s="61"/>
    </row>
    <row r="28" spans="1:14" ht="21.75" customHeight="1" x14ac:dyDescent="0.4">
      <c r="A28" s="55"/>
      <c r="B28" s="56"/>
      <c r="C28" s="56"/>
      <c r="D28" s="73"/>
      <c r="E28" s="77"/>
      <c r="F28" s="74" t="s">
        <v>34</v>
      </c>
      <c r="G28" s="75"/>
      <c r="H28" s="60" t="s">
        <v>16</v>
      </c>
      <c r="I28" s="48">
        <f ca="1">IFERROR(__xludf.DUMMYFUNCTION("IMPORTRANGE(""https://docs.google.com/spreadsheets/d/1C3CXT74ZlgGe6_JY_1olB1XN4rF0dxEuIIF-xsYjHgg/edit?usp=sharing"",""พรบ!N29"")"),0)</f>
        <v>0</v>
      </c>
      <c r="J28" s="67">
        <v>0</v>
      </c>
      <c r="K28" s="49">
        <f t="shared" ca="1" si="6"/>
        <v>0</v>
      </c>
      <c r="L28" s="61"/>
      <c r="M28" s="61"/>
      <c r="N28" s="61"/>
    </row>
    <row r="29" spans="1:14" ht="21.75" customHeight="1" x14ac:dyDescent="0.4">
      <c r="A29" s="55"/>
      <c r="B29" s="56"/>
      <c r="C29" s="56"/>
      <c r="D29" s="73"/>
      <c r="E29" s="74" t="s">
        <v>35</v>
      </c>
      <c r="F29" s="75"/>
      <c r="G29" s="76"/>
      <c r="H29" s="66"/>
      <c r="I29" s="67"/>
      <c r="J29" s="68">
        <v>0</v>
      </c>
      <c r="K29" s="49"/>
      <c r="L29" s="61"/>
      <c r="M29" s="61"/>
      <c r="N29" s="61"/>
    </row>
    <row r="30" spans="1:14" ht="21.75" customHeight="1" x14ac:dyDescent="0.4">
      <c r="A30" s="55"/>
      <c r="B30" s="56"/>
      <c r="C30" s="56"/>
      <c r="D30" s="81">
        <v>3</v>
      </c>
      <c r="E30" s="82" t="s">
        <v>36</v>
      </c>
      <c r="F30" s="83"/>
      <c r="G30" s="84"/>
      <c r="H30" s="66"/>
      <c r="I30" s="67"/>
      <c r="J30" s="85">
        <v>0</v>
      </c>
      <c r="K30" s="49"/>
      <c r="L30" s="61"/>
      <c r="M30" s="61"/>
      <c r="N30" s="61"/>
    </row>
    <row r="31" spans="1:14" ht="21.75" customHeight="1" x14ac:dyDescent="0.4">
      <c r="A31" s="86" t="s">
        <v>37</v>
      </c>
      <c r="B31" s="87"/>
      <c r="C31" s="88"/>
      <c r="D31" s="87"/>
      <c r="E31" s="89"/>
      <c r="F31" s="89"/>
      <c r="G31" s="90"/>
      <c r="H31" s="91"/>
      <c r="I31" s="92"/>
      <c r="J31" s="92"/>
      <c r="K31" s="93"/>
      <c r="L31" s="94"/>
      <c r="M31" s="94"/>
      <c r="N31" s="95"/>
    </row>
    <row r="32" spans="1:14" ht="21.75" customHeight="1" x14ac:dyDescent="0.4">
      <c r="A32" s="34"/>
      <c r="B32" s="35" t="s">
        <v>38</v>
      </c>
      <c r="C32" s="35"/>
      <c r="D32" s="36"/>
      <c r="E32" s="35"/>
      <c r="F32" s="35"/>
      <c r="G32" s="96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41">
        <f t="shared" ref="K32:K33" ca="1" si="9">IF(I32&gt;0,J32*100/I32,0)</f>
        <v>0</v>
      </c>
      <c r="L32" s="97">
        <f ca="1">L34+L35</f>
        <v>0</v>
      </c>
      <c r="M32" s="97">
        <f>SUM(M34:M35)</f>
        <v>0</v>
      </c>
      <c r="N32" s="41">
        <f ca="1">IF(L32&gt;0,M32*100/L32,0)</f>
        <v>0</v>
      </c>
    </row>
    <row r="33" spans="1:14" ht="21.75" customHeight="1" x14ac:dyDescent="0.4">
      <c r="A33" s="34"/>
      <c r="B33" s="35"/>
      <c r="C33" s="35"/>
      <c r="D33" s="36" t="s">
        <v>39</v>
      </c>
      <c r="E33" s="35"/>
      <c r="F33" s="35"/>
      <c r="G33" s="96"/>
      <c r="H33" s="37" t="s">
        <v>40</v>
      </c>
      <c r="I33" s="38">
        <f ca="1">I48</f>
        <v>0</v>
      </c>
      <c r="J33" s="38">
        <f>+J48</f>
        <v>0</v>
      </c>
      <c r="K33" s="41">
        <f t="shared" ca="1" si="9"/>
        <v>0</v>
      </c>
      <c r="L33" s="97"/>
      <c r="M33" s="97"/>
      <c r="N33" s="41"/>
    </row>
    <row r="34" spans="1:14" ht="21.75" customHeight="1" x14ac:dyDescent="0.4">
      <c r="A34" s="42"/>
      <c r="B34" s="43"/>
      <c r="C34" s="43" t="s">
        <v>17</v>
      </c>
      <c r="D34" s="44" t="s">
        <v>18</v>
      </c>
      <c r="E34" s="45"/>
      <c r="F34" s="45"/>
      <c r="G34" s="46" t="s">
        <v>19</v>
      </c>
      <c r="H34" s="47" t="s">
        <v>20</v>
      </c>
      <c r="I34" s="48" t="s">
        <v>21</v>
      </c>
      <c r="J34" s="48"/>
      <c r="K34" s="49"/>
      <c r="L34" s="53">
        <v>0</v>
      </c>
      <c r="M34" s="50">
        <v>0</v>
      </c>
      <c r="N34" s="50">
        <f t="shared" ref="N34:N37" si="10">+IF(L34&gt;0,M34*100/L34,0)</f>
        <v>0</v>
      </c>
    </row>
    <row r="35" spans="1:14" ht="21.75" customHeight="1" x14ac:dyDescent="0.4">
      <c r="A35" s="42"/>
      <c r="B35" s="43"/>
      <c r="C35" s="43"/>
      <c r="D35" s="51"/>
      <c r="E35" s="45"/>
      <c r="F35" s="45" t="s">
        <v>21</v>
      </c>
      <c r="G35" s="46" t="s">
        <v>22</v>
      </c>
      <c r="H35" s="47" t="s">
        <v>20</v>
      </c>
      <c r="I35" s="48"/>
      <c r="J35" s="48"/>
      <c r="K35" s="49"/>
      <c r="L35" s="53">
        <f ca="1">IFERROR(__xludf.DUMMYFUNCTION("IMPORTRANGE(""https://docs.google.com/spreadsheets/d/1C3CXT74ZlgGe6_JY_1olB1XN4rF0dxEuIIF-xsYjHgg/edit?usp=sharing"",""พรบ!O29"")"),0)</f>
        <v>0</v>
      </c>
      <c r="M35" s="50">
        <f>SUM(M36:M37)</f>
        <v>0</v>
      </c>
      <c r="N35" s="50">
        <f t="shared" ca="1" si="10"/>
        <v>0</v>
      </c>
    </row>
    <row r="36" spans="1:14" ht="21.75" customHeight="1" x14ac:dyDescent="0.4">
      <c r="A36" s="42"/>
      <c r="B36" s="43"/>
      <c r="C36" s="43"/>
      <c r="D36" s="51"/>
      <c r="E36" s="45"/>
      <c r="F36" s="45"/>
      <c r="G36" s="52" t="s">
        <v>23</v>
      </c>
      <c r="H36" s="47" t="s">
        <v>20</v>
      </c>
      <c r="I36" s="48"/>
      <c r="J36" s="48"/>
      <c r="K36" s="49"/>
      <c r="L36" s="53">
        <f ca="1">IFERROR(__xludf.DUMMYFUNCTION("IMPORTRANGE(""https://docs.google.com/spreadsheets/d/1C3CXT74ZlgGe6_JY_1olB1XN4rF0dxEuIIF-xsYjHgg/edit?usp=sharing"",""พรบ!P29"")"),0)</f>
        <v>0</v>
      </c>
      <c r="M36" s="53">
        <v>0</v>
      </c>
      <c r="N36" s="53">
        <f t="shared" ca="1" si="10"/>
        <v>0</v>
      </c>
    </row>
    <row r="37" spans="1:14" ht="21.75" customHeight="1" x14ac:dyDescent="0.4">
      <c r="A37" s="42"/>
      <c r="B37" s="43"/>
      <c r="C37" s="43"/>
      <c r="D37" s="51"/>
      <c r="E37" s="45"/>
      <c r="F37" s="45"/>
      <c r="G37" s="52" t="s">
        <v>24</v>
      </c>
      <c r="H37" s="47" t="s">
        <v>20</v>
      </c>
      <c r="I37" s="48"/>
      <c r="J37" s="67"/>
      <c r="K37" s="233"/>
      <c r="L37" s="53">
        <f ca="1">IFERROR(__xludf.DUMMYFUNCTION("IMPORTRANGE(""https://docs.google.com/spreadsheets/d/1C3CXT74ZlgGe6_JY_1olB1XN4rF0dxEuIIF-xsYjHgg/edit?usp=sharing"",""พรบ!Q29"")"),0)</f>
        <v>0</v>
      </c>
      <c r="M37" s="53">
        <v>0</v>
      </c>
      <c r="N37" s="53">
        <f t="shared" ca="1" si="10"/>
        <v>0</v>
      </c>
    </row>
    <row r="38" spans="1:14" ht="21.75" customHeight="1" x14ac:dyDescent="0.4">
      <c r="A38" s="55"/>
      <c r="B38" s="56"/>
      <c r="C38" s="43" t="s">
        <v>17</v>
      </c>
      <c r="D38" s="57" t="s">
        <v>25</v>
      </c>
      <c r="E38" s="58"/>
      <c r="F38" s="58"/>
      <c r="G38" s="59"/>
      <c r="H38" s="60"/>
      <c r="I38" s="48"/>
      <c r="J38" s="67"/>
      <c r="K38" s="233"/>
      <c r="L38" s="53"/>
      <c r="M38" s="53"/>
      <c r="N38" s="61"/>
    </row>
    <row r="39" spans="1:14" ht="21.75" customHeight="1" x14ac:dyDescent="0.4">
      <c r="A39" s="55"/>
      <c r="B39" s="56"/>
      <c r="C39" s="56"/>
      <c r="D39" s="62">
        <v>1</v>
      </c>
      <c r="E39" s="63" t="s">
        <v>26</v>
      </c>
      <c r="F39" s="64"/>
      <c r="G39" s="65"/>
      <c r="H39" s="66"/>
      <c r="I39" s="67"/>
      <c r="J39" s="67">
        <v>0</v>
      </c>
      <c r="K39" s="233"/>
      <c r="L39" s="53"/>
      <c r="M39" s="53"/>
      <c r="N39" s="61"/>
    </row>
    <row r="40" spans="1:14" ht="21.75" customHeight="1" x14ac:dyDescent="0.4">
      <c r="A40" s="55"/>
      <c r="B40" s="56"/>
      <c r="C40" s="56"/>
      <c r="D40" s="69">
        <v>2</v>
      </c>
      <c r="E40" s="70" t="s">
        <v>27</v>
      </c>
      <c r="F40" s="71"/>
      <c r="G40" s="72"/>
      <c r="H40" s="66"/>
      <c r="I40" s="67"/>
      <c r="J40" s="67">
        <v>0</v>
      </c>
      <c r="K40" s="233"/>
      <c r="L40" s="53" t="s">
        <v>21</v>
      </c>
      <c r="M40" s="53" t="s">
        <v>21</v>
      </c>
      <c r="N40" s="61"/>
    </row>
    <row r="41" spans="1:14" ht="21.75" customHeight="1" x14ac:dyDescent="0.4">
      <c r="A41" s="55"/>
      <c r="B41" s="56"/>
      <c r="C41" s="56"/>
      <c r="D41" s="73"/>
      <c r="E41" s="74" t="s">
        <v>28</v>
      </c>
      <c r="F41" s="75"/>
      <c r="G41" s="76"/>
      <c r="H41" s="66"/>
      <c r="I41" s="67"/>
      <c r="J41" s="67">
        <v>0</v>
      </c>
      <c r="K41" s="233"/>
      <c r="L41" s="53"/>
      <c r="M41" s="53"/>
      <c r="N41" s="61"/>
    </row>
    <row r="42" spans="1:14" ht="21.75" customHeight="1" x14ac:dyDescent="0.4">
      <c r="A42" s="55"/>
      <c r="B42" s="56"/>
      <c r="C42" s="56"/>
      <c r="D42" s="73"/>
      <c r="E42" s="74" t="s">
        <v>29</v>
      </c>
      <c r="F42" s="75"/>
      <c r="G42" s="76"/>
      <c r="H42" s="66"/>
      <c r="I42" s="67"/>
      <c r="J42" s="67">
        <v>0</v>
      </c>
      <c r="K42" s="233"/>
      <c r="L42" s="53"/>
      <c r="M42" s="53"/>
      <c r="N42" s="61"/>
    </row>
    <row r="43" spans="1:14" ht="21.75" customHeight="1" x14ac:dyDescent="0.4">
      <c r="A43" s="55"/>
      <c r="B43" s="56"/>
      <c r="C43" s="56"/>
      <c r="D43" s="73"/>
      <c r="E43" s="75"/>
      <c r="F43" s="75" t="s">
        <v>41</v>
      </c>
      <c r="G43" s="75"/>
      <c r="H43" s="60" t="s">
        <v>42</v>
      </c>
      <c r="I43" s="48">
        <f ca="1">IFERROR(__xludf.DUMMYFUNCTION("IMPORTRANGE(""https://docs.google.com/spreadsheets/d/1C3CXT74ZlgGe6_JY_1olB1XN4rF0dxEuIIF-xsYjHgg/edit?usp=sharing"",""พรบ!R29"")"),0)</f>
        <v>0</v>
      </c>
      <c r="J43" s="67">
        <v>0</v>
      </c>
      <c r="K43" s="233">
        <f t="shared" ref="K43:K48" ca="1" si="11">IF(I43&gt;0,J43*100/I43,0)</f>
        <v>0</v>
      </c>
      <c r="L43" s="53"/>
      <c r="M43" s="53"/>
      <c r="N43" s="61"/>
    </row>
    <row r="44" spans="1:14" ht="21.75" customHeight="1" x14ac:dyDescent="0.4">
      <c r="A44" s="55"/>
      <c r="B44" s="56"/>
      <c r="C44" s="56"/>
      <c r="D44" s="73"/>
      <c r="E44" s="77"/>
      <c r="F44" s="74" t="s">
        <v>43</v>
      </c>
      <c r="G44" s="75"/>
      <c r="H44" s="60" t="s">
        <v>16</v>
      </c>
      <c r="I44" s="48">
        <f ca="1">IFERROR(__xludf.DUMMYFUNCTION("IMPORTRANGE(""https://docs.google.com/spreadsheets/d/1C3CXT74ZlgGe6_JY_1olB1XN4rF0dxEuIIF-xsYjHgg/edit?usp=sharing"",""พรบ!S29"")"),0)</f>
        <v>0</v>
      </c>
      <c r="J44" s="67">
        <v>0</v>
      </c>
      <c r="K44" s="233">
        <f t="shared" ca="1" si="11"/>
        <v>0</v>
      </c>
      <c r="L44" s="53"/>
      <c r="M44" s="53"/>
      <c r="N44" s="61"/>
    </row>
    <row r="45" spans="1:14" ht="21.75" customHeight="1" x14ac:dyDescent="0.4">
      <c r="A45" s="55"/>
      <c r="B45" s="56"/>
      <c r="C45" s="56"/>
      <c r="D45" s="73"/>
      <c r="E45" s="77"/>
      <c r="F45" s="75"/>
      <c r="G45" s="98" t="s">
        <v>44</v>
      </c>
      <c r="H45" s="60" t="s">
        <v>16</v>
      </c>
      <c r="I45" s="48">
        <f ca="1">IFERROR(__xludf.DUMMYFUNCTION("IMPORTRANGE(""https://docs.google.com/spreadsheets/d/1C3CXT74ZlgGe6_JY_1olB1XN4rF0dxEuIIF-xsYjHgg/edit?usp=sharing"",""พรบ!T29"")"),0)</f>
        <v>0</v>
      </c>
      <c r="J45" s="67">
        <v>0</v>
      </c>
      <c r="K45" s="233">
        <f t="shared" ca="1" si="11"/>
        <v>0</v>
      </c>
      <c r="L45" s="53"/>
      <c r="M45" s="53"/>
      <c r="N45" s="61"/>
    </row>
    <row r="46" spans="1:14" ht="21.75" customHeight="1" x14ac:dyDescent="0.4">
      <c r="A46" s="55"/>
      <c r="B46" s="56"/>
      <c r="C46" s="56"/>
      <c r="D46" s="73"/>
      <c r="E46" s="77"/>
      <c r="F46" s="75"/>
      <c r="G46" s="98" t="s">
        <v>45</v>
      </c>
      <c r="H46" s="60" t="s">
        <v>16</v>
      </c>
      <c r="I46" s="48">
        <f ca="1">IFERROR(__xludf.DUMMYFUNCTION("IMPORTRANGE(""https://docs.google.com/spreadsheets/d/1C3CXT74ZlgGe6_JY_1olB1XN4rF0dxEuIIF-xsYjHgg/edit?usp=sharing"",""พรบ!U29"")"),0)</f>
        <v>0</v>
      </c>
      <c r="J46" s="67">
        <v>0</v>
      </c>
      <c r="K46" s="233">
        <f t="shared" ca="1" si="11"/>
        <v>0</v>
      </c>
      <c r="L46" s="53"/>
      <c r="M46" s="53"/>
      <c r="N46" s="61"/>
    </row>
    <row r="47" spans="1:14" ht="21.75" customHeight="1" x14ac:dyDescent="0.4">
      <c r="A47" s="55"/>
      <c r="B47" s="56"/>
      <c r="C47" s="56"/>
      <c r="D47" s="73"/>
      <c r="E47" s="77"/>
      <c r="F47" s="75"/>
      <c r="G47" s="99" t="s">
        <v>46</v>
      </c>
      <c r="H47" s="60" t="s">
        <v>16</v>
      </c>
      <c r="I47" s="48">
        <f ca="1">IFERROR(__xludf.DUMMYFUNCTION("IMPORTRANGE(""https://docs.google.com/spreadsheets/d/1C3CXT74ZlgGe6_JY_1olB1XN4rF0dxEuIIF-xsYjHgg/edit?usp=sharing"",""พรบ!V29"")"),0)</f>
        <v>0</v>
      </c>
      <c r="J47" s="67">
        <v>0</v>
      </c>
      <c r="K47" s="233">
        <f t="shared" ca="1" si="11"/>
        <v>0</v>
      </c>
      <c r="L47" s="53"/>
      <c r="M47" s="53"/>
      <c r="N47" s="61"/>
    </row>
    <row r="48" spans="1:14" ht="21.75" customHeight="1" x14ac:dyDescent="0.4">
      <c r="A48" s="55"/>
      <c r="B48" s="56"/>
      <c r="C48" s="56"/>
      <c r="D48" s="73"/>
      <c r="E48" s="77"/>
      <c r="F48" s="75" t="s">
        <v>47</v>
      </c>
      <c r="G48" s="75"/>
      <c r="H48" s="60" t="s">
        <v>40</v>
      </c>
      <c r="I48" s="48">
        <f ca="1">IFERROR(__xludf.DUMMYFUNCTION("IMPORTRANGE(""https://docs.google.com/spreadsheets/d/1C3CXT74ZlgGe6_JY_1olB1XN4rF0dxEuIIF-xsYjHgg/edit?usp=sharing"",""พรบ!W29"")"),0)</f>
        <v>0</v>
      </c>
      <c r="J48" s="67">
        <v>0</v>
      </c>
      <c r="K48" s="233">
        <f t="shared" ca="1" si="11"/>
        <v>0</v>
      </c>
      <c r="L48" s="53"/>
      <c r="M48" s="53"/>
      <c r="N48" s="61"/>
    </row>
    <row r="49" spans="1:14" ht="21.75" customHeight="1" x14ac:dyDescent="0.4">
      <c r="A49" s="55"/>
      <c r="B49" s="56"/>
      <c r="C49" s="56"/>
      <c r="D49" s="73"/>
      <c r="E49" s="74" t="s">
        <v>35</v>
      </c>
      <c r="F49" s="75"/>
      <c r="G49" s="76"/>
      <c r="H49" s="66"/>
      <c r="I49" s="67"/>
      <c r="J49" s="67">
        <v>0</v>
      </c>
      <c r="K49" s="233"/>
      <c r="L49" s="53"/>
      <c r="M49" s="53"/>
      <c r="N49" s="61"/>
    </row>
    <row r="50" spans="1:14" ht="21.75" customHeight="1" x14ac:dyDescent="0.4">
      <c r="A50" s="55"/>
      <c r="B50" s="56"/>
      <c r="C50" s="56"/>
      <c r="D50" s="81">
        <v>3</v>
      </c>
      <c r="E50" s="82" t="s">
        <v>36</v>
      </c>
      <c r="F50" s="83"/>
      <c r="G50" s="84"/>
      <c r="H50" s="66"/>
      <c r="I50" s="67"/>
      <c r="J50" s="360">
        <v>0</v>
      </c>
      <c r="K50" s="233"/>
      <c r="L50" s="53"/>
      <c r="M50" s="53"/>
      <c r="N50" s="61"/>
    </row>
    <row r="51" spans="1:14" ht="21.75" customHeight="1" x14ac:dyDescent="0.4">
      <c r="A51" s="86" t="s">
        <v>48</v>
      </c>
      <c r="B51" s="100"/>
      <c r="C51" s="101"/>
      <c r="D51" s="100"/>
      <c r="E51" s="102"/>
      <c r="F51" s="102"/>
      <c r="G51" s="103"/>
      <c r="H51" s="91"/>
      <c r="I51" s="92"/>
      <c r="J51" s="92"/>
      <c r="K51" s="93"/>
      <c r="L51" s="94"/>
      <c r="M51" s="94"/>
      <c r="N51" s="95"/>
    </row>
    <row r="52" spans="1:14" ht="21.75" customHeight="1" x14ac:dyDescent="0.4">
      <c r="A52" s="34"/>
      <c r="B52" s="35" t="s">
        <v>49</v>
      </c>
      <c r="C52" s="104"/>
      <c r="D52" s="36"/>
      <c r="E52" s="35"/>
      <c r="F52" s="35"/>
      <c r="G52" s="96"/>
      <c r="H52" s="37" t="s">
        <v>16</v>
      </c>
      <c r="I52" s="38">
        <f ca="1">I62</f>
        <v>20</v>
      </c>
      <c r="J52" s="38">
        <f>+J62</f>
        <v>0</v>
      </c>
      <c r="K52" s="41">
        <f ca="1">IF(I52&gt;0,J52*100/I52,0)</f>
        <v>0</v>
      </c>
      <c r="L52" s="40">
        <f ca="1">L53+L54</f>
        <v>82440</v>
      </c>
      <c r="M52" s="40">
        <f>SUM(M53:M54)</f>
        <v>0</v>
      </c>
      <c r="N52" s="41">
        <f ca="1">IF(L52&gt;0,M52*100/L52,0)</f>
        <v>0</v>
      </c>
    </row>
    <row r="53" spans="1:14" ht="21.75" customHeight="1" x14ac:dyDescent="0.4">
      <c r="A53" s="42"/>
      <c r="B53" s="43"/>
      <c r="C53" s="43" t="s">
        <v>17</v>
      </c>
      <c r="D53" s="44" t="s">
        <v>18</v>
      </c>
      <c r="E53" s="45"/>
      <c r="F53" s="45"/>
      <c r="G53" s="46" t="s">
        <v>19</v>
      </c>
      <c r="H53" s="47" t="s">
        <v>20</v>
      </c>
      <c r="I53" s="48" t="s">
        <v>21</v>
      </c>
      <c r="J53" s="48"/>
      <c r="K53" s="49"/>
      <c r="L53" s="50">
        <v>0</v>
      </c>
      <c r="M53" s="50">
        <v>0</v>
      </c>
      <c r="N53" s="50">
        <f t="shared" ref="N53:N56" si="12">+IF(L53&gt;0,M53*100/L53,0)</f>
        <v>0</v>
      </c>
    </row>
    <row r="54" spans="1:14" ht="21.75" customHeight="1" x14ac:dyDescent="0.4">
      <c r="A54" s="42"/>
      <c r="B54" s="43"/>
      <c r="C54" s="43"/>
      <c r="D54" s="51"/>
      <c r="E54" s="45"/>
      <c r="F54" s="45" t="s">
        <v>21</v>
      </c>
      <c r="G54" s="46" t="s">
        <v>22</v>
      </c>
      <c r="H54" s="47" t="s">
        <v>20</v>
      </c>
      <c r="I54" s="48"/>
      <c r="J54" s="48"/>
      <c r="K54" s="49"/>
      <c r="L54" s="50">
        <f t="shared" ref="L54:M54" ca="1" si="13">SUM(L55:L56)</f>
        <v>82440</v>
      </c>
      <c r="M54" s="50">
        <f t="shared" si="13"/>
        <v>0</v>
      </c>
      <c r="N54" s="50">
        <f t="shared" ca="1" si="12"/>
        <v>0</v>
      </c>
    </row>
    <row r="55" spans="1:14" ht="21.75" customHeight="1" x14ac:dyDescent="0.4">
      <c r="A55" s="42"/>
      <c r="B55" s="43"/>
      <c r="C55" s="43"/>
      <c r="D55" s="51"/>
      <c r="E55" s="45"/>
      <c r="F55" s="45"/>
      <c r="G55" s="52" t="s">
        <v>23</v>
      </c>
      <c r="H55" s="47" t="s">
        <v>20</v>
      </c>
      <c r="I55" s="48"/>
      <c r="J55" s="48"/>
      <c r="K55" s="49"/>
      <c r="L55" s="53">
        <f ca="1">IFERROR(__xludf.DUMMYFUNCTION("IMPORTRANGE(""https://docs.google.com/spreadsheets/d/1C3CXT74ZlgGe6_JY_1olB1XN4rF0dxEuIIF-xsYjHgg/edit?usp=sharing"",""พรบ!Y29"")"),0)</f>
        <v>0</v>
      </c>
      <c r="M55" s="53">
        <v>0</v>
      </c>
      <c r="N55" s="53">
        <f t="shared" ca="1" si="12"/>
        <v>0</v>
      </c>
    </row>
    <row r="56" spans="1:14" ht="21.75" customHeight="1" x14ac:dyDescent="0.4">
      <c r="A56" s="42"/>
      <c r="B56" s="43"/>
      <c r="C56" s="43"/>
      <c r="D56" s="51"/>
      <c r="E56" s="45"/>
      <c r="F56" s="45"/>
      <c r="G56" s="52" t="s">
        <v>24</v>
      </c>
      <c r="H56" s="47" t="s">
        <v>20</v>
      </c>
      <c r="I56" s="48"/>
      <c r="J56" s="48"/>
      <c r="K56" s="49"/>
      <c r="L56" s="53">
        <f ca="1">IFERROR(__xludf.DUMMYFUNCTION("IMPORTRANGE(""https://docs.google.com/spreadsheets/d/1C3CXT74ZlgGe6_JY_1olB1XN4rF0dxEuIIF-xsYjHgg/edit?usp=sharing"",""พรบ!Z29"")"),82440)</f>
        <v>82440</v>
      </c>
      <c r="M56" s="54">
        <v>0</v>
      </c>
      <c r="N56" s="53">
        <f t="shared" ca="1" si="12"/>
        <v>0</v>
      </c>
    </row>
    <row r="57" spans="1:14" ht="21.75" customHeight="1" x14ac:dyDescent="0.4">
      <c r="A57" s="55"/>
      <c r="B57" s="56"/>
      <c r="C57" s="43" t="s">
        <v>17</v>
      </c>
      <c r="D57" s="57" t="s">
        <v>250</v>
      </c>
      <c r="E57" s="58"/>
      <c r="F57" s="58"/>
      <c r="G57" s="59"/>
      <c r="H57" s="60"/>
      <c r="I57" s="48"/>
      <c r="J57" s="48"/>
      <c r="K57" s="49"/>
      <c r="L57" s="61"/>
      <c r="M57" s="61"/>
      <c r="N57" s="61"/>
    </row>
    <row r="58" spans="1:14" ht="21.75" customHeight="1" x14ac:dyDescent="0.4">
      <c r="A58" s="55"/>
      <c r="B58" s="56"/>
      <c r="C58" s="56"/>
      <c r="D58" s="62">
        <v>1</v>
      </c>
      <c r="E58" s="63" t="s">
        <v>26</v>
      </c>
      <c r="F58" s="64"/>
      <c r="G58" s="65"/>
      <c r="H58" s="66"/>
      <c r="I58" s="67"/>
      <c r="J58" s="68">
        <v>0</v>
      </c>
      <c r="K58" s="49"/>
      <c r="L58" s="61"/>
      <c r="M58" s="61"/>
      <c r="N58" s="61"/>
    </row>
    <row r="59" spans="1:14" ht="21.75" customHeight="1" x14ac:dyDescent="0.4">
      <c r="A59" s="55"/>
      <c r="B59" s="56"/>
      <c r="C59" s="56"/>
      <c r="D59" s="69">
        <v>2</v>
      </c>
      <c r="E59" s="70" t="s">
        <v>27</v>
      </c>
      <c r="F59" s="71"/>
      <c r="G59" s="72"/>
      <c r="H59" s="66"/>
      <c r="I59" s="67"/>
      <c r="J59" s="68">
        <v>1</v>
      </c>
      <c r="K59" s="49"/>
      <c r="L59" s="61" t="s">
        <v>21</v>
      </c>
      <c r="M59" s="61" t="s">
        <v>21</v>
      </c>
      <c r="N59" s="61"/>
    </row>
    <row r="60" spans="1:14" ht="21.75" customHeight="1" x14ac:dyDescent="0.4">
      <c r="A60" s="55"/>
      <c r="B60" s="56"/>
      <c r="C60" s="56"/>
      <c r="D60" s="73"/>
      <c r="E60" s="74" t="s">
        <v>28</v>
      </c>
      <c r="F60" s="75"/>
      <c r="G60" s="76"/>
      <c r="H60" s="66"/>
      <c r="I60" s="67"/>
      <c r="J60" s="68">
        <v>0</v>
      </c>
      <c r="K60" s="49"/>
      <c r="L60" s="61"/>
      <c r="M60" s="61"/>
      <c r="N60" s="61"/>
    </row>
    <row r="61" spans="1:14" ht="21.75" customHeight="1" x14ac:dyDescent="0.4">
      <c r="A61" s="55"/>
      <c r="B61" s="56"/>
      <c r="C61" s="56"/>
      <c r="D61" s="73"/>
      <c r="E61" s="74" t="s">
        <v>29</v>
      </c>
      <c r="F61" s="75"/>
      <c r="G61" s="76"/>
      <c r="H61" s="66"/>
      <c r="I61" s="67"/>
      <c r="J61" s="68">
        <v>0</v>
      </c>
      <c r="K61" s="49"/>
      <c r="L61" s="61"/>
      <c r="M61" s="61"/>
      <c r="N61" s="61"/>
    </row>
    <row r="62" spans="1:14" ht="21.75" customHeight="1" x14ac:dyDescent="0.4">
      <c r="A62" s="55"/>
      <c r="B62" s="56"/>
      <c r="C62" s="56"/>
      <c r="D62" s="73"/>
      <c r="E62" s="77"/>
      <c r="F62" s="74" t="s">
        <v>50</v>
      </c>
      <c r="G62" s="76"/>
      <c r="H62" s="60" t="s">
        <v>16</v>
      </c>
      <c r="I62" s="67">
        <f ca="1">IFERROR(__xludf.DUMMYFUNCTION("IMPORTRANGE(""https://docs.google.com/spreadsheets/d/1C3CXT74ZlgGe6_JY_1olB1XN4rF0dxEuIIF-xsYjHgg/edit?usp=sharing"",""พรบ!AA29"")"),20)</f>
        <v>20</v>
      </c>
      <c r="J62" s="68">
        <v>0</v>
      </c>
      <c r="K62" s="49">
        <f t="shared" ref="K62:K63" ca="1" si="14">IF(I62&gt;0,J62*100/I62,0)</f>
        <v>0</v>
      </c>
      <c r="L62" s="61"/>
      <c r="M62" s="61"/>
      <c r="N62" s="61"/>
    </row>
    <row r="63" spans="1:14" ht="21.75" customHeight="1" x14ac:dyDescent="0.4">
      <c r="A63" s="55"/>
      <c r="B63" s="56"/>
      <c r="C63" s="56"/>
      <c r="D63" s="73"/>
      <c r="E63" s="77"/>
      <c r="F63" s="74" t="s">
        <v>51</v>
      </c>
      <c r="G63" s="76"/>
      <c r="H63" s="60" t="s">
        <v>16</v>
      </c>
      <c r="I63" s="67">
        <f ca="1">I62</f>
        <v>20</v>
      </c>
      <c r="J63" s="68">
        <v>0</v>
      </c>
      <c r="K63" s="49">
        <f t="shared" ca="1" si="14"/>
        <v>0</v>
      </c>
      <c r="L63" s="61"/>
      <c r="M63" s="61"/>
      <c r="N63" s="61"/>
    </row>
    <row r="64" spans="1:14" ht="21.75" customHeight="1" x14ac:dyDescent="0.4">
      <c r="A64" s="55"/>
      <c r="B64" s="56"/>
      <c r="C64" s="56"/>
      <c r="D64" s="73"/>
      <c r="E64" s="74" t="s">
        <v>35</v>
      </c>
      <c r="F64" s="75"/>
      <c r="G64" s="76"/>
      <c r="H64" s="66"/>
      <c r="I64" s="67"/>
      <c r="J64" s="68">
        <v>0</v>
      </c>
      <c r="K64" s="49"/>
      <c r="L64" s="61"/>
      <c r="M64" s="61"/>
      <c r="N64" s="61"/>
    </row>
    <row r="65" spans="1:14" ht="21.75" customHeight="1" x14ac:dyDescent="0.4">
      <c r="A65" s="105"/>
      <c r="B65" s="106"/>
      <c r="C65" s="106"/>
      <c r="D65" s="107">
        <v>3</v>
      </c>
      <c r="E65" s="108" t="s">
        <v>36</v>
      </c>
      <c r="F65" s="109"/>
      <c r="G65" s="110"/>
      <c r="H65" s="111"/>
      <c r="I65" s="112"/>
      <c r="J65" s="113">
        <v>0</v>
      </c>
      <c r="K65" s="114"/>
      <c r="L65" s="115"/>
      <c r="M65" s="115"/>
      <c r="N65" s="115"/>
    </row>
    <row r="66" spans="1:14" ht="21.75" customHeight="1" x14ac:dyDescent="0.4">
      <c r="A66" s="116" t="s">
        <v>52</v>
      </c>
      <c r="B66" s="117"/>
      <c r="C66" s="117"/>
      <c r="D66" s="117"/>
      <c r="E66" s="118"/>
      <c r="F66" s="118"/>
      <c r="G66" s="119"/>
      <c r="H66" s="120"/>
      <c r="I66" s="121"/>
      <c r="J66" s="121"/>
      <c r="K66" s="122"/>
      <c r="L66" s="123"/>
      <c r="M66" s="123"/>
      <c r="N66" s="123"/>
    </row>
    <row r="67" spans="1:14" ht="21.75" customHeight="1" x14ac:dyDescent="0.4">
      <c r="A67" s="124" t="s">
        <v>53</v>
      </c>
      <c r="B67" s="125"/>
      <c r="C67" s="125"/>
      <c r="D67" s="126"/>
      <c r="E67" s="126"/>
      <c r="F67" s="126"/>
      <c r="G67" s="127"/>
      <c r="H67" s="128"/>
      <c r="I67" s="129"/>
      <c r="J67" s="129"/>
      <c r="K67" s="130"/>
      <c r="L67" s="130"/>
      <c r="M67" s="130"/>
      <c r="N67" s="131"/>
    </row>
    <row r="68" spans="1:14" ht="21.75" customHeight="1" x14ac:dyDescent="0.4">
      <c r="A68" s="132"/>
      <c r="B68" s="133" t="s">
        <v>54</v>
      </c>
      <c r="C68" s="134"/>
      <c r="D68" s="133"/>
      <c r="E68" s="133"/>
      <c r="F68" s="133"/>
      <c r="G68" s="135"/>
      <c r="H68" s="136" t="s">
        <v>16</v>
      </c>
      <c r="I68" s="137">
        <f t="shared" ref="I68:J68" ca="1" si="15">I126+I129</f>
        <v>15</v>
      </c>
      <c r="J68" s="137">
        <f t="shared" si="15"/>
        <v>15</v>
      </c>
      <c r="K68" s="138">
        <f ca="1">IF(I68&gt;0,J68*100/I68,0)</f>
        <v>100</v>
      </c>
      <c r="L68" s="139">
        <f t="shared" ref="L68:M68" ca="1" si="16">SUM(L70:L71)</f>
        <v>254700</v>
      </c>
      <c r="M68" s="139">
        <f t="shared" si="16"/>
        <v>48070</v>
      </c>
      <c r="N68" s="138">
        <f ca="1">IF(L68&gt;0,M68*100/L68,0)</f>
        <v>18.873184138201808</v>
      </c>
    </row>
    <row r="69" spans="1:14" ht="21.75" customHeight="1" x14ac:dyDescent="0.4">
      <c r="A69" s="132"/>
      <c r="B69" s="133" t="s">
        <v>55</v>
      </c>
      <c r="C69" s="134"/>
      <c r="D69" s="133"/>
      <c r="E69" s="133"/>
      <c r="F69" s="133"/>
      <c r="G69" s="135"/>
      <c r="H69" s="136"/>
      <c r="I69" s="137"/>
      <c r="J69" s="137"/>
      <c r="K69" s="138"/>
      <c r="L69" s="139"/>
      <c r="M69" s="139"/>
      <c r="N69" s="138"/>
    </row>
    <row r="70" spans="1:14" ht="21.75" customHeight="1" x14ac:dyDescent="0.4">
      <c r="A70" s="42"/>
      <c r="B70" s="43"/>
      <c r="C70" s="43" t="s">
        <v>17</v>
      </c>
      <c r="D70" s="44" t="s">
        <v>18</v>
      </c>
      <c r="E70" s="45"/>
      <c r="F70" s="45"/>
      <c r="G70" s="46" t="s">
        <v>19</v>
      </c>
      <c r="H70" s="47" t="s">
        <v>20</v>
      </c>
      <c r="I70" s="48" t="s">
        <v>21</v>
      </c>
      <c r="J70" s="48"/>
      <c r="K70" s="49"/>
      <c r="L70" s="50">
        <v>0</v>
      </c>
      <c r="M70" s="50">
        <v>0</v>
      </c>
      <c r="N70" s="50">
        <f t="shared" ref="N70:N77" si="17">+IF(L70&gt;0,M70*100/L70,0)</f>
        <v>0</v>
      </c>
    </row>
    <row r="71" spans="1:14" ht="21.75" customHeight="1" x14ac:dyDescent="0.4">
      <c r="A71" s="42"/>
      <c r="B71" s="43"/>
      <c r="C71" s="43"/>
      <c r="D71" s="51"/>
      <c r="E71" s="45"/>
      <c r="F71" s="45" t="s">
        <v>21</v>
      </c>
      <c r="G71" s="46" t="s">
        <v>22</v>
      </c>
      <c r="H71" s="47" t="s">
        <v>20</v>
      </c>
      <c r="I71" s="48"/>
      <c r="J71" s="48"/>
      <c r="K71" s="49"/>
      <c r="L71" s="50">
        <f ca="1">L72+L73</f>
        <v>254700</v>
      </c>
      <c r="M71" s="140">
        <f>SUM(M72:M73)</f>
        <v>48070</v>
      </c>
      <c r="N71" s="50">
        <f t="shared" ca="1" si="17"/>
        <v>18.873184138201808</v>
      </c>
    </row>
    <row r="72" spans="1:14" ht="21.75" customHeight="1" x14ac:dyDescent="0.4">
      <c r="A72" s="42"/>
      <c r="B72" s="43"/>
      <c r="C72" s="43"/>
      <c r="D72" s="51"/>
      <c r="E72" s="45"/>
      <c r="F72" s="45"/>
      <c r="G72" s="52" t="s">
        <v>23</v>
      </c>
      <c r="H72" s="47" t="s">
        <v>20</v>
      </c>
      <c r="I72" s="48"/>
      <c r="J72" s="48"/>
      <c r="K72" s="49"/>
      <c r="L72" s="53">
        <f ca="1">IFERROR(__xludf.DUMMYFUNCTION("IMPORTRANGE(""https://docs.google.com/spreadsheets/d/1C3CXT74ZlgGe6_JY_1olB1XN4rF0dxEuIIF-xsYjHgg/edit?usp=sharing"",""พรบ!AD29"")"),132000)</f>
        <v>132000</v>
      </c>
      <c r="M72" s="54">
        <v>33000</v>
      </c>
      <c r="N72" s="53">
        <f t="shared" ca="1" si="17"/>
        <v>25</v>
      </c>
    </row>
    <row r="73" spans="1:14" ht="21.75" customHeight="1" x14ac:dyDescent="0.4">
      <c r="A73" s="42"/>
      <c r="B73" s="43"/>
      <c r="C73" s="43"/>
      <c r="D73" s="51"/>
      <c r="E73" s="45"/>
      <c r="F73" s="45"/>
      <c r="G73" s="52" t="s">
        <v>24</v>
      </c>
      <c r="H73" s="47" t="s">
        <v>20</v>
      </c>
      <c r="I73" s="48"/>
      <c r="J73" s="48"/>
      <c r="K73" s="49"/>
      <c r="L73" s="53">
        <f t="shared" ref="L73:M73" ca="1" si="18">L77+L92+L104+L117+L132</f>
        <v>122700</v>
      </c>
      <c r="M73" s="53">
        <f t="shared" si="18"/>
        <v>15070</v>
      </c>
      <c r="N73" s="53">
        <f t="shared" ca="1" si="17"/>
        <v>12.28198859005705</v>
      </c>
    </row>
    <row r="74" spans="1:14" ht="21.75" customHeight="1" x14ac:dyDescent="0.4">
      <c r="A74" s="141"/>
      <c r="B74" s="142"/>
      <c r="C74" s="143" t="s">
        <v>56</v>
      </c>
      <c r="D74" s="143"/>
      <c r="E74" s="143"/>
      <c r="F74" s="143"/>
      <c r="G74" s="144"/>
      <c r="H74" s="145" t="s">
        <v>57</v>
      </c>
      <c r="I74" s="146">
        <f t="shared" ref="I74:J74" ca="1" si="19">I83</f>
        <v>4</v>
      </c>
      <c r="J74" s="146">
        <f t="shared" si="19"/>
        <v>0</v>
      </c>
      <c r="K74" s="147">
        <f ca="1">IF(I74&gt;0,J74*100/I74,0)</f>
        <v>0</v>
      </c>
      <c r="L74" s="148">
        <f ca="1">L75+L76</f>
        <v>7500</v>
      </c>
      <c r="M74" s="148">
        <f>SUM(M75:M76)</f>
        <v>850</v>
      </c>
      <c r="N74" s="148">
        <f t="shared" ca="1" si="17"/>
        <v>11.333333333333334</v>
      </c>
    </row>
    <row r="75" spans="1:14" ht="21.75" customHeight="1" x14ac:dyDescent="0.4">
      <c r="A75" s="42"/>
      <c r="B75" s="43"/>
      <c r="C75" s="43" t="s">
        <v>17</v>
      </c>
      <c r="D75" s="44" t="s">
        <v>18</v>
      </c>
      <c r="E75" s="45"/>
      <c r="F75" s="45"/>
      <c r="G75" s="46" t="s">
        <v>19</v>
      </c>
      <c r="H75" s="47" t="s">
        <v>20</v>
      </c>
      <c r="I75" s="48" t="s">
        <v>21</v>
      </c>
      <c r="J75" s="48"/>
      <c r="K75" s="49"/>
      <c r="L75" s="50">
        <v>0</v>
      </c>
      <c r="M75" s="50">
        <v>0</v>
      </c>
      <c r="N75" s="50">
        <f t="shared" si="17"/>
        <v>0</v>
      </c>
    </row>
    <row r="76" spans="1:14" ht="21.75" customHeight="1" x14ac:dyDescent="0.4">
      <c r="A76" s="42"/>
      <c r="B76" s="43"/>
      <c r="C76" s="43"/>
      <c r="D76" s="51"/>
      <c r="E76" s="45"/>
      <c r="F76" s="45" t="s">
        <v>21</v>
      </c>
      <c r="G76" s="46" t="s">
        <v>22</v>
      </c>
      <c r="H76" s="47" t="s">
        <v>20</v>
      </c>
      <c r="I76" s="48"/>
      <c r="J76" s="48"/>
      <c r="K76" s="49"/>
      <c r="L76" s="50">
        <f t="shared" ref="L76:M76" ca="1" si="20">L77</f>
        <v>7500</v>
      </c>
      <c r="M76" s="50">
        <f t="shared" si="20"/>
        <v>850</v>
      </c>
      <c r="N76" s="50">
        <f t="shared" ca="1" si="17"/>
        <v>11.333333333333334</v>
      </c>
    </row>
    <row r="77" spans="1:14" ht="21.75" customHeight="1" x14ac:dyDescent="0.4">
      <c r="A77" s="42"/>
      <c r="B77" s="43"/>
      <c r="C77" s="43"/>
      <c r="D77" s="51"/>
      <c r="E77" s="45"/>
      <c r="F77" s="45"/>
      <c r="G77" s="52" t="s">
        <v>24</v>
      </c>
      <c r="H77" s="47" t="s">
        <v>20</v>
      </c>
      <c r="I77" s="48"/>
      <c r="J77" s="48"/>
      <c r="K77" s="49"/>
      <c r="L77" s="53">
        <f ca="1">IFERROR(__xludf.DUMMYFUNCTION("IMPORTRANGE(""https://docs.google.com/spreadsheets/d/1C3CXT74ZlgGe6_JY_1olB1XN4rF0dxEuIIF-xsYjHgg/edit?usp=sharing"",""พรบ!AF29"")"),7500)</f>
        <v>7500</v>
      </c>
      <c r="M77" s="54">
        <v>850</v>
      </c>
      <c r="N77" s="53">
        <f t="shared" ca="1" si="17"/>
        <v>11.333333333333334</v>
      </c>
    </row>
    <row r="78" spans="1:14" ht="21.75" customHeight="1" x14ac:dyDescent="0.4">
      <c r="A78" s="55"/>
      <c r="B78" s="56"/>
      <c r="C78" s="43" t="s">
        <v>17</v>
      </c>
      <c r="D78" s="57" t="s">
        <v>25</v>
      </c>
      <c r="E78" s="58"/>
      <c r="F78" s="58"/>
      <c r="G78" s="59"/>
      <c r="H78" s="60"/>
      <c r="I78" s="48"/>
      <c r="J78" s="48"/>
      <c r="K78" s="49"/>
      <c r="L78" s="61"/>
      <c r="M78" s="61"/>
      <c r="N78" s="61"/>
    </row>
    <row r="79" spans="1:14" ht="21.75" customHeight="1" x14ac:dyDescent="0.4">
      <c r="A79" s="55"/>
      <c r="B79" s="56"/>
      <c r="C79" s="56"/>
      <c r="D79" s="62">
        <v>1</v>
      </c>
      <c r="E79" s="63" t="s">
        <v>26</v>
      </c>
      <c r="F79" s="64"/>
      <c r="G79" s="65"/>
      <c r="H79" s="66"/>
      <c r="I79" s="67"/>
      <c r="J79" s="68">
        <v>0</v>
      </c>
      <c r="K79" s="49"/>
      <c r="L79" s="61"/>
      <c r="M79" s="61"/>
      <c r="N79" s="61"/>
    </row>
    <row r="80" spans="1:14" ht="21.75" customHeight="1" x14ac:dyDescent="0.4">
      <c r="A80" s="55"/>
      <c r="B80" s="56"/>
      <c r="C80" s="56"/>
      <c r="D80" s="69">
        <v>2</v>
      </c>
      <c r="E80" s="70" t="s">
        <v>27</v>
      </c>
      <c r="F80" s="71"/>
      <c r="G80" s="72"/>
      <c r="H80" s="66"/>
      <c r="I80" s="67"/>
      <c r="J80" s="68">
        <v>1</v>
      </c>
      <c r="K80" s="49"/>
      <c r="L80" s="61" t="s">
        <v>21</v>
      </c>
      <c r="M80" s="61" t="s">
        <v>21</v>
      </c>
      <c r="N80" s="61"/>
    </row>
    <row r="81" spans="1:14" ht="21.75" customHeight="1" x14ac:dyDescent="0.4">
      <c r="A81" s="55"/>
      <c r="B81" s="56"/>
      <c r="C81" s="56"/>
      <c r="D81" s="73"/>
      <c r="E81" s="74" t="s">
        <v>28</v>
      </c>
      <c r="F81" s="75"/>
      <c r="G81" s="76"/>
      <c r="H81" s="66"/>
      <c r="I81" s="67"/>
      <c r="J81" s="68">
        <v>1</v>
      </c>
      <c r="K81" s="49"/>
      <c r="L81" s="61"/>
      <c r="M81" s="61"/>
      <c r="N81" s="61"/>
    </row>
    <row r="82" spans="1:14" ht="21.75" customHeight="1" x14ac:dyDescent="0.4">
      <c r="A82" s="55"/>
      <c r="B82" s="56"/>
      <c r="C82" s="56"/>
      <c r="D82" s="73"/>
      <c r="E82" s="74" t="s">
        <v>29</v>
      </c>
      <c r="F82" s="75"/>
      <c r="G82" s="76"/>
      <c r="H82" s="66"/>
      <c r="I82" s="67"/>
      <c r="J82" s="68">
        <v>1</v>
      </c>
      <c r="K82" s="49"/>
      <c r="L82" s="61"/>
      <c r="M82" s="61"/>
      <c r="N82" s="61"/>
    </row>
    <row r="83" spans="1:14" ht="21.75" customHeight="1" x14ac:dyDescent="0.4">
      <c r="A83" s="55"/>
      <c r="B83" s="56"/>
      <c r="C83" s="56"/>
      <c r="D83" s="73"/>
      <c r="E83" s="77"/>
      <c r="F83" s="74" t="s">
        <v>58</v>
      </c>
      <c r="G83" s="76"/>
      <c r="H83" s="60" t="s">
        <v>57</v>
      </c>
      <c r="I83" s="67">
        <f ca="1">IFERROR(__xludf.DUMMYFUNCTION("IMPORTRANGE(""https://docs.google.com/spreadsheets/d/1C3CXT74ZlgGe6_JY_1olB1XN4rF0dxEuIIF-xsYjHgg/edit?usp=sharing"",""พรบ!AG29"")"),4)</f>
        <v>4</v>
      </c>
      <c r="J83" s="68">
        <v>0</v>
      </c>
      <c r="K83" s="49">
        <f ca="1">IF(I83&gt;0,J83*100/I83,0)</f>
        <v>0</v>
      </c>
      <c r="L83" s="61"/>
      <c r="M83" s="61"/>
      <c r="N83" s="61"/>
    </row>
    <row r="84" spans="1:14" ht="21.75" customHeight="1" x14ac:dyDescent="0.4">
      <c r="A84" s="55"/>
      <c r="B84" s="56"/>
      <c r="C84" s="56"/>
      <c r="D84" s="73"/>
      <c r="E84" s="75"/>
      <c r="F84" s="75" t="s">
        <v>59</v>
      </c>
      <c r="G84" s="76"/>
      <c r="H84" s="66" t="s">
        <v>16</v>
      </c>
      <c r="I84" s="67"/>
      <c r="J84" s="67">
        <f>J85+J86</f>
        <v>0</v>
      </c>
      <c r="K84" s="49"/>
      <c r="L84" s="61"/>
      <c r="M84" s="61"/>
      <c r="N84" s="61"/>
    </row>
    <row r="85" spans="1:14" ht="21.75" customHeight="1" x14ac:dyDescent="0.4">
      <c r="A85" s="55"/>
      <c r="B85" s="56"/>
      <c r="C85" s="56"/>
      <c r="D85" s="73"/>
      <c r="E85" s="75"/>
      <c r="F85" s="75"/>
      <c r="G85" s="76" t="s">
        <v>60</v>
      </c>
      <c r="H85" s="66" t="s">
        <v>16</v>
      </c>
      <c r="I85" s="67"/>
      <c r="J85" s="68">
        <v>0</v>
      </c>
      <c r="K85" s="49"/>
      <c r="L85" s="61"/>
      <c r="M85" s="61"/>
      <c r="N85" s="61"/>
    </row>
    <row r="86" spans="1:14" ht="21.75" customHeight="1" x14ac:dyDescent="0.4">
      <c r="A86" s="55"/>
      <c r="B86" s="56"/>
      <c r="C86" s="56"/>
      <c r="D86" s="73"/>
      <c r="E86" s="75"/>
      <c r="F86" s="75"/>
      <c r="G86" s="76" t="s">
        <v>61</v>
      </c>
      <c r="H86" s="66" t="s">
        <v>16</v>
      </c>
      <c r="I86" s="67"/>
      <c r="J86" s="68">
        <v>0</v>
      </c>
      <c r="K86" s="49"/>
      <c r="L86" s="61"/>
      <c r="M86" s="61"/>
      <c r="N86" s="61"/>
    </row>
    <row r="87" spans="1:14" ht="21.75" customHeight="1" x14ac:dyDescent="0.4">
      <c r="A87" s="55"/>
      <c r="B87" s="56"/>
      <c r="C87" s="56"/>
      <c r="D87" s="73"/>
      <c r="E87" s="74" t="s">
        <v>35</v>
      </c>
      <c r="F87" s="75"/>
      <c r="G87" s="76"/>
      <c r="H87" s="66"/>
      <c r="I87" s="67"/>
      <c r="J87" s="68">
        <v>0</v>
      </c>
      <c r="K87" s="49"/>
      <c r="L87" s="61"/>
      <c r="M87" s="61"/>
      <c r="N87" s="61"/>
    </row>
    <row r="88" spans="1:14" ht="21.75" customHeight="1" x14ac:dyDescent="0.4">
      <c r="A88" s="55"/>
      <c r="B88" s="56"/>
      <c r="C88" s="56"/>
      <c r="D88" s="81">
        <v>3</v>
      </c>
      <c r="E88" s="82" t="s">
        <v>36</v>
      </c>
      <c r="F88" s="83"/>
      <c r="G88" s="84"/>
      <c r="H88" s="66"/>
      <c r="I88" s="67"/>
      <c r="J88" s="85">
        <v>0</v>
      </c>
      <c r="K88" s="49"/>
      <c r="L88" s="61"/>
      <c r="M88" s="61"/>
      <c r="N88" s="61"/>
    </row>
    <row r="89" spans="1:14" ht="21.75" customHeight="1" x14ac:dyDescent="0.4">
      <c r="A89" s="141"/>
      <c r="B89" s="142"/>
      <c r="C89" s="143" t="s">
        <v>62</v>
      </c>
      <c r="D89" s="143"/>
      <c r="E89" s="143"/>
      <c r="F89" s="143"/>
      <c r="G89" s="144"/>
      <c r="H89" s="149" t="s">
        <v>63</v>
      </c>
      <c r="I89" s="150">
        <f t="shared" ref="I89:J89" ca="1" si="21">I98</f>
        <v>2</v>
      </c>
      <c r="J89" s="150">
        <f t="shared" si="21"/>
        <v>0</v>
      </c>
      <c r="K89" s="151">
        <f ca="1">IF(I89&gt;0,J89*100/I89,0)</f>
        <v>0</v>
      </c>
      <c r="L89" s="148">
        <f ca="1">L90+L91</f>
        <v>28000</v>
      </c>
      <c r="M89" s="148">
        <f>SUM(M90:M91)</f>
        <v>0</v>
      </c>
      <c r="N89" s="148">
        <f t="shared" ref="N89:N92" ca="1" si="22">+IF(L89&gt;0,M89*100/L89,0)</f>
        <v>0</v>
      </c>
    </row>
    <row r="90" spans="1:14" ht="21.75" customHeight="1" x14ac:dyDescent="0.4">
      <c r="A90" s="42"/>
      <c r="B90" s="43"/>
      <c r="C90" s="43" t="s">
        <v>17</v>
      </c>
      <c r="D90" s="44" t="s">
        <v>18</v>
      </c>
      <c r="E90" s="45"/>
      <c r="F90" s="45"/>
      <c r="G90" s="46" t="s">
        <v>19</v>
      </c>
      <c r="H90" s="47" t="s">
        <v>20</v>
      </c>
      <c r="I90" s="48" t="s">
        <v>21</v>
      </c>
      <c r="J90" s="48"/>
      <c r="K90" s="49"/>
      <c r="L90" s="50">
        <v>0</v>
      </c>
      <c r="M90" s="50">
        <v>0</v>
      </c>
      <c r="N90" s="50">
        <f t="shared" si="22"/>
        <v>0</v>
      </c>
    </row>
    <row r="91" spans="1:14" ht="21.75" customHeight="1" x14ac:dyDescent="0.4">
      <c r="A91" s="42"/>
      <c r="B91" s="43"/>
      <c r="C91" s="43"/>
      <c r="D91" s="51"/>
      <c r="E91" s="45"/>
      <c r="F91" s="45" t="s">
        <v>21</v>
      </c>
      <c r="G91" s="46" t="s">
        <v>22</v>
      </c>
      <c r="H91" s="47" t="s">
        <v>20</v>
      </c>
      <c r="I91" s="48"/>
      <c r="J91" s="48"/>
      <c r="K91" s="49"/>
      <c r="L91" s="50">
        <f t="shared" ref="L91:M91" ca="1" si="23">L92</f>
        <v>28000</v>
      </c>
      <c r="M91" s="50">
        <f t="shared" si="23"/>
        <v>0</v>
      </c>
      <c r="N91" s="50">
        <f t="shared" ca="1" si="22"/>
        <v>0</v>
      </c>
    </row>
    <row r="92" spans="1:14" ht="21.75" customHeight="1" x14ac:dyDescent="0.4">
      <c r="A92" s="42"/>
      <c r="B92" s="43"/>
      <c r="C92" s="43"/>
      <c r="D92" s="51"/>
      <c r="E92" s="45"/>
      <c r="F92" s="45"/>
      <c r="G92" s="52" t="s">
        <v>24</v>
      </c>
      <c r="H92" s="47" t="s">
        <v>20</v>
      </c>
      <c r="I92" s="48"/>
      <c r="J92" s="48"/>
      <c r="K92" s="49"/>
      <c r="L92" s="53">
        <f ca="1">IFERROR(__xludf.DUMMYFUNCTION("IMPORTRANGE(""https://docs.google.com/spreadsheets/d/1C3CXT74ZlgGe6_JY_1olB1XN4rF0dxEuIIF-xsYjHgg/edit?usp=sharing"",""พรบ!AH29"")"),28000)</f>
        <v>28000</v>
      </c>
      <c r="M92" s="54">
        <v>0</v>
      </c>
      <c r="N92" s="53">
        <f t="shared" ca="1" si="22"/>
        <v>0</v>
      </c>
    </row>
    <row r="93" spans="1:14" ht="21.75" customHeight="1" x14ac:dyDescent="0.4">
      <c r="A93" s="55"/>
      <c r="B93" s="56"/>
      <c r="C93" s="43" t="s">
        <v>17</v>
      </c>
      <c r="D93" s="57" t="s">
        <v>25</v>
      </c>
      <c r="E93" s="58"/>
      <c r="F93" s="58"/>
      <c r="G93" s="59"/>
      <c r="H93" s="60"/>
      <c r="I93" s="48"/>
      <c r="J93" s="48"/>
      <c r="K93" s="49"/>
      <c r="L93" s="61"/>
      <c r="M93" s="61"/>
      <c r="N93" s="61"/>
    </row>
    <row r="94" spans="1:14" ht="21.75" customHeight="1" x14ac:dyDescent="0.4">
      <c r="A94" s="55"/>
      <c r="B94" s="56"/>
      <c r="C94" s="56"/>
      <c r="D94" s="62">
        <v>1</v>
      </c>
      <c r="E94" s="63" t="s">
        <v>26</v>
      </c>
      <c r="F94" s="64"/>
      <c r="G94" s="65"/>
      <c r="H94" s="66"/>
      <c r="I94" s="67"/>
      <c r="J94" s="68">
        <v>0</v>
      </c>
      <c r="K94" s="49"/>
      <c r="L94" s="61"/>
      <c r="M94" s="61"/>
      <c r="N94" s="61"/>
    </row>
    <row r="95" spans="1:14" ht="21.75" customHeight="1" x14ac:dyDescent="0.4">
      <c r="A95" s="55"/>
      <c r="B95" s="56"/>
      <c r="C95" s="56"/>
      <c r="D95" s="69">
        <v>2</v>
      </c>
      <c r="E95" s="70" t="s">
        <v>27</v>
      </c>
      <c r="F95" s="71"/>
      <c r="G95" s="72"/>
      <c r="H95" s="66"/>
      <c r="I95" s="67"/>
      <c r="J95" s="68">
        <v>1</v>
      </c>
      <c r="K95" s="49"/>
      <c r="L95" s="61" t="s">
        <v>21</v>
      </c>
      <c r="M95" s="61" t="s">
        <v>21</v>
      </c>
      <c r="N95" s="61"/>
    </row>
    <row r="96" spans="1:14" ht="21.75" customHeight="1" x14ac:dyDescent="0.4">
      <c r="A96" s="55"/>
      <c r="B96" s="56"/>
      <c r="C96" s="56"/>
      <c r="D96" s="73"/>
      <c r="E96" s="74" t="s">
        <v>28</v>
      </c>
      <c r="F96" s="75"/>
      <c r="G96" s="76"/>
      <c r="H96" s="66"/>
      <c r="I96" s="67"/>
      <c r="J96" s="68">
        <v>0</v>
      </c>
      <c r="K96" s="49"/>
      <c r="L96" s="61"/>
      <c r="M96" s="61"/>
      <c r="N96" s="61"/>
    </row>
    <row r="97" spans="1:14" ht="21.75" customHeight="1" x14ac:dyDescent="0.4">
      <c r="A97" s="55"/>
      <c r="B97" s="56"/>
      <c r="C97" s="56"/>
      <c r="D97" s="73"/>
      <c r="E97" s="74" t="s">
        <v>29</v>
      </c>
      <c r="F97" s="75"/>
      <c r="G97" s="76"/>
      <c r="H97" s="66"/>
      <c r="I97" s="67"/>
      <c r="J97" s="68">
        <v>0</v>
      </c>
      <c r="K97" s="49"/>
      <c r="L97" s="61"/>
      <c r="M97" s="61"/>
      <c r="N97" s="61"/>
    </row>
    <row r="98" spans="1:14" ht="21.75" customHeight="1" x14ac:dyDescent="0.4">
      <c r="A98" s="55"/>
      <c r="B98" s="56"/>
      <c r="C98" s="56"/>
      <c r="D98" s="73"/>
      <c r="E98" s="77"/>
      <c r="F98" s="74" t="s">
        <v>64</v>
      </c>
      <c r="G98" s="76"/>
      <c r="H98" s="60" t="s">
        <v>63</v>
      </c>
      <c r="I98" s="67">
        <f ca="1">IFERROR(__xludf.DUMMYFUNCTION("IMPORTRANGE(""https://docs.google.com/spreadsheets/d/1C3CXT74ZlgGe6_JY_1olB1XN4rF0dxEuIIF-xsYjHgg/edit?usp=sharing"",""พรบ!AI29"")"),2)</f>
        <v>2</v>
      </c>
      <c r="J98" s="68">
        <v>0</v>
      </c>
      <c r="K98" s="49">
        <f ca="1">IF(I98&gt;0,J98*100/I98,0)</f>
        <v>0</v>
      </c>
      <c r="L98" s="53">
        <f ca="1">IFERROR(__xludf.DUMMYFUNCTION("IMPORTRANGE(""https://docs.google.com/spreadsheets/d/1C3CXT74ZlgGe6_JY_1olB1XN4rF0dxEuIIF-xsYjHgg/edit?usp=sharing"",""กปร!C29"")"),24000)</f>
        <v>24000</v>
      </c>
      <c r="M98" s="359">
        <v>0</v>
      </c>
      <c r="N98" s="53">
        <f ca="1">+IF(L98&gt;0,M98*100/L98,0)</f>
        <v>0</v>
      </c>
    </row>
    <row r="99" spans="1:14" ht="21.75" customHeight="1" x14ac:dyDescent="0.4">
      <c r="A99" s="55"/>
      <c r="B99" s="56"/>
      <c r="C99" s="56"/>
      <c r="D99" s="73"/>
      <c r="E99" s="74" t="s">
        <v>35</v>
      </c>
      <c r="F99" s="75"/>
      <c r="G99" s="76"/>
      <c r="H99" s="66"/>
      <c r="I99" s="67"/>
      <c r="J99" s="68">
        <v>0</v>
      </c>
      <c r="K99" s="49"/>
      <c r="L99" s="61"/>
      <c r="M99" s="61"/>
      <c r="N99" s="61"/>
    </row>
    <row r="100" spans="1:14" ht="21.75" customHeight="1" x14ac:dyDescent="0.4">
      <c r="A100" s="55"/>
      <c r="B100" s="56"/>
      <c r="C100" s="56"/>
      <c r="D100" s="81">
        <v>3</v>
      </c>
      <c r="E100" s="82" t="s">
        <v>36</v>
      </c>
      <c r="F100" s="83"/>
      <c r="G100" s="84"/>
      <c r="H100" s="66"/>
      <c r="I100" s="67"/>
      <c r="J100" s="85">
        <v>0</v>
      </c>
      <c r="K100" s="49"/>
      <c r="L100" s="61"/>
      <c r="M100" s="61"/>
      <c r="N100" s="61"/>
    </row>
    <row r="101" spans="1:14" ht="21.75" customHeight="1" x14ac:dyDescent="0.4">
      <c r="A101" s="141"/>
      <c r="B101" s="142"/>
      <c r="C101" s="143" t="s">
        <v>65</v>
      </c>
      <c r="D101" s="143"/>
      <c r="E101" s="143"/>
      <c r="F101" s="143"/>
      <c r="G101" s="144"/>
      <c r="H101" s="149" t="s">
        <v>63</v>
      </c>
      <c r="I101" s="150">
        <f t="shared" ref="I101:J101" ca="1" si="24">I111</f>
        <v>2</v>
      </c>
      <c r="J101" s="150">
        <f t="shared" si="24"/>
        <v>0</v>
      </c>
      <c r="K101" s="151">
        <f ca="1">IF(I101&gt;0,J101*100/I101,0)</f>
        <v>0</v>
      </c>
      <c r="L101" s="148">
        <f ca="1">L102+L103</f>
        <v>30000</v>
      </c>
      <c r="M101" s="148">
        <f>SUM(M102:M103)</f>
        <v>0</v>
      </c>
      <c r="N101" s="148">
        <f t="shared" ref="N101:N104" ca="1" si="25">+IF(L101&gt;0,M101*100/L101,0)</f>
        <v>0</v>
      </c>
    </row>
    <row r="102" spans="1:14" ht="21.75" customHeight="1" x14ac:dyDescent="0.4">
      <c r="A102" s="42"/>
      <c r="B102" s="43"/>
      <c r="C102" s="43" t="s">
        <v>17</v>
      </c>
      <c r="D102" s="44" t="s">
        <v>18</v>
      </c>
      <c r="E102" s="45"/>
      <c r="F102" s="45"/>
      <c r="G102" s="46" t="s">
        <v>19</v>
      </c>
      <c r="H102" s="47" t="s">
        <v>20</v>
      </c>
      <c r="I102" s="48" t="s">
        <v>21</v>
      </c>
      <c r="J102" s="48"/>
      <c r="K102" s="49"/>
      <c r="L102" s="50">
        <v>0</v>
      </c>
      <c r="M102" s="50">
        <v>0</v>
      </c>
      <c r="N102" s="50">
        <f t="shared" si="25"/>
        <v>0</v>
      </c>
    </row>
    <row r="103" spans="1:14" ht="21.75" customHeight="1" x14ac:dyDescent="0.4">
      <c r="A103" s="42"/>
      <c r="B103" s="43"/>
      <c r="C103" s="43"/>
      <c r="D103" s="51"/>
      <c r="E103" s="45"/>
      <c r="F103" s="45" t="s">
        <v>21</v>
      </c>
      <c r="G103" s="46" t="s">
        <v>22</v>
      </c>
      <c r="H103" s="47" t="s">
        <v>20</v>
      </c>
      <c r="I103" s="48"/>
      <c r="J103" s="48"/>
      <c r="K103" s="49"/>
      <c r="L103" s="50">
        <f ca="1">SUM(L104)</f>
        <v>30000</v>
      </c>
      <c r="M103" s="50">
        <f>M104</f>
        <v>0</v>
      </c>
      <c r="N103" s="50">
        <f t="shared" ca="1" si="25"/>
        <v>0</v>
      </c>
    </row>
    <row r="104" spans="1:14" ht="21.75" customHeight="1" x14ac:dyDescent="0.4">
      <c r="A104" s="42"/>
      <c r="B104" s="43"/>
      <c r="C104" s="43"/>
      <c r="D104" s="51"/>
      <c r="E104" s="45"/>
      <c r="F104" s="45"/>
      <c r="G104" s="52" t="s">
        <v>24</v>
      </c>
      <c r="H104" s="47" t="s">
        <v>20</v>
      </c>
      <c r="I104" s="48"/>
      <c r="J104" s="48"/>
      <c r="K104" s="49"/>
      <c r="L104" s="53">
        <f ca="1">IFERROR(__xludf.DUMMYFUNCTION("IMPORTRANGE(""https://docs.google.com/spreadsheets/d/1C3CXT74ZlgGe6_JY_1olB1XN4rF0dxEuIIF-xsYjHgg/edit?usp=sharing"",""พรบ!AJ29"")"),30000)</f>
        <v>30000</v>
      </c>
      <c r="M104" s="54">
        <v>0</v>
      </c>
      <c r="N104" s="53">
        <f t="shared" ca="1" si="25"/>
        <v>0</v>
      </c>
    </row>
    <row r="105" spans="1:14" ht="21.75" customHeight="1" x14ac:dyDescent="0.4">
      <c r="A105" s="55"/>
      <c r="B105" s="56"/>
      <c r="C105" s="43" t="s">
        <v>17</v>
      </c>
      <c r="D105" s="57" t="s">
        <v>25</v>
      </c>
      <c r="E105" s="58"/>
      <c r="F105" s="58"/>
      <c r="G105" s="59"/>
      <c r="H105" s="60"/>
      <c r="I105" s="48"/>
      <c r="J105" s="48"/>
      <c r="K105" s="49"/>
      <c r="L105" s="61"/>
      <c r="M105" s="61"/>
      <c r="N105" s="61"/>
    </row>
    <row r="106" spans="1:14" ht="21.75" customHeight="1" x14ac:dyDescent="0.4">
      <c r="A106" s="55"/>
      <c r="B106" s="56"/>
      <c r="C106" s="56"/>
      <c r="D106" s="62">
        <v>1</v>
      </c>
      <c r="E106" s="63" t="s">
        <v>26</v>
      </c>
      <c r="F106" s="64"/>
      <c r="G106" s="65"/>
      <c r="H106" s="66"/>
      <c r="I106" s="67"/>
      <c r="J106" s="68">
        <v>0</v>
      </c>
      <c r="K106" s="49"/>
      <c r="L106" s="61"/>
      <c r="M106" s="61"/>
      <c r="N106" s="61"/>
    </row>
    <row r="107" spans="1:14" ht="21.75" customHeight="1" x14ac:dyDescent="0.4">
      <c r="A107" s="55"/>
      <c r="B107" s="56"/>
      <c r="C107" s="56"/>
      <c r="D107" s="69">
        <v>2</v>
      </c>
      <c r="E107" s="70" t="s">
        <v>27</v>
      </c>
      <c r="F107" s="71"/>
      <c r="G107" s="72"/>
      <c r="H107" s="66"/>
      <c r="I107" s="67"/>
      <c r="J107" s="68">
        <v>1</v>
      </c>
      <c r="K107" s="49"/>
      <c r="L107" s="61" t="s">
        <v>21</v>
      </c>
      <c r="M107" s="61" t="s">
        <v>21</v>
      </c>
      <c r="N107" s="61"/>
    </row>
    <row r="108" spans="1:14" ht="21.75" customHeight="1" x14ac:dyDescent="0.4">
      <c r="A108" s="55"/>
      <c r="B108" s="56"/>
      <c r="C108" s="56"/>
      <c r="D108" s="73"/>
      <c r="E108" s="74" t="s">
        <v>28</v>
      </c>
      <c r="F108" s="75"/>
      <c r="G108" s="76"/>
      <c r="H108" s="66"/>
      <c r="I108" s="67"/>
      <c r="J108" s="68">
        <v>0</v>
      </c>
      <c r="K108" s="49"/>
      <c r="L108" s="61"/>
      <c r="M108" s="61"/>
      <c r="N108" s="61"/>
    </row>
    <row r="109" spans="1:14" ht="21.75" customHeight="1" x14ac:dyDescent="0.4">
      <c r="A109" s="55"/>
      <c r="B109" s="56"/>
      <c r="C109" s="56"/>
      <c r="D109" s="73"/>
      <c r="E109" s="74" t="s">
        <v>29</v>
      </c>
      <c r="F109" s="75"/>
      <c r="G109" s="76"/>
      <c r="H109" s="66"/>
      <c r="I109" s="67"/>
      <c r="J109" s="68">
        <v>0</v>
      </c>
      <c r="K109" s="49"/>
      <c r="L109" s="61"/>
      <c r="M109" s="61"/>
      <c r="N109" s="61"/>
    </row>
    <row r="110" spans="1:14" ht="21.75" customHeight="1" x14ac:dyDescent="0.4">
      <c r="A110" s="55"/>
      <c r="B110" s="56"/>
      <c r="C110" s="56"/>
      <c r="D110" s="73"/>
      <c r="E110" s="77"/>
      <c r="F110" s="74" t="s">
        <v>66</v>
      </c>
      <c r="G110" s="76"/>
      <c r="H110" s="60" t="s">
        <v>63</v>
      </c>
      <c r="I110" s="67">
        <f ca="1">IFERROR(__xludf.DUMMYFUNCTION("IMPORTRANGE(""https://docs.google.com/spreadsheets/d/1C3CXT74ZlgGe6_JY_1olB1XN4rF0dxEuIIF-xsYjHgg/edit?usp=sharing"",""พรบ!AK29"")"),2)</f>
        <v>2</v>
      </c>
      <c r="J110" s="68">
        <v>0</v>
      </c>
      <c r="K110" s="49">
        <f t="shared" ref="K110:K111" ca="1" si="26">IF(I110&gt;0,J110*100/I110,0)</f>
        <v>0</v>
      </c>
      <c r="L110" s="53">
        <f ca="1">IFERROR(__xludf.DUMMYFUNCTION("IMPORTRANGE(""https://docs.google.com/spreadsheets/d/1C3CXT74ZlgGe6_JY_1olB1XN4rF0dxEuIIF-xsYjHgg/edit?usp=sharing"",""กปร!D29"")"),10000)</f>
        <v>10000</v>
      </c>
      <c r="M110" s="359">
        <v>0</v>
      </c>
      <c r="N110" s="53">
        <f t="shared" ref="N110:N111" ca="1" si="27">+IF(L110&gt;0,M110*100/L110,0)</f>
        <v>0</v>
      </c>
    </row>
    <row r="111" spans="1:14" ht="21.75" customHeight="1" x14ac:dyDescent="0.4">
      <c r="A111" s="55"/>
      <c r="B111" s="56"/>
      <c r="C111" s="56"/>
      <c r="D111" s="73"/>
      <c r="E111" s="77"/>
      <c r="F111" s="74" t="s">
        <v>67</v>
      </c>
      <c r="G111" s="76"/>
      <c r="H111" s="60" t="s">
        <v>63</v>
      </c>
      <c r="I111" s="67">
        <f ca="1">IFERROR(__xludf.DUMMYFUNCTION("IMPORTRANGE(""https://docs.google.com/spreadsheets/d/1C3CXT74ZlgGe6_JY_1olB1XN4rF0dxEuIIF-xsYjHgg/edit?usp=sharing"",""พรบ!AL29"")"),2)</f>
        <v>2</v>
      </c>
      <c r="J111" s="68">
        <v>0</v>
      </c>
      <c r="K111" s="49">
        <f t="shared" ca="1" si="26"/>
        <v>0</v>
      </c>
      <c r="L111" s="53">
        <f ca="1">IFERROR(__xludf.DUMMYFUNCTION("IMPORTRANGE(""https://docs.google.com/spreadsheets/d/1C3CXT74ZlgGe6_JY_1olB1XN4rF0dxEuIIF-xsYjHgg/edit?usp=sharing"",""กปร!E29"")"),16000)</f>
        <v>16000</v>
      </c>
      <c r="M111" s="359">
        <v>0</v>
      </c>
      <c r="N111" s="53">
        <f t="shared" ca="1" si="27"/>
        <v>0</v>
      </c>
    </row>
    <row r="112" spans="1:14" ht="21.75" customHeight="1" x14ac:dyDescent="0.4">
      <c r="A112" s="55"/>
      <c r="B112" s="56"/>
      <c r="C112" s="56"/>
      <c r="D112" s="73"/>
      <c r="E112" s="74" t="s">
        <v>35</v>
      </c>
      <c r="F112" s="75"/>
      <c r="G112" s="76"/>
      <c r="H112" s="66"/>
      <c r="I112" s="67"/>
      <c r="J112" s="68">
        <v>0</v>
      </c>
      <c r="K112" s="49"/>
      <c r="L112" s="61"/>
      <c r="M112" s="61"/>
      <c r="N112" s="61"/>
    </row>
    <row r="113" spans="1:14" ht="21.75" customHeight="1" x14ac:dyDescent="0.4">
      <c r="A113" s="55"/>
      <c r="B113" s="56"/>
      <c r="C113" s="56"/>
      <c r="D113" s="81">
        <v>3</v>
      </c>
      <c r="E113" s="82" t="s">
        <v>36</v>
      </c>
      <c r="F113" s="83"/>
      <c r="G113" s="84"/>
      <c r="H113" s="66"/>
      <c r="I113" s="67"/>
      <c r="J113" s="85">
        <v>0</v>
      </c>
      <c r="K113" s="49"/>
      <c r="L113" s="61"/>
      <c r="M113" s="61"/>
      <c r="N113" s="61"/>
    </row>
    <row r="114" spans="1:14" ht="21.75" customHeight="1" x14ac:dyDescent="0.4">
      <c r="A114" s="141"/>
      <c r="B114" s="142"/>
      <c r="C114" s="143" t="s">
        <v>68</v>
      </c>
      <c r="D114" s="143"/>
      <c r="E114" s="143"/>
      <c r="F114" s="143"/>
      <c r="G114" s="144"/>
      <c r="H114" s="152" t="s">
        <v>69</v>
      </c>
      <c r="I114" s="150">
        <f t="shared" ref="I114:J114" ca="1" si="28">I125</f>
        <v>128000</v>
      </c>
      <c r="J114" s="150">
        <f t="shared" si="28"/>
        <v>0</v>
      </c>
      <c r="K114" s="151">
        <f ca="1">IF(I114&gt;0,J114*100/I114,0)</f>
        <v>0</v>
      </c>
      <c r="L114" s="148">
        <f ca="1">L115+L116</f>
        <v>57200</v>
      </c>
      <c r="M114" s="148">
        <f>SUM(M115:M116)</f>
        <v>14220</v>
      </c>
      <c r="N114" s="148">
        <f t="shared" ref="N114:N117" ca="1" si="29">+IF(L114&gt;0,M114*100/L114,0)</f>
        <v>24.86013986013986</v>
      </c>
    </row>
    <row r="115" spans="1:14" ht="21.75" customHeight="1" x14ac:dyDescent="0.4">
      <c r="A115" s="42"/>
      <c r="B115" s="43"/>
      <c r="C115" s="43" t="s">
        <v>17</v>
      </c>
      <c r="D115" s="44" t="s">
        <v>18</v>
      </c>
      <c r="E115" s="45"/>
      <c r="F115" s="45"/>
      <c r="G115" s="46" t="s">
        <v>19</v>
      </c>
      <c r="H115" s="47" t="s">
        <v>20</v>
      </c>
      <c r="I115" s="48" t="s">
        <v>21</v>
      </c>
      <c r="J115" s="48"/>
      <c r="K115" s="49"/>
      <c r="L115" s="50">
        <v>0</v>
      </c>
      <c r="M115" s="50">
        <v>0</v>
      </c>
      <c r="N115" s="50">
        <f t="shared" si="29"/>
        <v>0</v>
      </c>
    </row>
    <row r="116" spans="1:14" ht="21.75" customHeight="1" x14ac:dyDescent="0.4">
      <c r="A116" s="42"/>
      <c r="B116" s="43"/>
      <c r="C116" s="43"/>
      <c r="D116" s="51"/>
      <c r="E116" s="45"/>
      <c r="F116" s="45" t="s">
        <v>21</v>
      </c>
      <c r="G116" s="46" t="s">
        <v>22</v>
      </c>
      <c r="H116" s="47" t="s">
        <v>20</v>
      </c>
      <c r="I116" s="48"/>
      <c r="J116" s="48"/>
      <c r="K116" s="49"/>
      <c r="L116" s="50">
        <f ca="1">SUM(L117)</f>
        <v>57200</v>
      </c>
      <c r="M116" s="50">
        <f>M117</f>
        <v>14220</v>
      </c>
      <c r="N116" s="50">
        <f t="shared" ca="1" si="29"/>
        <v>24.86013986013986</v>
      </c>
    </row>
    <row r="117" spans="1:14" ht="21.75" customHeight="1" x14ac:dyDescent="0.4">
      <c r="A117" s="42"/>
      <c r="B117" s="43"/>
      <c r="C117" s="43"/>
      <c r="D117" s="51"/>
      <c r="E117" s="45"/>
      <c r="F117" s="45"/>
      <c r="G117" s="52" t="s">
        <v>24</v>
      </c>
      <c r="H117" s="47" t="s">
        <v>20</v>
      </c>
      <c r="I117" s="48"/>
      <c r="J117" s="48"/>
      <c r="K117" s="49"/>
      <c r="L117" s="53">
        <f ca="1">IFERROR(__xludf.DUMMYFUNCTION("IMPORTRANGE(""https://docs.google.com/spreadsheets/d/1C3CXT74ZlgGe6_JY_1olB1XN4rF0dxEuIIF-xsYjHgg/edit?usp=sharing"",""พรบ!AM29"")"),57200)</f>
        <v>57200</v>
      </c>
      <c r="M117" s="54">
        <v>14220</v>
      </c>
      <c r="N117" s="53">
        <f t="shared" ca="1" si="29"/>
        <v>24.86013986013986</v>
      </c>
    </row>
    <row r="118" spans="1:14" ht="21.75" customHeight="1" x14ac:dyDescent="0.4">
      <c r="A118" s="55"/>
      <c r="B118" s="56"/>
      <c r="C118" s="43" t="s">
        <v>17</v>
      </c>
      <c r="D118" s="57" t="s">
        <v>25</v>
      </c>
      <c r="E118" s="58"/>
      <c r="F118" s="58"/>
      <c r="G118" s="59"/>
      <c r="H118" s="60"/>
      <c r="I118" s="48"/>
      <c r="J118" s="48"/>
      <c r="K118" s="49"/>
      <c r="L118" s="61"/>
      <c r="M118" s="61"/>
      <c r="N118" s="61"/>
    </row>
    <row r="119" spans="1:14" ht="21.75" customHeight="1" x14ac:dyDescent="0.4">
      <c r="A119" s="55"/>
      <c r="B119" s="56"/>
      <c r="C119" s="56"/>
      <c r="D119" s="62">
        <v>1</v>
      </c>
      <c r="E119" s="63" t="s">
        <v>26</v>
      </c>
      <c r="F119" s="64"/>
      <c r="G119" s="65"/>
      <c r="H119" s="66"/>
      <c r="I119" s="67"/>
      <c r="J119" s="68">
        <v>0</v>
      </c>
      <c r="K119" s="49"/>
      <c r="L119" s="61"/>
      <c r="M119" s="61"/>
      <c r="N119" s="61"/>
    </row>
    <row r="120" spans="1:14" ht="21.75" customHeight="1" x14ac:dyDescent="0.4">
      <c r="A120" s="55"/>
      <c r="B120" s="56"/>
      <c r="C120" s="56"/>
      <c r="D120" s="69">
        <v>2</v>
      </c>
      <c r="E120" s="70" t="s">
        <v>27</v>
      </c>
      <c r="F120" s="71"/>
      <c r="G120" s="72"/>
      <c r="H120" s="66"/>
      <c r="I120" s="67"/>
      <c r="J120" s="68">
        <v>1</v>
      </c>
      <c r="K120" s="49"/>
      <c r="L120" s="61" t="s">
        <v>21</v>
      </c>
      <c r="M120" s="61" t="s">
        <v>21</v>
      </c>
      <c r="N120" s="61"/>
    </row>
    <row r="121" spans="1:14" ht="21.75" customHeight="1" x14ac:dyDescent="0.4">
      <c r="A121" s="55"/>
      <c r="B121" s="56"/>
      <c r="C121" s="56"/>
      <c r="D121" s="73"/>
      <c r="E121" s="74" t="s">
        <v>28</v>
      </c>
      <c r="F121" s="75"/>
      <c r="G121" s="76"/>
      <c r="H121" s="66"/>
      <c r="I121" s="67"/>
      <c r="J121" s="68">
        <v>1</v>
      </c>
      <c r="K121" s="49"/>
      <c r="L121" s="61"/>
      <c r="M121" s="61"/>
      <c r="N121" s="61"/>
    </row>
    <row r="122" spans="1:14" ht="21.75" customHeight="1" x14ac:dyDescent="0.4">
      <c r="A122" s="55"/>
      <c r="B122" s="56"/>
      <c r="C122" s="56"/>
      <c r="D122" s="73"/>
      <c r="E122" s="74" t="s">
        <v>29</v>
      </c>
      <c r="F122" s="75"/>
      <c r="G122" s="76"/>
      <c r="H122" s="66"/>
      <c r="I122" s="67"/>
      <c r="J122" s="68">
        <v>1</v>
      </c>
      <c r="K122" s="49"/>
      <c r="L122" s="61"/>
      <c r="M122" s="61"/>
      <c r="N122" s="61"/>
    </row>
    <row r="123" spans="1:14" ht="21.75" customHeight="1" x14ac:dyDescent="0.4">
      <c r="A123" s="55"/>
      <c r="B123" s="56"/>
      <c r="C123" s="56"/>
      <c r="D123" s="73"/>
      <c r="E123" s="75"/>
      <c r="F123" s="75" t="s">
        <v>70</v>
      </c>
      <c r="G123" s="76"/>
      <c r="H123" s="60"/>
      <c r="I123" s="67"/>
      <c r="J123" s="67"/>
      <c r="K123" s="49"/>
      <c r="L123" s="61"/>
      <c r="M123" s="61"/>
      <c r="N123" s="61"/>
    </row>
    <row r="124" spans="1:14" ht="21.75" customHeight="1" x14ac:dyDescent="0.4">
      <c r="A124" s="55"/>
      <c r="B124" s="56"/>
      <c r="C124" s="56"/>
      <c r="D124" s="73"/>
      <c r="E124" s="77"/>
      <c r="F124" s="75"/>
      <c r="G124" s="74" t="s">
        <v>71</v>
      </c>
      <c r="H124" s="60" t="s">
        <v>69</v>
      </c>
      <c r="I124" s="67">
        <f ca="1">IFERROR(__xludf.DUMMYFUNCTION("IMPORTRANGE(""https://docs.google.com/spreadsheets/d/1C3CXT74ZlgGe6_JY_1olB1XN4rF0dxEuIIF-xsYjHgg/edit?usp=sharing"",""พรบ!AO29"")"),128000)</f>
        <v>128000</v>
      </c>
      <c r="J124" s="68">
        <v>128000</v>
      </c>
      <c r="K124" s="49">
        <f t="shared" ref="K124:K126" ca="1" si="30">IF(I124&gt;0,J124*100/I124,0)</f>
        <v>100</v>
      </c>
      <c r="L124" s="61"/>
      <c r="M124" s="61"/>
      <c r="N124" s="61"/>
    </row>
    <row r="125" spans="1:14" ht="21.75" customHeight="1" x14ac:dyDescent="0.4">
      <c r="A125" s="55"/>
      <c r="B125" s="56"/>
      <c r="C125" s="56"/>
      <c r="D125" s="73"/>
      <c r="E125" s="77"/>
      <c r="F125" s="75"/>
      <c r="G125" s="74" t="s">
        <v>72</v>
      </c>
      <c r="H125" s="60" t="s">
        <v>69</v>
      </c>
      <c r="I125" s="67">
        <f ca="1">IFERROR(__xludf.DUMMYFUNCTION("IMPORTRANGE(""https://docs.google.com/spreadsheets/d/1C3CXT74ZlgGe6_JY_1olB1XN4rF0dxEuIIF-xsYjHgg/edit?usp=sharing"",""พรบ!AP29"")"),128000)</f>
        <v>128000</v>
      </c>
      <c r="J125" s="68">
        <v>0</v>
      </c>
      <c r="K125" s="49">
        <f t="shared" ca="1" si="30"/>
        <v>0</v>
      </c>
      <c r="L125" s="53">
        <f ca="1">IFERROR(__xludf.DUMMYFUNCTION("IMPORTRANGE(""https://docs.google.com/spreadsheets/d/1C3CXT74ZlgGe6_JY_1olB1XN4rF0dxEuIIF-xsYjHgg/edit?usp=sharing"",""กปร!F29"")"),33200)</f>
        <v>33200</v>
      </c>
      <c r="M125" s="359">
        <v>0</v>
      </c>
      <c r="N125" s="53">
        <f t="shared" ref="N125:N126" ca="1" si="31">+IF(L125&gt;0,M125*100/L125,0)</f>
        <v>0</v>
      </c>
    </row>
    <row r="126" spans="1:14" ht="21.75" customHeight="1" x14ac:dyDescent="0.4">
      <c r="A126" s="55"/>
      <c r="B126" s="56"/>
      <c r="C126" s="56"/>
      <c r="D126" s="73"/>
      <c r="E126" s="77"/>
      <c r="F126" s="75" t="s">
        <v>73</v>
      </c>
      <c r="G126" s="76"/>
      <c r="H126" s="60" t="s">
        <v>16</v>
      </c>
      <c r="I126" s="67">
        <f ca="1">IFERROR(__xludf.DUMMYFUNCTION("IMPORTRANGE(""https://docs.google.com/spreadsheets/d/1C3CXT74ZlgGe6_JY_1olB1XN4rF0dxEuIIF-xsYjHgg/edit?usp=sharing"",""พรบ!AQ29"")"),15)</f>
        <v>15</v>
      </c>
      <c r="J126" s="68">
        <v>15</v>
      </c>
      <c r="K126" s="49">
        <f t="shared" ca="1" si="30"/>
        <v>100</v>
      </c>
      <c r="L126" s="53">
        <f ca="1">IFERROR(__xludf.DUMMYFUNCTION("IMPORTRANGE(""https://docs.google.com/spreadsheets/d/1C3CXT74ZlgGe6_JY_1olB1XN4rF0dxEuIIF-xsYjHgg/edit?usp=sharing"",""กปร!G29"")"),15000)</f>
        <v>15000</v>
      </c>
      <c r="M126" s="359">
        <v>0</v>
      </c>
      <c r="N126" s="53">
        <f t="shared" ca="1" si="31"/>
        <v>0</v>
      </c>
    </row>
    <row r="127" spans="1:14" ht="21.75" customHeight="1" x14ac:dyDescent="0.4">
      <c r="A127" s="55"/>
      <c r="B127" s="56"/>
      <c r="C127" s="56"/>
      <c r="D127" s="73"/>
      <c r="E127" s="74" t="s">
        <v>35</v>
      </c>
      <c r="F127" s="75"/>
      <c r="G127" s="76"/>
      <c r="H127" s="66"/>
      <c r="I127" s="67"/>
      <c r="J127" s="68">
        <v>0</v>
      </c>
      <c r="K127" s="49"/>
      <c r="L127" s="61"/>
      <c r="M127" s="61"/>
      <c r="N127" s="61"/>
    </row>
    <row r="128" spans="1:14" ht="21.75" customHeight="1" x14ac:dyDescent="0.4">
      <c r="A128" s="105"/>
      <c r="B128" s="106"/>
      <c r="C128" s="106"/>
      <c r="D128" s="107">
        <v>3</v>
      </c>
      <c r="E128" s="108" t="s">
        <v>36</v>
      </c>
      <c r="F128" s="109"/>
      <c r="G128" s="110"/>
      <c r="H128" s="111"/>
      <c r="I128" s="112"/>
      <c r="J128" s="113">
        <v>0</v>
      </c>
      <c r="K128" s="114"/>
      <c r="L128" s="115"/>
      <c r="M128" s="115"/>
      <c r="N128" s="115"/>
    </row>
    <row r="129" spans="1:14" ht="21.75" customHeight="1" x14ac:dyDescent="0.4">
      <c r="A129" s="141"/>
      <c r="B129" s="142"/>
      <c r="C129" s="153" t="s">
        <v>74</v>
      </c>
      <c r="D129" s="143"/>
      <c r="E129" s="143"/>
      <c r="F129" s="143"/>
      <c r="G129" s="144"/>
      <c r="H129" s="152" t="s">
        <v>16</v>
      </c>
      <c r="I129" s="150">
        <f t="shared" ref="I129:J129" ca="1" si="32">I138</f>
        <v>0</v>
      </c>
      <c r="J129" s="150">
        <f t="shared" si="32"/>
        <v>0</v>
      </c>
      <c r="K129" s="151">
        <f ca="1">IF(I129&gt;0,J129*100/I129,0)</f>
        <v>0</v>
      </c>
      <c r="L129" s="148">
        <f ca="1">L130+L131</f>
        <v>0</v>
      </c>
      <c r="M129" s="148">
        <f>SUM(M130:M131)</f>
        <v>0</v>
      </c>
      <c r="N129" s="148">
        <f t="shared" ref="N129:N132" ca="1" si="33">+IF(L129&gt;0,M129*100/L129,0)</f>
        <v>0</v>
      </c>
    </row>
    <row r="130" spans="1:14" ht="21.75" customHeight="1" x14ac:dyDescent="0.4">
      <c r="A130" s="42"/>
      <c r="B130" s="43"/>
      <c r="C130" s="43" t="s">
        <v>17</v>
      </c>
      <c r="D130" s="44" t="s">
        <v>18</v>
      </c>
      <c r="E130" s="45"/>
      <c r="F130" s="45"/>
      <c r="G130" s="46" t="s">
        <v>19</v>
      </c>
      <c r="H130" s="47" t="s">
        <v>20</v>
      </c>
      <c r="I130" s="48" t="s">
        <v>21</v>
      </c>
      <c r="J130" s="48"/>
      <c r="K130" s="49"/>
      <c r="L130" s="50">
        <v>0</v>
      </c>
      <c r="M130" s="50">
        <v>0</v>
      </c>
      <c r="N130" s="50">
        <f t="shared" si="33"/>
        <v>0</v>
      </c>
    </row>
    <row r="131" spans="1:14" ht="21.75" customHeight="1" x14ac:dyDescent="0.4">
      <c r="A131" s="42"/>
      <c r="B131" s="43"/>
      <c r="C131" s="43"/>
      <c r="D131" s="51"/>
      <c r="E131" s="45"/>
      <c r="F131" s="45" t="s">
        <v>21</v>
      </c>
      <c r="G131" s="46" t="s">
        <v>22</v>
      </c>
      <c r="H131" s="47" t="s">
        <v>20</v>
      </c>
      <c r="I131" s="48"/>
      <c r="J131" s="48"/>
      <c r="K131" s="49"/>
      <c r="L131" s="50">
        <f ca="1">SUM(L132)</f>
        <v>0</v>
      </c>
      <c r="M131" s="50">
        <f>M132</f>
        <v>0</v>
      </c>
      <c r="N131" s="50">
        <f t="shared" ca="1" si="33"/>
        <v>0</v>
      </c>
    </row>
    <row r="132" spans="1:14" ht="21.75" customHeight="1" x14ac:dyDescent="0.4">
      <c r="A132" s="42"/>
      <c r="B132" s="43"/>
      <c r="C132" s="43"/>
      <c r="D132" s="51"/>
      <c r="E132" s="45"/>
      <c r="F132" s="45"/>
      <c r="G132" s="52" t="s">
        <v>24</v>
      </c>
      <c r="H132" s="47" t="s">
        <v>20</v>
      </c>
      <c r="I132" s="48"/>
      <c r="J132" s="67"/>
      <c r="K132" s="233"/>
      <c r="L132" s="53">
        <f ca="1">IFERROR(__xludf.DUMMYFUNCTION("IMPORTRANGE(""https://docs.google.com/spreadsheets/d/1C3CXT74ZlgGe6_JY_1olB1XN4rF0dxEuIIF-xsYjHgg/edit?usp=sharing"",""พรบ!AR29"")"),0)</f>
        <v>0</v>
      </c>
      <c r="M132" s="53">
        <v>0</v>
      </c>
      <c r="N132" s="53">
        <f t="shared" ca="1" si="33"/>
        <v>0</v>
      </c>
    </row>
    <row r="133" spans="1:14" ht="21.75" customHeight="1" x14ac:dyDescent="0.4">
      <c r="A133" s="55"/>
      <c r="B133" s="56"/>
      <c r="C133" s="43" t="s">
        <v>17</v>
      </c>
      <c r="D133" s="57" t="s">
        <v>25</v>
      </c>
      <c r="E133" s="58"/>
      <c r="F133" s="58"/>
      <c r="G133" s="59"/>
      <c r="H133" s="60"/>
      <c r="I133" s="48"/>
      <c r="J133" s="67"/>
      <c r="K133" s="233"/>
      <c r="L133" s="53"/>
      <c r="M133" s="53"/>
      <c r="N133" s="61"/>
    </row>
    <row r="134" spans="1:14" ht="21.75" customHeight="1" x14ac:dyDescent="0.4">
      <c r="A134" s="55"/>
      <c r="B134" s="56"/>
      <c r="C134" s="56"/>
      <c r="D134" s="62">
        <v>1</v>
      </c>
      <c r="E134" s="63" t="s">
        <v>26</v>
      </c>
      <c r="F134" s="64"/>
      <c r="G134" s="65"/>
      <c r="H134" s="66"/>
      <c r="I134" s="67"/>
      <c r="J134" s="67">
        <v>0</v>
      </c>
      <c r="K134" s="233"/>
      <c r="L134" s="53"/>
      <c r="M134" s="53"/>
      <c r="N134" s="61"/>
    </row>
    <row r="135" spans="1:14" ht="21.75" customHeight="1" x14ac:dyDescent="0.4">
      <c r="A135" s="55"/>
      <c r="B135" s="56"/>
      <c r="C135" s="56"/>
      <c r="D135" s="69">
        <v>2</v>
      </c>
      <c r="E135" s="70" t="s">
        <v>27</v>
      </c>
      <c r="F135" s="71"/>
      <c r="G135" s="72"/>
      <c r="H135" s="66"/>
      <c r="I135" s="67"/>
      <c r="J135" s="67">
        <v>0</v>
      </c>
      <c r="K135" s="233"/>
      <c r="L135" s="53" t="s">
        <v>21</v>
      </c>
      <c r="M135" s="53" t="s">
        <v>21</v>
      </c>
      <c r="N135" s="61"/>
    </row>
    <row r="136" spans="1:14" ht="21.75" customHeight="1" x14ac:dyDescent="0.4">
      <c r="A136" s="55"/>
      <c r="B136" s="56"/>
      <c r="C136" s="56"/>
      <c r="D136" s="73"/>
      <c r="E136" s="74" t="s">
        <v>28</v>
      </c>
      <c r="F136" s="75"/>
      <c r="G136" s="76"/>
      <c r="H136" s="66"/>
      <c r="I136" s="67"/>
      <c r="J136" s="67">
        <v>0</v>
      </c>
      <c r="K136" s="233"/>
      <c r="L136" s="53"/>
      <c r="M136" s="53"/>
      <c r="N136" s="61"/>
    </row>
    <row r="137" spans="1:14" ht="21.75" customHeight="1" x14ac:dyDescent="0.4">
      <c r="A137" s="55"/>
      <c r="B137" s="56"/>
      <c r="C137" s="56"/>
      <c r="D137" s="73"/>
      <c r="E137" s="74" t="s">
        <v>29</v>
      </c>
      <c r="F137" s="75"/>
      <c r="G137" s="76"/>
      <c r="H137" s="66"/>
      <c r="I137" s="67"/>
      <c r="J137" s="67">
        <v>0</v>
      </c>
      <c r="K137" s="233"/>
      <c r="L137" s="53"/>
      <c r="M137" s="53"/>
      <c r="N137" s="61"/>
    </row>
    <row r="138" spans="1:14" ht="21.75" customHeight="1" x14ac:dyDescent="0.4">
      <c r="A138" s="55"/>
      <c r="B138" s="56"/>
      <c r="C138" s="56"/>
      <c r="D138" s="73"/>
      <c r="E138" s="77"/>
      <c r="F138" s="75" t="s">
        <v>75</v>
      </c>
      <c r="G138" s="76"/>
      <c r="H138" s="60" t="s">
        <v>16</v>
      </c>
      <c r="I138" s="67">
        <f ca="1">IFERROR(__xludf.DUMMYFUNCTION("IMPORTRANGE(""https://docs.google.com/spreadsheets/d/1C3CXT74ZlgGe6_JY_1olB1XN4rF0dxEuIIF-xsYjHgg/edit?usp=sharing"",""พรบ!AS29"")"),0)</f>
        <v>0</v>
      </c>
      <c r="J138" s="67">
        <v>0</v>
      </c>
      <c r="K138" s="233">
        <f ca="1">IF(I138&gt;0,J138*100/I138,0)</f>
        <v>0</v>
      </c>
      <c r="L138" s="53">
        <f ca="1">IFERROR(__xludf.DUMMYFUNCTION("IMPORTRANGE(""https://docs.google.com/spreadsheets/d/1C3CXT74ZlgGe6_JY_1olB1XN4rF0dxEuIIF-xsYjHgg/edit?usp=sharing"",""กปร!H29"")"),0)</f>
        <v>0</v>
      </c>
      <c r="M138" s="53">
        <v>0</v>
      </c>
      <c r="N138" s="53">
        <f ca="1">+IF(L138&gt;0,M138*100/L138,0)</f>
        <v>0</v>
      </c>
    </row>
    <row r="139" spans="1:14" ht="21.75" customHeight="1" x14ac:dyDescent="0.4">
      <c r="A139" s="55"/>
      <c r="B139" s="56"/>
      <c r="C139" s="56"/>
      <c r="D139" s="73"/>
      <c r="E139" s="77"/>
      <c r="F139" s="74" t="s">
        <v>34</v>
      </c>
      <c r="G139" s="76"/>
      <c r="H139" s="60"/>
      <c r="I139" s="67"/>
      <c r="J139" s="67"/>
      <c r="K139" s="233"/>
      <c r="L139" s="53"/>
      <c r="M139" s="53"/>
      <c r="N139" s="61"/>
    </row>
    <row r="140" spans="1:14" ht="21.75" customHeight="1" x14ac:dyDescent="0.4">
      <c r="A140" s="55"/>
      <c r="B140" s="56"/>
      <c r="C140" s="56"/>
      <c r="D140" s="73"/>
      <c r="E140" s="77"/>
      <c r="F140" s="75"/>
      <c r="G140" s="99" t="s">
        <v>76</v>
      </c>
      <c r="H140" s="60" t="s">
        <v>16</v>
      </c>
      <c r="I140" s="67">
        <f ca="1">IFERROR(__xludf.DUMMYFUNCTION("IMPORTRANGE(""https://docs.google.com/spreadsheets/d/1C3CXT74ZlgGe6_JY_1olB1XN4rF0dxEuIIF-xsYjHgg/edit?usp=sharing"",""พรบ!AT29"")"),0)</f>
        <v>0</v>
      </c>
      <c r="J140" s="67">
        <v>0</v>
      </c>
      <c r="K140" s="233">
        <f t="shared" ref="K140:K141" ca="1" si="34">IF(I140&gt;0,J140*100/I140,0)</f>
        <v>0</v>
      </c>
      <c r="L140" s="53">
        <f ca="1">IFERROR(__xludf.DUMMYFUNCTION("IMPORTRANGE(""https://docs.google.com/spreadsheets/d/1C3CXT74ZlgGe6_JY_1olB1XN4rF0dxEuIIF-xsYjHgg/edit?usp=sharing"",""กปร!I29"")"),0)</f>
        <v>0</v>
      </c>
      <c r="M140" s="53">
        <v>0</v>
      </c>
      <c r="N140" s="53">
        <f t="shared" ref="N140:N141" ca="1" si="35">+IF(L140&gt;0,M140*100/L140,0)</f>
        <v>0</v>
      </c>
    </row>
    <row r="141" spans="1:14" ht="21.75" customHeight="1" x14ac:dyDescent="0.4">
      <c r="A141" s="55"/>
      <c r="B141" s="56"/>
      <c r="C141" s="56"/>
      <c r="D141" s="73"/>
      <c r="E141" s="77"/>
      <c r="F141" s="75"/>
      <c r="G141" s="99" t="s">
        <v>77</v>
      </c>
      <c r="H141" s="60" t="s">
        <v>40</v>
      </c>
      <c r="I141" s="67">
        <f ca="1">IFERROR(__xludf.DUMMYFUNCTION("IMPORTRANGE(""https://docs.google.com/spreadsheets/d/1C3CXT74ZlgGe6_JY_1olB1XN4rF0dxEuIIF-xsYjHgg/edit?usp=sharing"",""พรบ!AU29"")"),0)</f>
        <v>0</v>
      </c>
      <c r="J141" s="67">
        <v>0</v>
      </c>
      <c r="K141" s="233">
        <f t="shared" ca="1" si="34"/>
        <v>0</v>
      </c>
      <c r="L141" s="53">
        <f ca="1">IFERROR(__xludf.DUMMYFUNCTION("IMPORTRANGE(""https://docs.google.com/spreadsheets/d/1C3CXT74ZlgGe6_JY_1olB1XN4rF0dxEuIIF-xsYjHgg/edit?usp=sharing"",""กปร!J29"")"),0)</f>
        <v>0</v>
      </c>
      <c r="M141" s="53">
        <v>0</v>
      </c>
      <c r="N141" s="53">
        <f t="shared" ca="1" si="35"/>
        <v>0</v>
      </c>
    </row>
    <row r="142" spans="1:14" ht="21.75" customHeight="1" x14ac:dyDescent="0.4">
      <c r="A142" s="55"/>
      <c r="B142" s="56"/>
      <c r="C142" s="56"/>
      <c r="D142" s="73"/>
      <c r="E142" s="74" t="s">
        <v>35</v>
      </c>
      <c r="F142" s="75"/>
      <c r="G142" s="76"/>
      <c r="H142" s="66"/>
      <c r="I142" s="67"/>
      <c r="J142" s="67">
        <v>0</v>
      </c>
      <c r="K142" s="233"/>
      <c r="L142" s="53"/>
      <c r="M142" s="53"/>
      <c r="N142" s="61"/>
    </row>
    <row r="143" spans="1:14" ht="21.75" customHeight="1" x14ac:dyDescent="0.4">
      <c r="A143" s="105"/>
      <c r="B143" s="106"/>
      <c r="C143" s="106"/>
      <c r="D143" s="107">
        <v>3</v>
      </c>
      <c r="E143" s="108" t="s">
        <v>36</v>
      </c>
      <c r="F143" s="109"/>
      <c r="G143" s="110"/>
      <c r="H143" s="111"/>
      <c r="I143" s="112"/>
      <c r="J143" s="356">
        <v>0</v>
      </c>
      <c r="K143" s="357"/>
      <c r="L143" s="358"/>
      <c r="M143" s="358"/>
      <c r="N143" s="115"/>
    </row>
    <row r="144" spans="1:14" ht="21.75" customHeight="1" x14ac:dyDescent="0.4">
      <c r="A144" s="132"/>
      <c r="B144" s="133" t="s">
        <v>78</v>
      </c>
      <c r="C144" s="134"/>
      <c r="D144" s="133"/>
      <c r="E144" s="133"/>
      <c r="F144" s="133"/>
      <c r="G144" s="135"/>
      <c r="H144" s="136" t="s">
        <v>16</v>
      </c>
      <c r="I144" s="137">
        <f t="shared" ref="I144:J144" ca="1" si="36">+I149+I158</f>
        <v>15</v>
      </c>
      <c r="J144" s="137">
        <f t="shared" si="36"/>
        <v>0</v>
      </c>
      <c r="K144" s="138">
        <f ca="1">IF(I144&gt;0,J144*100/I144,0)</f>
        <v>0</v>
      </c>
      <c r="L144" s="139">
        <f ca="1">L145+L146</f>
        <v>21125</v>
      </c>
      <c r="M144" s="139">
        <f>SUM(M145:M146)</f>
        <v>13500</v>
      </c>
      <c r="N144" s="138">
        <f ca="1">IF(L144&gt;0,M144*100/L144,0)</f>
        <v>63.905325443786985</v>
      </c>
    </row>
    <row r="145" spans="1:14" ht="21.75" customHeight="1" x14ac:dyDescent="0.4">
      <c r="A145" s="42"/>
      <c r="B145" s="43"/>
      <c r="C145" s="43" t="s">
        <v>17</v>
      </c>
      <c r="D145" s="44" t="s">
        <v>18</v>
      </c>
      <c r="E145" s="45"/>
      <c r="F145" s="45"/>
      <c r="G145" s="46" t="s">
        <v>19</v>
      </c>
      <c r="H145" s="47" t="s">
        <v>20</v>
      </c>
      <c r="I145" s="48" t="s">
        <v>21</v>
      </c>
      <c r="J145" s="48"/>
      <c r="K145" s="49"/>
      <c r="L145" s="50">
        <v>0</v>
      </c>
      <c r="M145" s="50">
        <v>0</v>
      </c>
      <c r="N145" s="50">
        <f t="shared" ref="N145:N148" si="37">+IF(L145&gt;0,M145*100/L145,0)</f>
        <v>0</v>
      </c>
    </row>
    <row r="146" spans="1:14" ht="21.75" customHeight="1" x14ac:dyDescent="0.4">
      <c r="A146" s="42"/>
      <c r="B146" s="43"/>
      <c r="C146" s="43"/>
      <c r="D146" s="51"/>
      <c r="E146" s="45"/>
      <c r="F146" s="45" t="s">
        <v>21</v>
      </c>
      <c r="G146" s="46" t="s">
        <v>22</v>
      </c>
      <c r="H146" s="47" t="s">
        <v>20</v>
      </c>
      <c r="I146" s="48"/>
      <c r="J146" s="48"/>
      <c r="K146" s="49"/>
      <c r="L146" s="50">
        <f t="shared" ref="L146:M146" ca="1" si="38">SUM(L147:L148)</f>
        <v>21125</v>
      </c>
      <c r="M146" s="50">
        <f t="shared" si="38"/>
        <v>13500</v>
      </c>
      <c r="N146" s="50">
        <f t="shared" ca="1" si="37"/>
        <v>63.905325443786985</v>
      </c>
    </row>
    <row r="147" spans="1:14" ht="21.75" customHeight="1" x14ac:dyDescent="0.4">
      <c r="A147" s="42"/>
      <c r="B147" s="43"/>
      <c r="C147" s="43"/>
      <c r="D147" s="51"/>
      <c r="E147" s="45"/>
      <c r="F147" s="45"/>
      <c r="G147" s="52" t="s">
        <v>23</v>
      </c>
      <c r="H147" s="47" t="s">
        <v>20</v>
      </c>
      <c r="I147" s="48"/>
      <c r="J147" s="48"/>
      <c r="K147" s="49"/>
      <c r="L147" s="53">
        <v>0</v>
      </c>
      <c r="M147" s="53">
        <v>0</v>
      </c>
      <c r="N147" s="53">
        <f t="shared" si="37"/>
        <v>0</v>
      </c>
    </row>
    <row r="148" spans="1:14" ht="21.75" customHeight="1" x14ac:dyDescent="0.4">
      <c r="A148" s="42"/>
      <c r="B148" s="43"/>
      <c r="C148" s="43"/>
      <c r="D148" s="51"/>
      <c r="E148" s="45"/>
      <c r="F148" s="45"/>
      <c r="G148" s="52" t="s">
        <v>24</v>
      </c>
      <c r="H148" s="47" t="s">
        <v>20</v>
      </c>
      <c r="I148" s="48"/>
      <c r="J148" s="48"/>
      <c r="K148" s="49"/>
      <c r="L148" s="53">
        <f ca="1">IFERROR(__xludf.DUMMYFUNCTION("IMPORTRANGE(""https://docs.google.com/spreadsheets/d/1C3CXT74ZlgGe6_JY_1olB1XN4rF0dxEuIIF-xsYjHgg/edit?usp=sharing"",""พรบ!AY29"")"),21125)</f>
        <v>21125</v>
      </c>
      <c r="M148" s="54">
        <v>13500</v>
      </c>
      <c r="N148" s="53">
        <f t="shared" ca="1" si="37"/>
        <v>63.905325443786985</v>
      </c>
    </row>
    <row r="149" spans="1:14" ht="21.75" customHeight="1" x14ac:dyDescent="0.4">
      <c r="A149" s="55"/>
      <c r="B149" s="155"/>
      <c r="C149" s="134" t="s">
        <v>79</v>
      </c>
      <c r="D149" s="133"/>
      <c r="E149" s="133"/>
      <c r="F149" s="133"/>
      <c r="G149" s="135"/>
      <c r="H149" s="136" t="s">
        <v>16</v>
      </c>
      <c r="I149" s="137">
        <f ca="1">I155</f>
        <v>15</v>
      </c>
      <c r="J149" s="137">
        <f>+J155</f>
        <v>0</v>
      </c>
      <c r="K149" s="138">
        <f ca="1">IF(I149&gt;0,J149*100/I149,0)</f>
        <v>0</v>
      </c>
      <c r="L149" s="140"/>
      <c r="M149" s="140"/>
      <c r="N149" s="140"/>
    </row>
    <row r="150" spans="1:14" ht="21.75" customHeight="1" x14ac:dyDescent="0.4">
      <c r="A150" s="55"/>
      <c r="B150" s="56"/>
      <c r="C150" s="43" t="s">
        <v>17</v>
      </c>
      <c r="D150" s="57" t="s">
        <v>25</v>
      </c>
      <c r="E150" s="58"/>
      <c r="F150" s="58"/>
      <c r="G150" s="59"/>
      <c r="H150" s="60"/>
      <c r="I150" s="48"/>
      <c r="J150" s="48"/>
      <c r="K150" s="49"/>
      <c r="L150" s="61"/>
      <c r="M150" s="61"/>
      <c r="N150" s="61"/>
    </row>
    <row r="151" spans="1:14" ht="21.75" customHeight="1" x14ac:dyDescent="0.4">
      <c r="A151" s="55"/>
      <c r="B151" s="56"/>
      <c r="C151" s="56"/>
      <c r="D151" s="62">
        <v>1</v>
      </c>
      <c r="E151" s="63" t="s">
        <v>26</v>
      </c>
      <c r="F151" s="64"/>
      <c r="G151" s="65"/>
      <c r="H151" s="66"/>
      <c r="I151" s="67"/>
      <c r="J151" s="68">
        <v>0</v>
      </c>
      <c r="K151" s="49"/>
      <c r="L151" s="61"/>
      <c r="M151" s="61"/>
      <c r="N151" s="61"/>
    </row>
    <row r="152" spans="1:14" ht="21.75" customHeight="1" x14ac:dyDescent="0.4">
      <c r="A152" s="55"/>
      <c r="B152" s="56"/>
      <c r="C152" s="56"/>
      <c r="D152" s="69">
        <v>2</v>
      </c>
      <c r="E152" s="70" t="s">
        <v>27</v>
      </c>
      <c r="F152" s="71"/>
      <c r="G152" s="72"/>
      <c r="H152" s="66"/>
      <c r="I152" s="67"/>
      <c r="J152" s="68">
        <v>1</v>
      </c>
      <c r="K152" s="49"/>
      <c r="L152" s="61" t="s">
        <v>21</v>
      </c>
      <c r="M152" s="61" t="s">
        <v>21</v>
      </c>
      <c r="N152" s="61"/>
    </row>
    <row r="153" spans="1:14" ht="21.75" customHeight="1" x14ac:dyDescent="0.4">
      <c r="A153" s="55"/>
      <c r="B153" s="56"/>
      <c r="C153" s="56"/>
      <c r="D153" s="73"/>
      <c r="E153" s="74" t="s">
        <v>28</v>
      </c>
      <c r="F153" s="75"/>
      <c r="G153" s="76"/>
      <c r="H153" s="66"/>
      <c r="I153" s="67"/>
      <c r="J153" s="68">
        <v>1</v>
      </c>
      <c r="K153" s="49"/>
      <c r="L153" s="61"/>
      <c r="M153" s="61"/>
      <c r="N153" s="61"/>
    </row>
    <row r="154" spans="1:14" ht="21.75" customHeight="1" x14ac:dyDescent="0.4">
      <c r="A154" s="55"/>
      <c r="B154" s="56"/>
      <c r="C154" s="56"/>
      <c r="D154" s="73"/>
      <c r="E154" s="74" t="s">
        <v>29</v>
      </c>
      <c r="F154" s="75"/>
      <c r="G154" s="76"/>
      <c r="H154" s="66"/>
      <c r="I154" s="67"/>
      <c r="J154" s="68">
        <v>1</v>
      </c>
      <c r="K154" s="49"/>
      <c r="L154" s="61"/>
      <c r="M154" s="61"/>
      <c r="N154" s="61"/>
    </row>
    <row r="155" spans="1:14" ht="21.75" customHeight="1" x14ac:dyDescent="0.4">
      <c r="A155" s="55"/>
      <c r="B155" s="56"/>
      <c r="C155" s="56"/>
      <c r="D155" s="73"/>
      <c r="E155" s="77"/>
      <c r="F155" s="75"/>
      <c r="G155" s="99" t="s">
        <v>50</v>
      </c>
      <c r="H155" s="66" t="s">
        <v>16</v>
      </c>
      <c r="I155" s="67">
        <f ca="1">IFERROR(__xludf.DUMMYFUNCTION("IMPORTRANGE(""https://docs.google.com/spreadsheets/d/1C3CXT74ZlgGe6_JY_1olB1XN4rF0dxEuIIF-xsYjHgg/edit?usp=sharing"",""พรบ!BA29"")"),15)</f>
        <v>15</v>
      </c>
      <c r="J155" s="68">
        <v>0</v>
      </c>
      <c r="K155" s="49">
        <f ca="1">IF(I155&gt;0,J155*100/I155,0)</f>
        <v>0</v>
      </c>
      <c r="L155" s="61"/>
      <c r="M155" s="61"/>
      <c r="N155" s="61"/>
    </row>
    <row r="156" spans="1:14" ht="21.75" customHeight="1" x14ac:dyDescent="0.4">
      <c r="A156" s="55"/>
      <c r="B156" s="56"/>
      <c r="C156" s="56"/>
      <c r="D156" s="73"/>
      <c r="E156" s="74" t="s">
        <v>35</v>
      </c>
      <c r="F156" s="75"/>
      <c r="G156" s="76"/>
      <c r="H156" s="66"/>
      <c r="I156" s="67"/>
      <c r="J156" s="68">
        <v>0</v>
      </c>
      <c r="K156" s="49"/>
      <c r="L156" s="61"/>
      <c r="M156" s="61"/>
      <c r="N156" s="61"/>
    </row>
    <row r="157" spans="1:14" ht="21.75" customHeight="1" x14ac:dyDescent="0.4">
      <c r="A157" s="55"/>
      <c r="B157" s="56"/>
      <c r="C157" s="56"/>
      <c r="D157" s="81">
        <v>3</v>
      </c>
      <c r="E157" s="82" t="s">
        <v>36</v>
      </c>
      <c r="F157" s="83"/>
      <c r="G157" s="84"/>
      <c r="H157" s="66"/>
      <c r="I157" s="67"/>
      <c r="J157" s="85">
        <v>0</v>
      </c>
      <c r="K157" s="49"/>
      <c r="L157" s="61"/>
      <c r="M157" s="61"/>
      <c r="N157" s="61"/>
    </row>
    <row r="158" spans="1:14" ht="21.75" customHeight="1" x14ac:dyDescent="0.4">
      <c r="A158" s="55"/>
      <c r="B158" s="56"/>
      <c r="C158" s="134" t="s">
        <v>81</v>
      </c>
      <c r="D158" s="156"/>
      <c r="E158" s="133"/>
      <c r="F158" s="133"/>
      <c r="G158" s="135"/>
      <c r="H158" s="136" t="s">
        <v>16</v>
      </c>
      <c r="I158" s="137">
        <f>I164</f>
        <v>0</v>
      </c>
      <c r="J158" s="137">
        <f>+J164</f>
        <v>0</v>
      </c>
      <c r="K158" s="138">
        <f>IF(I158&gt;0,J158*100/I158,0)</f>
        <v>0</v>
      </c>
      <c r="L158" s="61"/>
      <c r="M158" s="61"/>
      <c r="N158" s="61"/>
    </row>
    <row r="159" spans="1:14" ht="21.75" customHeight="1" x14ac:dyDescent="0.4">
      <c r="A159" s="55"/>
      <c r="B159" s="56"/>
      <c r="C159" s="43" t="s">
        <v>17</v>
      </c>
      <c r="D159" s="57" t="s">
        <v>25</v>
      </c>
      <c r="E159" s="58"/>
      <c r="F159" s="58"/>
      <c r="G159" s="59"/>
      <c r="H159" s="60"/>
      <c r="I159" s="48"/>
      <c r="J159" s="48"/>
      <c r="K159" s="49"/>
      <c r="L159" s="61"/>
      <c r="M159" s="61"/>
      <c r="N159" s="61"/>
    </row>
    <row r="160" spans="1:14" ht="21.75" customHeight="1" x14ac:dyDescent="0.4">
      <c r="A160" s="55"/>
      <c r="B160" s="56"/>
      <c r="C160" s="56"/>
      <c r="D160" s="62">
        <v>1</v>
      </c>
      <c r="E160" s="63" t="s">
        <v>26</v>
      </c>
      <c r="F160" s="64"/>
      <c r="G160" s="65"/>
      <c r="H160" s="66"/>
      <c r="I160" s="67"/>
      <c r="J160" s="67">
        <v>0</v>
      </c>
      <c r="K160" s="49"/>
      <c r="L160" s="61"/>
      <c r="M160" s="61"/>
      <c r="N160" s="61"/>
    </row>
    <row r="161" spans="1:14" ht="21.75" customHeight="1" x14ac:dyDescent="0.4">
      <c r="A161" s="55"/>
      <c r="B161" s="56"/>
      <c r="C161" s="56"/>
      <c r="D161" s="69">
        <v>2</v>
      </c>
      <c r="E161" s="70" t="s">
        <v>27</v>
      </c>
      <c r="F161" s="71"/>
      <c r="G161" s="72"/>
      <c r="H161" s="66"/>
      <c r="I161" s="67"/>
      <c r="J161" s="67">
        <v>0</v>
      </c>
      <c r="K161" s="49"/>
      <c r="L161" s="61" t="s">
        <v>21</v>
      </c>
      <c r="M161" s="61" t="s">
        <v>21</v>
      </c>
      <c r="N161" s="61"/>
    </row>
    <row r="162" spans="1:14" ht="21.75" customHeight="1" x14ac:dyDescent="0.4">
      <c r="A162" s="55"/>
      <c r="B162" s="56"/>
      <c r="C162" s="56"/>
      <c r="D162" s="73"/>
      <c r="E162" s="74" t="s">
        <v>28</v>
      </c>
      <c r="F162" s="75"/>
      <c r="G162" s="76"/>
      <c r="H162" s="66"/>
      <c r="I162" s="67"/>
      <c r="J162" s="67">
        <v>0</v>
      </c>
      <c r="K162" s="49"/>
      <c r="L162" s="61"/>
      <c r="M162" s="61"/>
      <c r="N162" s="61"/>
    </row>
    <row r="163" spans="1:14" ht="21.75" customHeight="1" x14ac:dyDescent="0.4">
      <c r="A163" s="55"/>
      <c r="B163" s="56"/>
      <c r="C163" s="56"/>
      <c r="D163" s="73"/>
      <c r="E163" s="74" t="s">
        <v>29</v>
      </c>
      <c r="F163" s="75"/>
      <c r="G163" s="76"/>
      <c r="H163" s="66"/>
      <c r="I163" s="67"/>
      <c r="J163" s="67">
        <v>0</v>
      </c>
      <c r="K163" s="49"/>
      <c r="L163" s="61"/>
      <c r="M163" s="61"/>
      <c r="N163" s="61"/>
    </row>
    <row r="164" spans="1:14" ht="21.75" customHeight="1" x14ac:dyDescent="0.4">
      <c r="A164" s="55"/>
      <c r="B164" s="56"/>
      <c r="C164" s="56"/>
      <c r="D164" s="73"/>
      <c r="E164" s="75"/>
      <c r="F164" s="74" t="s">
        <v>82</v>
      </c>
      <c r="G164" s="75"/>
      <c r="H164" s="66" t="s">
        <v>16</v>
      </c>
      <c r="I164" s="67">
        <v>0</v>
      </c>
      <c r="J164" s="67">
        <v>0</v>
      </c>
      <c r="K164" s="49">
        <f>IF(I164&gt;0,J164*100/I164,0)</f>
        <v>0</v>
      </c>
      <c r="L164" s="61"/>
      <c r="M164" s="61"/>
      <c r="N164" s="61"/>
    </row>
    <row r="165" spans="1:14" ht="21.75" customHeight="1" x14ac:dyDescent="0.4">
      <c r="A165" s="55"/>
      <c r="B165" s="56"/>
      <c r="C165" s="56"/>
      <c r="D165" s="73"/>
      <c r="E165" s="74" t="s">
        <v>35</v>
      </c>
      <c r="F165" s="75"/>
      <c r="G165" s="76"/>
      <c r="H165" s="66"/>
      <c r="I165" s="67"/>
      <c r="J165" s="67">
        <v>0</v>
      </c>
      <c r="K165" s="49"/>
      <c r="L165" s="61"/>
      <c r="M165" s="61"/>
      <c r="N165" s="61"/>
    </row>
    <row r="166" spans="1:14" ht="21.75" customHeight="1" x14ac:dyDescent="0.4">
      <c r="A166" s="105"/>
      <c r="B166" s="106"/>
      <c r="C166" s="106"/>
      <c r="D166" s="107">
        <v>3</v>
      </c>
      <c r="E166" s="108" t="s">
        <v>36</v>
      </c>
      <c r="F166" s="109"/>
      <c r="G166" s="110"/>
      <c r="H166" s="111"/>
      <c r="I166" s="112"/>
      <c r="J166" s="356">
        <v>0</v>
      </c>
      <c r="K166" s="114"/>
      <c r="L166" s="115"/>
      <c r="M166" s="115"/>
      <c r="N166" s="115"/>
    </row>
    <row r="167" spans="1:14" ht="21.75" customHeight="1" x14ac:dyDescent="0.4">
      <c r="A167" s="157" t="s">
        <v>83</v>
      </c>
      <c r="B167" s="158"/>
      <c r="C167" s="158"/>
      <c r="D167" s="158"/>
      <c r="E167" s="159"/>
      <c r="F167" s="159"/>
      <c r="G167" s="160"/>
      <c r="H167" s="161"/>
      <c r="I167" s="162"/>
      <c r="J167" s="162"/>
      <c r="K167" s="163"/>
      <c r="L167" s="164"/>
      <c r="M167" s="164"/>
      <c r="N167" s="165"/>
    </row>
    <row r="168" spans="1:14" ht="21.75" customHeight="1" x14ac:dyDescent="0.4">
      <c r="A168" s="166" t="s">
        <v>84</v>
      </c>
      <c r="B168" s="167"/>
      <c r="C168" s="167"/>
      <c r="D168" s="168"/>
      <c r="E168" s="168"/>
      <c r="F168" s="168"/>
      <c r="G168" s="169"/>
      <c r="H168" s="170"/>
      <c r="I168" s="171"/>
      <c r="J168" s="171"/>
      <c r="K168" s="172"/>
      <c r="L168" s="172"/>
      <c r="M168" s="172"/>
      <c r="N168" s="173"/>
    </row>
    <row r="169" spans="1:14" ht="21.75" customHeight="1" x14ac:dyDescent="0.4">
      <c r="A169" s="174"/>
      <c r="B169" s="175" t="s">
        <v>85</v>
      </c>
      <c r="C169" s="175"/>
      <c r="D169" s="175"/>
      <c r="E169" s="175"/>
      <c r="F169" s="175"/>
      <c r="G169" s="176"/>
      <c r="H169" s="177" t="s">
        <v>16</v>
      </c>
      <c r="I169" s="178">
        <f ca="1">I180</f>
        <v>25</v>
      </c>
      <c r="J169" s="178">
        <f>+J180</f>
        <v>0</v>
      </c>
      <c r="K169" s="179">
        <f ca="1">IF(I169&gt;0,J169*100/I169,0)</f>
        <v>0</v>
      </c>
      <c r="L169" s="180">
        <f ca="1">L170+L171</f>
        <v>199000</v>
      </c>
      <c r="M169" s="180">
        <f>SUM(M170:M171)</f>
        <v>33624</v>
      </c>
      <c r="N169" s="179">
        <f ca="1">IF(L169&gt;0,M169*100/L169,0)</f>
        <v>16.896482412060301</v>
      </c>
    </row>
    <row r="170" spans="1:14" ht="21.75" customHeight="1" x14ac:dyDescent="0.4">
      <c r="A170" s="42"/>
      <c r="B170" s="43"/>
      <c r="C170" s="43" t="s">
        <v>17</v>
      </c>
      <c r="D170" s="44" t="s">
        <v>18</v>
      </c>
      <c r="E170" s="45"/>
      <c r="F170" s="45"/>
      <c r="G170" s="46" t="s">
        <v>19</v>
      </c>
      <c r="H170" s="47" t="s">
        <v>20</v>
      </c>
      <c r="I170" s="48" t="s">
        <v>21</v>
      </c>
      <c r="J170" s="48"/>
      <c r="K170" s="49"/>
      <c r="L170" s="50">
        <v>0</v>
      </c>
      <c r="M170" s="50">
        <v>0</v>
      </c>
      <c r="N170" s="50">
        <f t="shared" ref="N170:N173" si="39">+IF(L170&gt;0,M170*100/L170,0)</f>
        <v>0</v>
      </c>
    </row>
    <row r="171" spans="1:14" ht="21.75" customHeight="1" x14ac:dyDescent="0.4">
      <c r="A171" s="42"/>
      <c r="B171" s="43"/>
      <c r="C171" s="43"/>
      <c r="D171" s="51"/>
      <c r="E171" s="45"/>
      <c r="F171" s="45" t="s">
        <v>21</v>
      </c>
      <c r="G171" s="46" t="s">
        <v>22</v>
      </c>
      <c r="H171" s="47" t="s">
        <v>20</v>
      </c>
      <c r="I171" s="48"/>
      <c r="J171" s="48"/>
      <c r="K171" s="49"/>
      <c r="L171" s="50">
        <f t="shared" ref="L171:M171" ca="1" si="40">SUM(L172:L173)</f>
        <v>199000</v>
      </c>
      <c r="M171" s="50">
        <f t="shared" si="40"/>
        <v>33624</v>
      </c>
      <c r="N171" s="50">
        <f t="shared" ca="1" si="39"/>
        <v>16.896482412060301</v>
      </c>
    </row>
    <row r="172" spans="1:14" ht="21.75" customHeight="1" x14ac:dyDescent="0.4">
      <c r="A172" s="42"/>
      <c r="B172" s="43"/>
      <c r="C172" s="43"/>
      <c r="D172" s="51"/>
      <c r="E172" s="45"/>
      <c r="F172" s="45"/>
      <c r="G172" s="52" t="s">
        <v>23</v>
      </c>
      <c r="H172" s="47" t="s">
        <v>20</v>
      </c>
      <c r="I172" s="48"/>
      <c r="J172" s="48"/>
      <c r="K172" s="49"/>
      <c r="L172" s="53">
        <f ca="1">IFERROR(__xludf.DUMMYFUNCTION("IMPORTRANGE(""https://docs.google.com/spreadsheets/d/1C3CXT74ZlgGe6_JY_1olB1XN4rF0dxEuIIF-xsYjHgg/edit?usp=sharing"",""พรบ!BD29"")"),0)</f>
        <v>0</v>
      </c>
      <c r="M172" s="53">
        <v>0</v>
      </c>
      <c r="N172" s="53">
        <f t="shared" ca="1" si="39"/>
        <v>0</v>
      </c>
    </row>
    <row r="173" spans="1:14" ht="21.75" customHeight="1" x14ac:dyDescent="0.4">
      <c r="A173" s="42"/>
      <c r="B173" s="43"/>
      <c r="C173" s="43"/>
      <c r="D173" s="51"/>
      <c r="E173" s="45"/>
      <c r="F173" s="45"/>
      <c r="G173" s="52" t="s">
        <v>24</v>
      </c>
      <c r="H173" s="47" t="s">
        <v>20</v>
      </c>
      <c r="I173" s="48"/>
      <c r="J173" s="48"/>
      <c r="K173" s="49"/>
      <c r="L173" s="53">
        <f ca="1">IFERROR(__xludf.DUMMYFUNCTION("IMPORTRANGE(""https://docs.google.com/spreadsheets/d/1C3CXT74ZlgGe6_JY_1olB1XN4rF0dxEuIIF-xsYjHgg/edit?usp=sharing"",""พรบ!BE29"")"),199000)</f>
        <v>199000</v>
      </c>
      <c r="M173" s="54">
        <v>33624</v>
      </c>
      <c r="N173" s="53">
        <f t="shared" ca="1" si="39"/>
        <v>16.896482412060301</v>
      </c>
    </row>
    <row r="174" spans="1:14" ht="21.75" customHeight="1" x14ac:dyDescent="0.4">
      <c r="A174" s="55"/>
      <c r="B174" s="56"/>
      <c r="C174" s="43" t="s">
        <v>17</v>
      </c>
      <c r="D174" s="57" t="s">
        <v>25</v>
      </c>
      <c r="E174" s="58"/>
      <c r="F174" s="58"/>
      <c r="G174" s="59"/>
      <c r="H174" s="60"/>
      <c r="I174" s="48"/>
      <c r="J174" s="48"/>
      <c r="K174" s="49"/>
      <c r="L174" s="61"/>
      <c r="M174" s="61"/>
      <c r="N174" s="61"/>
    </row>
    <row r="175" spans="1:14" ht="21.75" customHeight="1" x14ac:dyDescent="0.4">
      <c r="A175" s="55"/>
      <c r="B175" s="56"/>
      <c r="C175" s="56"/>
      <c r="D175" s="62">
        <v>1</v>
      </c>
      <c r="E175" s="63" t="s">
        <v>26</v>
      </c>
      <c r="F175" s="64"/>
      <c r="G175" s="65"/>
      <c r="H175" s="66"/>
      <c r="I175" s="67"/>
      <c r="J175" s="68">
        <v>0</v>
      </c>
      <c r="K175" s="49"/>
      <c r="L175" s="61"/>
      <c r="M175" s="61"/>
      <c r="N175" s="61"/>
    </row>
    <row r="176" spans="1:14" ht="21.75" customHeight="1" x14ac:dyDescent="0.4">
      <c r="A176" s="55"/>
      <c r="B176" s="56"/>
      <c r="C176" s="56"/>
      <c r="D176" s="69">
        <v>2</v>
      </c>
      <c r="E176" s="70" t="s">
        <v>27</v>
      </c>
      <c r="F176" s="71"/>
      <c r="G176" s="72"/>
      <c r="H176" s="66"/>
      <c r="I176" s="67"/>
      <c r="J176" s="68">
        <v>1</v>
      </c>
      <c r="K176" s="49"/>
      <c r="L176" s="61" t="s">
        <v>21</v>
      </c>
      <c r="M176" s="61" t="s">
        <v>21</v>
      </c>
      <c r="N176" s="61"/>
    </row>
    <row r="177" spans="1:14" ht="21.75" customHeight="1" x14ac:dyDescent="0.4">
      <c r="A177" s="55"/>
      <c r="B177" s="56"/>
      <c r="C177" s="56"/>
      <c r="D177" s="73"/>
      <c r="E177" s="74" t="s">
        <v>28</v>
      </c>
      <c r="F177" s="75"/>
      <c r="G177" s="76"/>
      <c r="H177" s="66"/>
      <c r="I177" s="67"/>
      <c r="J177" s="68">
        <v>1</v>
      </c>
      <c r="K177" s="49"/>
      <c r="L177" s="61"/>
      <c r="M177" s="61"/>
      <c r="N177" s="61"/>
    </row>
    <row r="178" spans="1:14" ht="21.75" customHeight="1" x14ac:dyDescent="0.4">
      <c r="A178" s="55"/>
      <c r="B178" s="56"/>
      <c r="C178" s="56"/>
      <c r="D178" s="73"/>
      <c r="E178" s="74" t="s">
        <v>29</v>
      </c>
      <c r="F178" s="75"/>
      <c r="G178" s="76"/>
      <c r="H178" s="66"/>
      <c r="I178" s="67"/>
      <c r="J178" s="68">
        <v>1</v>
      </c>
      <c r="K178" s="49"/>
      <c r="L178" s="61"/>
      <c r="M178" s="61"/>
      <c r="N178" s="61"/>
    </row>
    <row r="179" spans="1:14" ht="21.75" customHeight="1" x14ac:dyDescent="0.4">
      <c r="A179" s="55"/>
      <c r="B179" s="56"/>
      <c r="C179" s="56"/>
      <c r="D179" s="73"/>
      <c r="E179" s="77"/>
      <c r="F179" s="74" t="s">
        <v>86</v>
      </c>
      <c r="G179" s="76"/>
      <c r="H179" s="60" t="s">
        <v>40</v>
      </c>
      <c r="I179" s="67">
        <f ca="1">IFERROR(__xludf.DUMMYFUNCTION("IMPORTRANGE(""https://docs.google.com/spreadsheets/d/1C3CXT74ZlgGe6_JY_1olB1XN4rF0dxEuIIF-xsYjHgg/edit?usp=sharing"",""พรบ!BF29"")"),1)</f>
        <v>1</v>
      </c>
      <c r="J179" s="68">
        <v>0</v>
      </c>
      <c r="K179" s="49">
        <f t="shared" ref="K179:K182" ca="1" si="41">IF(I179&gt;0,J179*100/I179,0)</f>
        <v>0</v>
      </c>
      <c r="L179" s="61"/>
      <c r="M179" s="61"/>
      <c r="N179" s="61"/>
    </row>
    <row r="180" spans="1:14" ht="21.75" customHeight="1" x14ac:dyDescent="0.4">
      <c r="A180" s="55"/>
      <c r="B180" s="56"/>
      <c r="C180" s="56"/>
      <c r="D180" s="73"/>
      <c r="E180" s="77"/>
      <c r="F180" s="74" t="s">
        <v>87</v>
      </c>
      <c r="G180" s="76"/>
      <c r="H180" s="60" t="s">
        <v>16</v>
      </c>
      <c r="I180" s="67">
        <f ca="1">IFERROR(__xludf.DUMMYFUNCTION("IMPORTRANGE(""https://docs.google.com/spreadsheets/d/1C3CXT74ZlgGe6_JY_1olB1XN4rF0dxEuIIF-xsYjHgg/edit?usp=sharing"",""พรบ!BG29"")"),25)</f>
        <v>25</v>
      </c>
      <c r="J180" s="68">
        <v>0</v>
      </c>
      <c r="K180" s="49">
        <f t="shared" ca="1" si="41"/>
        <v>0</v>
      </c>
      <c r="L180" s="61"/>
      <c r="M180" s="61"/>
      <c r="N180" s="61"/>
    </row>
    <row r="181" spans="1:14" ht="21.75" customHeight="1" x14ac:dyDescent="0.4">
      <c r="A181" s="55"/>
      <c r="B181" s="56"/>
      <c r="C181" s="56"/>
      <c r="D181" s="73"/>
      <c r="E181" s="77"/>
      <c r="F181" s="74" t="s">
        <v>88</v>
      </c>
      <c r="G181" s="76"/>
      <c r="H181" s="60" t="s">
        <v>16</v>
      </c>
      <c r="I181" s="67">
        <f ca="1">IFERROR(__xludf.DUMMYFUNCTION("IMPORTRANGE(""https://docs.google.com/spreadsheets/d/1C3CXT74ZlgGe6_JY_1olB1XN4rF0dxEuIIF-xsYjHgg/edit?usp=sharing"",""พรบ!BH29"")"),25)</f>
        <v>25</v>
      </c>
      <c r="J181" s="68">
        <v>0</v>
      </c>
      <c r="K181" s="49">
        <f t="shared" ca="1" si="41"/>
        <v>0</v>
      </c>
      <c r="L181" s="61"/>
      <c r="M181" s="61"/>
      <c r="N181" s="61"/>
    </row>
    <row r="182" spans="1:14" ht="21.75" customHeight="1" x14ac:dyDescent="0.4">
      <c r="A182" s="55"/>
      <c r="B182" s="56"/>
      <c r="C182" s="56"/>
      <c r="D182" s="73"/>
      <c r="E182" s="77"/>
      <c r="F182" s="74" t="s">
        <v>89</v>
      </c>
      <c r="G182" s="76"/>
      <c r="H182" s="60" t="s">
        <v>16</v>
      </c>
      <c r="I182" s="67">
        <f ca="1">IFERROR(__xludf.DUMMYFUNCTION("IMPORTRANGE(""https://docs.google.com/spreadsheets/d/1C3CXT74ZlgGe6_JY_1olB1XN4rF0dxEuIIF-xsYjHgg/edit?usp=sharing"",""พรบ!BI29"")"),1)</f>
        <v>1</v>
      </c>
      <c r="J182" s="68">
        <v>0</v>
      </c>
      <c r="K182" s="49">
        <f t="shared" ca="1" si="41"/>
        <v>0</v>
      </c>
      <c r="L182" s="61"/>
      <c r="M182" s="61"/>
      <c r="N182" s="61"/>
    </row>
    <row r="183" spans="1:14" ht="21.75" customHeight="1" x14ac:dyDescent="0.4">
      <c r="A183" s="55"/>
      <c r="B183" s="56"/>
      <c r="C183" s="56"/>
      <c r="D183" s="73"/>
      <c r="E183" s="74" t="s">
        <v>35</v>
      </c>
      <c r="F183" s="75"/>
      <c r="G183" s="76"/>
      <c r="H183" s="66"/>
      <c r="I183" s="67"/>
      <c r="J183" s="68">
        <v>0</v>
      </c>
      <c r="K183" s="49"/>
      <c r="L183" s="61"/>
      <c r="M183" s="61"/>
      <c r="N183" s="61"/>
    </row>
    <row r="184" spans="1:14" ht="21.75" customHeight="1" x14ac:dyDescent="0.4">
      <c r="A184" s="105"/>
      <c r="B184" s="106"/>
      <c r="C184" s="106"/>
      <c r="D184" s="107">
        <v>3</v>
      </c>
      <c r="E184" s="108" t="s">
        <v>36</v>
      </c>
      <c r="F184" s="109"/>
      <c r="G184" s="110"/>
      <c r="H184" s="111"/>
      <c r="I184" s="112"/>
      <c r="J184" s="113">
        <v>0</v>
      </c>
      <c r="K184" s="114"/>
      <c r="L184" s="115"/>
      <c r="M184" s="115"/>
      <c r="N184" s="115"/>
    </row>
    <row r="185" spans="1:14" ht="21.75" customHeight="1" x14ac:dyDescent="0.4">
      <c r="A185" s="174"/>
      <c r="B185" s="175" t="s">
        <v>90</v>
      </c>
      <c r="C185" s="175"/>
      <c r="D185" s="175"/>
      <c r="E185" s="175"/>
      <c r="F185" s="175"/>
      <c r="G185" s="176"/>
      <c r="H185" s="177" t="s">
        <v>16</v>
      </c>
      <c r="I185" s="178">
        <f ca="1">I195</f>
        <v>20</v>
      </c>
      <c r="J185" s="178">
        <f>+J195</f>
        <v>20</v>
      </c>
      <c r="K185" s="179">
        <f ca="1">IF(I185&gt;0,J185*100/I185,0)</f>
        <v>100</v>
      </c>
      <c r="L185" s="180">
        <f ca="1">L186+L187</f>
        <v>73700</v>
      </c>
      <c r="M185" s="180">
        <f>SUM(M186:M187)</f>
        <v>33000</v>
      </c>
      <c r="N185" s="179">
        <f ca="1">IF(L185&gt;0,M185*100/L185,0)</f>
        <v>44.776119402985074</v>
      </c>
    </row>
    <row r="186" spans="1:14" ht="21.75" customHeight="1" x14ac:dyDescent="0.4">
      <c r="A186" s="42"/>
      <c r="B186" s="43"/>
      <c r="C186" s="43" t="s">
        <v>17</v>
      </c>
      <c r="D186" s="44" t="s">
        <v>18</v>
      </c>
      <c r="E186" s="45"/>
      <c r="F186" s="45"/>
      <c r="G186" s="46" t="s">
        <v>19</v>
      </c>
      <c r="H186" s="47" t="s">
        <v>20</v>
      </c>
      <c r="I186" s="48" t="s">
        <v>21</v>
      </c>
      <c r="J186" s="48"/>
      <c r="K186" s="49"/>
      <c r="L186" s="50">
        <v>0</v>
      </c>
      <c r="M186" s="50">
        <v>0</v>
      </c>
      <c r="N186" s="50">
        <f t="shared" ref="N186:N189" si="42">+IF(L186&gt;0,M186*100/L186,0)</f>
        <v>0</v>
      </c>
    </row>
    <row r="187" spans="1:14" ht="21.75" customHeight="1" x14ac:dyDescent="0.4">
      <c r="A187" s="42"/>
      <c r="B187" s="43"/>
      <c r="C187" s="43"/>
      <c r="D187" s="51"/>
      <c r="E187" s="45"/>
      <c r="F187" s="45" t="s">
        <v>21</v>
      </c>
      <c r="G187" s="46" t="s">
        <v>22</v>
      </c>
      <c r="H187" s="47" t="s">
        <v>20</v>
      </c>
      <c r="I187" s="48"/>
      <c r="J187" s="48"/>
      <c r="K187" s="49"/>
      <c r="L187" s="50">
        <f t="shared" ref="L187:M187" ca="1" si="43">SUM(L188:L189)</f>
        <v>73700</v>
      </c>
      <c r="M187" s="50">
        <f t="shared" si="43"/>
        <v>33000</v>
      </c>
      <c r="N187" s="50">
        <f t="shared" ca="1" si="42"/>
        <v>44.776119402985074</v>
      </c>
    </row>
    <row r="188" spans="1:14" ht="21.75" customHeight="1" x14ac:dyDescent="0.4">
      <c r="A188" s="42"/>
      <c r="B188" s="43"/>
      <c r="C188" s="43"/>
      <c r="D188" s="51"/>
      <c r="E188" s="45"/>
      <c r="F188" s="45"/>
      <c r="G188" s="52" t="s">
        <v>23</v>
      </c>
      <c r="H188" s="47" t="s">
        <v>20</v>
      </c>
      <c r="I188" s="48"/>
      <c r="J188" s="48"/>
      <c r="K188" s="49"/>
      <c r="L188" s="53">
        <f ca="1">IFERROR(__xludf.DUMMYFUNCTION("IMPORTRANGE(""https://docs.google.com/spreadsheets/d/1C3CXT74ZlgGe6_JY_1olB1XN4rF0dxEuIIF-xsYjHgg/edit?usp=sharing"",""พรบ!BK29"")"),0)</f>
        <v>0</v>
      </c>
      <c r="M188" s="53">
        <v>0</v>
      </c>
      <c r="N188" s="53">
        <f t="shared" ca="1" si="42"/>
        <v>0</v>
      </c>
    </row>
    <row r="189" spans="1:14" ht="21.75" customHeight="1" x14ac:dyDescent="0.4">
      <c r="A189" s="42"/>
      <c r="B189" s="43"/>
      <c r="C189" s="43"/>
      <c r="D189" s="51"/>
      <c r="E189" s="45"/>
      <c r="F189" s="45"/>
      <c r="G189" s="52" t="s">
        <v>24</v>
      </c>
      <c r="H189" s="47" t="s">
        <v>20</v>
      </c>
      <c r="I189" s="48"/>
      <c r="J189" s="48"/>
      <c r="K189" s="49"/>
      <c r="L189" s="53">
        <f ca="1">IFERROR(__xludf.DUMMYFUNCTION("IMPORTRANGE(""https://docs.google.com/spreadsheets/d/1C3CXT74ZlgGe6_JY_1olB1XN4rF0dxEuIIF-xsYjHgg/edit?usp=sharing"",""พรบ!BL29"")"),73700)</f>
        <v>73700</v>
      </c>
      <c r="M189" s="54">
        <v>33000</v>
      </c>
      <c r="N189" s="53">
        <f t="shared" ca="1" si="42"/>
        <v>44.776119402985074</v>
      </c>
    </row>
    <row r="190" spans="1:14" ht="21.75" customHeight="1" x14ac:dyDescent="0.4">
      <c r="A190" s="55"/>
      <c r="B190" s="56"/>
      <c r="C190" s="43" t="s">
        <v>17</v>
      </c>
      <c r="D190" s="57" t="s">
        <v>25</v>
      </c>
      <c r="E190" s="58"/>
      <c r="F190" s="58"/>
      <c r="G190" s="59"/>
      <c r="H190" s="60"/>
      <c r="I190" s="48"/>
      <c r="J190" s="48"/>
      <c r="K190" s="49"/>
      <c r="L190" s="61"/>
      <c r="M190" s="61"/>
      <c r="N190" s="61"/>
    </row>
    <row r="191" spans="1:14" ht="21.75" customHeight="1" x14ac:dyDescent="0.4">
      <c r="A191" s="55"/>
      <c r="B191" s="56"/>
      <c r="C191" s="56"/>
      <c r="D191" s="62">
        <v>1</v>
      </c>
      <c r="E191" s="63" t="s">
        <v>26</v>
      </c>
      <c r="F191" s="64"/>
      <c r="G191" s="65"/>
      <c r="H191" s="66"/>
      <c r="I191" s="67"/>
      <c r="J191" s="68">
        <v>0</v>
      </c>
      <c r="K191" s="49"/>
      <c r="L191" s="61"/>
      <c r="M191" s="61"/>
      <c r="N191" s="61"/>
    </row>
    <row r="192" spans="1:14" ht="21.75" customHeight="1" x14ac:dyDescent="0.4">
      <c r="A192" s="55"/>
      <c r="B192" s="56"/>
      <c r="C192" s="56"/>
      <c r="D192" s="69">
        <v>2</v>
      </c>
      <c r="E192" s="70" t="s">
        <v>27</v>
      </c>
      <c r="F192" s="71"/>
      <c r="G192" s="72"/>
      <c r="H192" s="66"/>
      <c r="I192" s="67"/>
      <c r="J192" s="68">
        <v>1</v>
      </c>
      <c r="K192" s="49"/>
      <c r="L192" s="61"/>
      <c r="M192" s="61"/>
      <c r="N192" s="61"/>
    </row>
    <row r="193" spans="1:14" ht="21.75" customHeight="1" x14ac:dyDescent="0.4">
      <c r="A193" s="55"/>
      <c r="B193" s="56"/>
      <c r="C193" s="56"/>
      <c r="D193" s="73"/>
      <c r="E193" s="74" t="s">
        <v>28</v>
      </c>
      <c r="F193" s="75"/>
      <c r="G193" s="76"/>
      <c r="H193" s="66"/>
      <c r="I193" s="67"/>
      <c r="J193" s="68">
        <v>1</v>
      </c>
      <c r="K193" s="49"/>
      <c r="L193" s="61"/>
      <c r="M193" s="61"/>
      <c r="N193" s="61"/>
    </row>
    <row r="194" spans="1:14" ht="21.75" customHeight="1" x14ac:dyDescent="0.4">
      <c r="A194" s="55"/>
      <c r="B194" s="56"/>
      <c r="C194" s="56"/>
      <c r="D194" s="73"/>
      <c r="E194" s="74" t="s">
        <v>29</v>
      </c>
      <c r="F194" s="75"/>
      <c r="G194" s="76"/>
      <c r="H194" s="66"/>
      <c r="I194" s="67"/>
      <c r="J194" s="68">
        <v>1</v>
      </c>
      <c r="K194" s="49"/>
      <c r="L194" s="61"/>
      <c r="M194" s="61"/>
      <c r="N194" s="61"/>
    </row>
    <row r="195" spans="1:14" ht="21.75" customHeight="1" x14ac:dyDescent="0.4">
      <c r="A195" s="55"/>
      <c r="B195" s="56"/>
      <c r="C195" s="56"/>
      <c r="D195" s="73"/>
      <c r="E195" s="75"/>
      <c r="F195" s="74" t="s">
        <v>91</v>
      </c>
      <c r="G195" s="76"/>
      <c r="H195" s="66" t="s">
        <v>16</v>
      </c>
      <c r="I195" s="67">
        <f ca="1">IFERROR(__xludf.DUMMYFUNCTION("IMPORTRANGE(""https://docs.google.com/spreadsheets/d/1C3CXT74ZlgGe6_JY_1olB1XN4rF0dxEuIIF-xsYjHgg/edit?usp=sharing"",""พรบ!BM29"")"),20)</f>
        <v>20</v>
      </c>
      <c r="J195" s="68">
        <v>20</v>
      </c>
      <c r="K195" s="49">
        <f ca="1">IF(I195&gt;0,J195*100/I195,0)</f>
        <v>100</v>
      </c>
      <c r="L195" s="61"/>
      <c r="M195" s="61"/>
      <c r="N195" s="61"/>
    </row>
    <row r="196" spans="1:14" ht="21.75" customHeight="1" x14ac:dyDescent="0.4">
      <c r="A196" s="55"/>
      <c r="B196" s="56"/>
      <c r="C196" s="56"/>
      <c r="D196" s="73"/>
      <c r="E196" s="74" t="s">
        <v>35</v>
      </c>
      <c r="F196" s="75"/>
      <c r="G196" s="76"/>
      <c r="H196" s="66"/>
      <c r="I196" s="67"/>
      <c r="J196" s="68">
        <v>0</v>
      </c>
      <c r="K196" s="49"/>
      <c r="L196" s="61"/>
      <c r="M196" s="61"/>
      <c r="N196" s="61"/>
    </row>
    <row r="197" spans="1:14" ht="21.75" customHeight="1" x14ac:dyDescent="0.4">
      <c r="A197" s="55"/>
      <c r="B197" s="56"/>
      <c r="C197" s="56"/>
      <c r="D197" s="81">
        <v>3</v>
      </c>
      <c r="E197" s="82" t="s">
        <v>36</v>
      </c>
      <c r="F197" s="83"/>
      <c r="G197" s="84"/>
      <c r="H197" s="66"/>
      <c r="I197" s="67"/>
      <c r="J197" s="85">
        <v>0</v>
      </c>
      <c r="K197" s="49"/>
      <c r="L197" s="61"/>
      <c r="M197" s="61"/>
      <c r="N197" s="61"/>
    </row>
    <row r="198" spans="1:14" ht="21.75" customHeight="1" x14ac:dyDescent="0.4">
      <c r="A198" s="166" t="s">
        <v>92</v>
      </c>
      <c r="B198" s="167"/>
      <c r="C198" s="167"/>
      <c r="D198" s="168"/>
      <c r="E198" s="167"/>
      <c r="F198" s="167"/>
      <c r="G198" s="181"/>
      <c r="H198" s="182"/>
      <c r="I198" s="183"/>
      <c r="J198" s="183"/>
      <c r="K198" s="184"/>
      <c r="L198" s="184"/>
      <c r="M198" s="184"/>
      <c r="N198" s="173"/>
    </row>
    <row r="199" spans="1:14" ht="21.75" customHeight="1" x14ac:dyDescent="0.4">
      <c r="A199" s="185"/>
      <c r="B199" s="175" t="s">
        <v>93</v>
      </c>
      <c r="C199" s="186"/>
      <c r="D199" s="187"/>
      <c r="E199" s="175"/>
      <c r="F199" s="175"/>
      <c r="G199" s="176"/>
      <c r="H199" s="177" t="s">
        <v>16</v>
      </c>
      <c r="I199" s="178">
        <f t="shared" ref="I199:J199" ca="1" si="44">I209</f>
        <v>0</v>
      </c>
      <c r="J199" s="178">
        <f t="shared" si="44"/>
        <v>0</v>
      </c>
      <c r="K199" s="179">
        <f ca="1">IF(I199&gt;0,J199*100/I199,0)</f>
        <v>0</v>
      </c>
      <c r="L199" s="180">
        <f ca="1">L200+L201</f>
        <v>0</v>
      </c>
      <c r="M199" s="180">
        <f>SUM(M200:M201)</f>
        <v>0</v>
      </c>
      <c r="N199" s="179">
        <f ca="1">IF(L199&gt;0,M199*100/L199,0)</f>
        <v>0</v>
      </c>
    </row>
    <row r="200" spans="1:14" ht="21.75" customHeight="1" x14ac:dyDescent="0.4">
      <c r="A200" s="42"/>
      <c r="B200" s="43"/>
      <c r="C200" s="43" t="s">
        <v>17</v>
      </c>
      <c r="D200" s="44" t="s">
        <v>18</v>
      </c>
      <c r="E200" s="45"/>
      <c r="F200" s="45"/>
      <c r="G200" s="46" t="s">
        <v>19</v>
      </c>
      <c r="H200" s="47" t="s">
        <v>20</v>
      </c>
      <c r="I200" s="48" t="s">
        <v>21</v>
      </c>
      <c r="J200" s="48"/>
      <c r="K200" s="49"/>
      <c r="L200" s="50">
        <v>0</v>
      </c>
      <c r="M200" s="50">
        <v>0</v>
      </c>
      <c r="N200" s="50">
        <f t="shared" ref="N200:N203" si="45">+IF(L200&gt;0,M200*100/L200,0)</f>
        <v>0</v>
      </c>
    </row>
    <row r="201" spans="1:14" ht="21.75" customHeight="1" x14ac:dyDescent="0.4">
      <c r="A201" s="42"/>
      <c r="B201" s="43"/>
      <c r="C201" s="43"/>
      <c r="D201" s="51"/>
      <c r="E201" s="45"/>
      <c r="F201" s="45" t="s">
        <v>21</v>
      </c>
      <c r="G201" s="46" t="s">
        <v>22</v>
      </c>
      <c r="H201" s="47" t="s">
        <v>20</v>
      </c>
      <c r="I201" s="48"/>
      <c r="J201" s="48"/>
      <c r="K201" s="49"/>
      <c r="L201" s="50">
        <f t="shared" ref="L201:M201" ca="1" si="46">SUM(L202:L203)</f>
        <v>0</v>
      </c>
      <c r="M201" s="50">
        <f t="shared" si="46"/>
        <v>0</v>
      </c>
      <c r="N201" s="50">
        <f t="shared" ca="1" si="45"/>
        <v>0</v>
      </c>
    </row>
    <row r="202" spans="1:14" ht="21.75" customHeight="1" x14ac:dyDescent="0.4">
      <c r="A202" s="42"/>
      <c r="B202" s="43"/>
      <c r="C202" s="43"/>
      <c r="D202" s="51"/>
      <c r="E202" s="45"/>
      <c r="F202" s="45"/>
      <c r="G202" s="52" t="s">
        <v>23</v>
      </c>
      <c r="H202" s="47" t="s">
        <v>20</v>
      </c>
      <c r="I202" s="48"/>
      <c r="J202" s="48"/>
      <c r="K202" s="49"/>
      <c r="L202" s="53">
        <v>0</v>
      </c>
      <c r="M202" s="53">
        <v>0</v>
      </c>
      <c r="N202" s="53">
        <f t="shared" si="45"/>
        <v>0</v>
      </c>
    </row>
    <row r="203" spans="1:14" ht="21.75" customHeight="1" x14ac:dyDescent="0.4">
      <c r="A203" s="42"/>
      <c r="B203" s="43"/>
      <c r="C203" s="43"/>
      <c r="D203" s="51"/>
      <c r="E203" s="45"/>
      <c r="F203" s="45"/>
      <c r="G203" s="52" t="s">
        <v>24</v>
      </c>
      <c r="H203" s="47" t="s">
        <v>20</v>
      </c>
      <c r="I203" s="48"/>
      <c r="J203" s="67"/>
      <c r="K203" s="233"/>
      <c r="L203" s="53">
        <f ca="1">IFERROR(__xludf.DUMMYFUNCTION("IMPORTRANGE(""https://docs.google.com/spreadsheets/d/1C3CXT74ZlgGe6_JY_1olB1XN4rF0dxEuIIF-xsYjHgg/edit?usp=sharing"",""พรบ!BP29"")"),0)</f>
        <v>0</v>
      </c>
      <c r="M203" s="53">
        <v>0</v>
      </c>
      <c r="N203" s="53">
        <f t="shared" ca="1" si="45"/>
        <v>0</v>
      </c>
    </row>
    <row r="204" spans="1:14" ht="21.75" customHeight="1" x14ac:dyDescent="0.4">
      <c r="A204" s="55"/>
      <c r="B204" s="56"/>
      <c r="C204" s="43" t="s">
        <v>17</v>
      </c>
      <c r="D204" s="57" t="s">
        <v>25</v>
      </c>
      <c r="E204" s="58"/>
      <c r="F204" s="58"/>
      <c r="G204" s="59"/>
      <c r="H204" s="60"/>
      <c r="I204" s="48"/>
      <c r="J204" s="67"/>
      <c r="K204" s="233"/>
      <c r="L204" s="53"/>
      <c r="M204" s="53"/>
      <c r="N204" s="61"/>
    </row>
    <row r="205" spans="1:14" ht="21.75" customHeight="1" x14ac:dyDescent="0.4">
      <c r="A205" s="55"/>
      <c r="B205" s="56"/>
      <c r="C205" s="56"/>
      <c r="D205" s="62">
        <v>1</v>
      </c>
      <c r="E205" s="63" t="s">
        <v>26</v>
      </c>
      <c r="F205" s="64"/>
      <c r="G205" s="65"/>
      <c r="H205" s="66"/>
      <c r="I205" s="67"/>
      <c r="J205" s="67">
        <v>0</v>
      </c>
      <c r="K205" s="233"/>
      <c r="L205" s="53"/>
      <c r="M205" s="53"/>
      <c r="N205" s="61"/>
    </row>
    <row r="206" spans="1:14" ht="21.75" customHeight="1" x14ac:dyDescent="0.4">
      <c r="A206" s="55"/>
      <c r="B206" s="56"/>
      <c r="C206" s="56"/>
      <c r="D206" s="69">
        <v>2</v>
      </c>
      <c r="E206" s="70" t="s">
        <v>27</v>
      </c>
      <c r="F206" s="71"/>
      <c r="G206" s="72"/>
      <c r="H206" s="66"/>
      <c r="I206" s="67"/>
      <c r="J206" s="67">
        <v>0</v>
      </c>
      <c r="K206" s="233"/>
      <c r="L206" s="53" t="s">
        <v>21</v>
      </c>
      <c r="M206" s="53" t="s">
        <v>21</v>
      </c>
      <c r="N206" s="61"/>
    </row>
    <row r="207" spans="1:14" ht="21.75" customHeight="1" x14ac:dyDescent="0.4">
      <c r="A207" s="55"/>
      <c r="B207" s="56"/>
      <c r="C207" s="56"/>
      <c r="D207" s="73"/>
      <c r="E207" s="74" t="s">
        <v>28</v>
      </c>
      <c r="F207" s="75"/>
      <c r="G207" s="76"/>
      <c r="H207" s="66"/>
      <c r="I207" s="67"/>
      <c r="J207" s="67">
        <v>0</v>
      </c>
      <c r="K207" s="233"/>
      <c r="L207" s="53"/>
      <c r="M207" s="53"/>
      <c r="N207" s="61"/>
    </row>
    <row r="208" spans="1:14" ht="21.75" customHeight="1" x14ac:dyDescent="0.4">
      <c r="A208" s="55"/>
      <c r="B208" s="56"/>
      <c r="C208" s="56"/>
      <c r="D208" s="73"/>
      <c r="E208" s="74" t="s">
        <v>29</v>
      </c>
      <c r="F208" s="75"/>
      <c r="G208" s="76"/>
      <c r="H208" s="66"/>
      <c r="I208" s="67"/>
      <c r="J208" s="67">
        <v>0</v>
      </c>
      <c r="K208" s="233"/>
      <c r="L208" s="53"/>
      <c r="M208" s="53"/>
      <c r="N208" s="61"/>
    </row>
    <row r="209" spans="1:14" ht="21.75" customHeight="1" x14ac:dyDescent="0.4">
      <c r="A209" s="55"/>
      <c r="B209" s="56"/>
      <c r="C209" s="56"/>
      <c r="D209" s="73"/>
      <c r="E209" s="77"/>
      <c r="F209" s="74" t="s">
        <v>94</v>
      </c>
      <c r="G209" s="76"/>
      <c r="H209" s="60" t="s">
        <v>16</v>
      </c>
      <c r="I209" s="67">
        <f ca="1">IFERROR(__xludf.DUMMYFUNCTION("IMPORTRANGE(""https://docs.google.com/spreadsheets/d/1C3CXT74ZlgGe6_JY_1olB1XN4rF0dxEuIIF-xsYjHgg/edit?usp=sharing"",""พรบ!BQ29"")"),0)</f>
        <v>0</v>
      </c>
      <c r="J209" s="67">
        <v>0</v>
      </c>
      <c r="K209" s="233">
        <f ca="1">IF(I209&gt;0,J209*100/I209,0)</f>
        <v>0</v>
      </c>
      <c r="L209" s="53"/>
      <c r="M209" s="53"/>
      <c r="N209" s="61"/>
    </row>
    <row r="210" spans="1:14" ht="21.75" customHeight="1" x14ac:dyDescent="0.4">
      <c r="A210" s="55"/>
      <c r="B210" s="56"/>
      <c r="C210" s="56"/>
      <c r="D210" s="73"/>
      <c r="E210" s="77"/>
      <c r="F210" s="74" t="s">
        <v>95</v>
      </c>
      <c r="G210" s="76"/>
      <c r="H210" s="60"/>
      <c r="I210" s="67"/>
      <c r="J210" s="67"/>
      <c r="K210" s="233"/>
      <c r="L210" s="53"/>
      <c r="M210" s="53"/>
      <c r="N210" s="61"/>
    </row>
    <row r="211" spans="1:14" ht="21.75" customHeight="1" x14ac:dyDescent="0.4">
      <c r="A211" s="55"/>
      <c r="B211" s="56"/>
      <c r="C211" s="56"/>
      <c r="D211" s="73"/>
      <c r="E211" s="77"/>
      <c r="F211" s="75" t="s">
        <v>34</v>
      </c>
      <c r="G211" s="76"/>
      <c r="H211" s="60" t="s">
        <v>16</v>
      </c>
      <c r="I211" s="67">
        <f ca="1">IFERROR(__xludf.DUMMYFUNCTION("IMPORTRANGE(""https://docs.google.com/spreadsheets/d/1C3CXT74ZlgGe6_JY_1olB1XN4rF0dxEuIIF-xsYjHgg/edit?usp=sharing"",""พรบ!BR29"")"),0)</f>
        <v>0</v>
      </c>
      <c r="J211" s="67">
        <v>0</v>
      </c>
      <c r="K211" s="233">
        <f ca="1">IF(I211&gt;0,J211*100/I211,0)</f>
        <v>0</v>
      </c>
      <c r="L211" s="53"/>
      <c r="M211" s="53"/>
      <c r="N211" s="61"/>
    </row>
    <row r="212" spans="1:14" ht="21.75" customHeight="1" x14ac:dyDescent="0.4">
      <c r="A212" s="55"/>
      <c r="B212" s="56"/>
      <c r="C212" s="56"/>
      <c r="D212" s="73"/>
      <c r="E212" s="74" t="s">
        <v>35</v>
      </c>
      <c r="F212" s="75"/>
      <c r="G212" s="76"/>
      <c r="H212" s="66"/>
      <c r="I212" s="67"/>
      <c r="J212" s="67">
        <v>0</v>
      </c>
      <c r="K212" s="233"/>
      <c r="L212" s="53"/>
      <c r="M212" s="53"/>
      <c r="N212" s="61"/>
    </row>
    <row r="213" spans="1:14" ht="21.75" customHeight="1" x14ac:dyDescent="0.4">
      <c r="A213" s="55"/>
      <c r="B213" s="56"/>
      <c r="C213" s="56"/>
      <c r="D213" s="81">
        <v>3</v>
      </c>
      <c r="E213" s="82" t="s">
        <v>36</v>
      </c>
      <c r="F213" s="83"/>
      <c r="G213" s="84"/>
      <c r="H213" s="66"/>
      <c r="I213" s="67"/>
      <c r="J213" s="385">
        <v>0</v>
      </c>
      <c r="K213" s="233"/>
      <c r="L213" s="53"/>
      <c r="M213" s="53"/>
      <c r="N213" s="61"/>
    </row>
    <row r="214" spans="1:14" ht="21.75" customHeight="1" x14ac:dyDescent="0.4">
      <c r="A214" s="189"/>
      <c r="B214" s="190" t="s">
        <v>96</v>
      </c>
      <c r="C214" s="191"/>
      <c r="D214" s="192"/>
      <c r="E214" s="190"/>
      <c r="F214" s="190"/>
      <c r="G214" s="193"/>
      <c r="H214" s="194" t="s">
        <v>97</v>
      </c>
      <c r="I214" s="195">
        <f t="shared" ref="I214:J214" ca="1" si="47">I224</f>
        <v>0</v>
      </c>
      <c r="J214" s="195">
        <f t="shared" si="47"/>
        <v>0</v>
      </c>
      <c r="K214" s="196">
        <f ca="1">IF(I214&gt;0,J214*100/I214,0)</f>
        <v>0</v>
      </c>
      <c r="L214" s="197">
        <f ca="1">L215+L216</f>
        <v>0</v>
      </c>
      <c r="M214" s="197">
        <f>SUM(M215:M216)</f>
        <v>0</v>
      </c>
      <c r="N214" s="196">
        <f ca="1">IF(L214&gt;0,M214*100/L214,0)</f>
        <v>0</v>
      </c>
    </row>
    <row r="215" spans="1:14" ht="21.75" customHeight="1" x14ac:dyDescent="0.4">
      <c r="A215" s="42"/>
      <c r="B215" s="43"/>
      <c r="C215" s="43" t="s">
        <v>17</v>
      </c>
      <c r="D215" s="44" t="s">
        <v>18</v>
      </c>
      <c r="E215" s="45"/>
      <c r="F215" s="45"/>
      <c r="G215" s="46" t="s">
        <v>19</v>
      </c>
      <c r="H215" s="47" t="s">
        <v>20</v>
      </c>
      <c r="I215" s="48" t="s">
        <v>21</v>
      </c>
      <c r="J215" s="48"/>
      <c r="K215" s="49"/>
      <c r="L215" s="50">
        <v>0</v>
      </c>
      <c r="M215" s="53">
        <v>0</v>
      </c>
      <c r="N215" s="53">
        <f t="shared" ref="N215:N218" si="48">+IF(L215&gt;0,M215*100/L215,0)</f>
        <v>0</v>
      </c>
    </row>
    <row r="216" spans="1:14" ht="21.75" customHeight="1" x14ac:dyDescent="0.4">
      <c r="A216" s="42"/>
      <c r="B216" s="43"/>
      <c r="C216" s="43"/>
      <c r="D216" s="51"/>
      <c r="E216" s="45"/>
      <c r="F216" s="45" t="s">
        <v>21</v>
      </c>
      <c r="G216" s="46" t="s">
        <v>22</v>
      </c>
      <c r="H216" s="47" t="s">
        <v>20</v>
      </c>
      <c r="I216" s="48"/>
      <c r="J216" s="48"/>
      <c r="K216" s="49"/>
      <c r="L216" s="50">
        <f t="shared" ref="L216:M216" ca="1" si="49">SUM(L217:L218)</f>
        <v>0</v>
      </c>
      <c r="M216" s="53">
        <f t="shared" si="49"/>
        <v>0</v>
      </c>
      <c r="N216" s="53">
        <f t="shared" ca="1" si="48"/>
        <v>0</v>
      </c>
    </row>
    <row r="217" spans="1:14" ht="21.75" customHeight="1" x14ac:dyDescent="0.4">
      <c r="A217" s="42"/>
      <c r="B217" s="43"/>
      <c r="C217" s="43"/>
      <c r="D217" s="51"/>
      <c r="E217" s="45"/>
      <c r="F217" s="45"/>
      <c r="G217" s="52" t="s">
        <v>23</v>
      </c>
      <c r="H217" s="47" t="s">
        <v>20</v>
      </c>
      <c r="I217" s="48"/>
      <c r="J217" s="48"/>
      <c r="K217" s="49"/>
      <c r="L217" s="53">
        <v>0</v>
      </c>
      <c r="M217" s="53">
        <v>0</v>
      </c>
      <c r="N217" s="53">
        <f t="shared" si="48"/>
        <v>0</v>
      </c>
    </row>
    <row r="218" spans="1:14" ht="21.75" customHeight="1" x14ac:dyDescent="0.4">
      <c r="A218" s="42"/>
      <c r="B218" s="43"/>
      <c r="C218" s="43"/>
      <c r="D218" s="51"/>
      <c r="E218" s="45"/>
      <c r="F218" s="45"/>
      <c r="G218" s="52" t="s">
        <v>24</v>
      </c>
      <c r="H218" s="47" t="s">
        <v>20</v>
      </c>
      <c r="I218" s="48"/>
      <c r="J218" s="67"/>
      <c r="K218" s="233"/>
      <c r="L218" s="53">
        <f ca="1">IFERROR(__xludf.DUMMYFUNCTION("IMPORTRANGE(""https://docs.google.com/spreadsheets/d/1C3CXT74ZlgGe6_JY_1olB1XN4rF0dxEuIIF-xsYjHgg/edit?usp=sharing"",""พรบ!BU29"")"),0)</f>
        <v>0</v>
      </c>
      <c r="M218" s="53">
        <v>0</v>
      </c>
      <c r="N218" s="53">
        <f t="shared" ca="1" si="48"/>
        <v>0</v>
      </c>
    </row>
    <row r="219" spans="1:14" ht="21.75" customHeight="1" x14ac:dyDescent="0.4">
      <c r="A219" s="55"/>
      <c r="B219" s="56"/>
      <c r="C219" s="43" t="s">
        <v>17</v>
      </c>
      <c r="D219" s="57" t="s">
        <v>25</v>
      </c>
      <c r="E219" s="58"/>
      <c r="F219" s="58"/>
      <c r="G219" s="59"/>
      <c r="H219" s="60"/>
      <c r="I219" s="48"/>
      <c r="J219" s="67"/>
      <c r="K219" s="233"/>
      <c r="L219" s="53"/>
      <c r="M219" s="53"/>
      <c r="N219" s="61"/>
    </row>
    <row r="220" spans="1:14" ht="21.75" customHeight="1" x14ac:dyDescent="0.4">
      <c r="A220" s="55"/>
      <c r="B220" s="56"/>
      <c r="C220" s="56"/>
      <c r="D220" s="62">
        <v>1</v>
      </c>
      <c r="E220" s="63" t="s">
        <v>26</v>
      </c>
      <c r="F220" s="64"/>
      <c r="G220" s="65"/>
      <c r="H220" s="66"/>
      <c r="I220" s="67"/>
      <c r="J220" s="67">
        <v>0</v>
      </c>
      <c r="K220" s="233"/>
      <c r="L220" s="53"/>
      <c r="M220" s="53"/>
      <c r="N220" s="61"/>
    </row>
    <row r="221" spans="1:14" ht="21.75" customHeight="1" x14ac:dyDescent="0.4">
      <c r="A221" s="55"/>
      <c r="B221" s="56"/>
      <c r="C221" s="56"/>
      <c r="D221" s="69">
        <v>2</v>
      </c>
      <c r="E221" s="70" t="s">
        <v>27</v>
      </c>
      <c r="F221" s="71"/>
      <c r="G221" s="72"/>
      <c r="H221" s="66"/>
      <c r="I221" s="67"/>
      <c r="J221" s="67">
        <v>0</v>
      </c>
      <c r="K221" s="233"/>
      <c r="L221" s="53" t="s">
        <v>21</v>
      </c>
      <c r="M221" s="53" t="s">
        <v>21</v>
      </c>
      <c r="N221" s="61"/>
    </row>
    <row r="222" spans="1:14" ht="21.75" customHeight="1" x14ac:dyDescent="0.4">
      <c r="A222" s="55"/>
      <c r="B222" s="56"/>
      <c r="C222" s="56"/>
      <c r="D222" s="73"/>
      <c r="E222" s="74" t="s">
        <v>28</v>
      </c>
      <c r="F222" s="75"/>
      <c r="G222" s="76"/>
      <c r="H222" s="66"/>
      <c r="I222" s="67"/>
      <c r="J222" s="67">
        <v>0</v>
      </c>
      <c r="K222" s="233"/>
      <c r="L222" s="53"/>
      <c r="M222" s="53"/>
      <c r="N222" s="61"/>
    </row>
    <row r="223" spans="1:14" ht="21.75" customHeight="1" x14ac:dyDescent="0.4">
      <c r="A223" s="55"/>
      <c r="B223" s="56"/>
      <c r="C223" s="56"/>
      <c r="D223" s="73"/>
      <c r="E223" s="74" t="s">
        <v>29</v>
      </c>
      <c r="F223" s="75"/>
      <c r="G223" s="76"/>
      <c r="H223" s="66"/>
      <c r="I223" s="67"/>
      <c r="J223" s="67">
        <v>0</v>
      </c>
      <c r="K223" s="233"/>
      <c r="L223" s="53"/>
      <c r="M223" s="53"/>
      <c r="N223" s="61"/>
    </row>
    <row r="224" spans="1:14" ht="21.75" customHeight="1" x14ac:dyDescent="0.4">
      <c r="A224" s="55"/>
      <c r="B224" s="56"/>
      <c r="C224" s="56"/>
      <c r="D224" s="73"/>
      <c r="E224" s="77"/>
      <c r="F224" s="74" t="s">
        <v>98</v>
      </c>
      <c r="G224" s="76"/>
      <c r="H224" s="66" t="s">
        <v>97</v>
      </c>
      <c r="I224" s="67">
        <f ca="1">IFERROR(__xludf.DUMMYFUNCTION("IMPORTRANGE(""https://docs.google.com/spreadsheets/d/1C3CXT74ZlgGe6_JY_1olB1XN4rF0dxEuIIF-xsYjHgg/edit?usp=sharing"",""พรบ!BV29"")"),0)</f>
        <v>0</v>
      </c>
      <c r="J224" s="67">
        <v>0</v>
      </c>
      <c r="K224" s="233">
        <f ca="1">IF(I224&gt;0,J224*100/I224,0)</f>
        <v>0</v>
      </c>
      <c r="L224" s="53"/>
      <c r="M224" s="53"/>
      <c r="N224" s="61"/>
    </row>
    <row r="225" spans="1:14" ht="21.75" customHeight="1" x14ac:dyDescent="0.4">
      <c r="A225" s="55"/>
      <c r="B225" s="56"/>
      <c r="C225" s="56"/>
      <c r="D225" s="73"/>
      <c r="E225" s="74" t="s">
        <v>35</v>
      </c>
      <c r="F225" s="75"/>
      <c r="G225" s="76"/>
      <c r="H225" s="66"/>
      <c r="I225" s="67"/>
      <c r="J225" s="67">
        <v>0</v>
      </c>
      <c r="K225" s="233"/>
      <c r="L225" s="53"/>
      <c r="M225" s="53"/>
      <c r="N225" s="61"/>
    </row>
    <row r="226" spans="1:14" ht="21.75" customHeight="1" x14ac:dyDescent="0.4">
      <c r="A226" s="55"/>
      <c r="B226" s="56"/>
      <c r="C226" s="56"/>
      <c r="D226" s="81">
        <v>3</v>
      </c>
      <c r="E226" s="82" t="s">
        <v>36</v>
      </c>
      <c r="F226" s="83"/>
      <c r="G226" s="84"/>
      <c r="H226" s="66"/>
      <c r="I226" s="67"/>
      <c r="J226" s="360">
        <v>0</v>
      </c>
      <c r="K226" s="233"/>
      <c r="L226" s="53"/>
      <c r="M226" s="53"/>
      <c r="N226" s="61"/>
    </row>
    <row r="227" spans="1:14" ht="21.75" customHeight="1" x14ac:dyDescent="0.4">
      <c r="A227" s="166" t="s">
        <v>99</v>
      </c>
      <c r="B227" s="167"/>
      <c r="C227" s="167"/>
      <c r="D227" s="168"/>
      <c r="E227" s="167"/>
      <c r="F227" s="167"/>
      <c r="G227" s="181"/>
      <c r="H227" s="170"/>
      <c r="I227" s="171"/>
      <c r="J227" s="171"/>
      <c r="K227" s="172"/>
      <c r="L227" s="172"/>
      <c r="M227" s="172"/>
      <c r="N227" s="173"/>
    </row>
    <row r="228" spans="1:14" ht="21.75" customHeight="1" x14ac:dyDescent="0.4">
      <c r="A228" s="174"/>
      <c r="B228" s="175" t="s">
        <v>100</v>
      </c>
      <c r="C228" s="187"/>
      <c r="D228" s="175"/>
      <c r="E228" s="175"/>
      <c r="F228" s="175"/>
      <c r="G228" s="176"/>
      <c r="H228" s="177" t="s">
        <v>16</v>
      </c>
      <c r="I228" s="198">
        <f ca="1">I236</f>
        <v>610</v>
      </c>
      <c r="J228" s="198">
        <f ca="1">J240</f>
        <v>0</v>
      </c>
      <c r="K228" s="179">
        <f ca="1">IF(I228&gt;0,J228*100/I228,0)</f>
        <v>0</v>
      </c>
      <c r="L228" s="180">
        <f ca="1">L229+L230</f>
        <v>1144940</v>
      </c>
      <c r="M228" s="180">
        <f>SUM(M229:M230)</f>
        <v>246819</v>
      </c>
      <c r="N228" s="179">
        <f ca="1">IF(L228&gt;0,M228*100/L228,0)</f>
        <v>21.557374185546841</v>
      </c>
    </row>
    <row r="229" spans="1:14" ht="21.75" customHeight="1" x14ac:dyDescent="0.4">
      <c r="A229" s="42"/>
      <c r="B229" s="43"/>
      <c r="C229" s="43" t="s">
        <v>17</v>
      </c>
      <c r="D229" s="44" t="s">
        <v>18</v>
      </c>
      <c r="E229" s="45"/>
      <c r="F229" s="45"/>
      <c r="G229" s="46" t="s">
        <v>19</v>
      </c>
      <c r="H229" s="47" t="s">
        <v>20</v>
      </c>
      <c r="I229" s="48" t="s">
        <v>21</v>
      </c>
      <c r="J229" s="48"/>
      <c r="K229" s="49"/>
      <c r="L229" s="50">
        <v>0</v>
      </c>
      <c r="M229" s="53">
        <v>0</v>
      </c>
      <c r="N229" s="53">
        <f t="shared" ref="N229:N232" si="50">+IF(L229&gt;0,M229*100/L229,0)</f>
        <v>0</v>
      </c>
    </row>
    <row r="230" spans="1:14" ht="21.75" customHeight="1" x14ac:dyDescent="0.4">
      <c r="A230" s="42"/>
      <c r="B230" s="43"/>
      <c r="C230" s="43"/>
      <c r="D230" s="51"/>
      <c r="E230" s="45"/>
      <c r="F230" s="45" t="s">
        <v>21</v>
      </c>
      <c r="G230" s="46" t="s">
        <v>22</v>
      </c>
      <c r="H230" s="47" t="s">
        <v>20</v>
      </c>
      <c r="I230" s="48"/>
      <c r="J230" s="48"/>
      <c r="K230" s="49"/>
      <c r="L230" s="50">
        <f t="shared" ref="L230:M230" ca="1" si="51">SUM(L231:L232)</f>
        <v>1144940</v>
      </c>
      <c r="M230" s="53">
        <f t="shared" si="51"/>
        <v>246819</v>
      </c>
      <c r="N230" s="53">
        <f t="shared" ca="1" si="50"/>
        <v>21.557374185546841</v>
      </c>
    </row>
    <row r="231" spans="1:14" ht="21.75" customHeight="1" x14ac:dyDescent="0.4">
      <c r="A231" s="42"/>
      <c r="B231" s="43"/>
      <c r="C231" s="43"/>
      <c r="D231" s="51"/>
      <c r="E231" s="45"/>
      <c r="F231" s="45"/>
      <c r="G231" s="52" t="s">
        <v>23</v>
      </c>
      <c r="H231" s="47" t="s">
        <v>20</v>
      </c>
      <c r="I231" s="48"/>
      <c r="J231" s="48"/>
      <c r="K231" s="49"/>
      <c r="L231" s="53">
        <f ca="1">IFERROR(__xludf.DUMMYFUNCTION("IMPORTRANGE(""https://docs.google.com/spreadsheets/d/1C3CXT74ZlgGe6_JY_1olB1XN4rF0dxEuIIF-xsYjHgg/edit?usp=sharing"",""พรบ!BX29"")"),306000)</f>
        <v>306000</v>
      </c>
      <c r="M231" s="54">
        <v>65400</v>
      </c>
      <c r="N231" s="53">
        <f t="shared" ca="1" si="50"/>
        <v>21.372549019607842</v>
      </c>
    </row>
    <row r="232" spans="1:14" ht="21.75" customHeight="1" x14ac:dyDescent="0.4">
      <c r="A232" s="42"/>
      <c r="B232" s="43"/>
      <c r="C232" s="43"/>
      <c r="D232" s="51"/>
      <c r="E232" s="45"/>
      <c r="F232" s="45"/>
      <c r="G232" s="52" t="s">
        <v>24</v>
      </c>
      <c r="H232" s="47" t="s">
        <v>20</v>
      </c>
      <c r="I232" s="48"/>
      <c r="J232" s="48"/>
      <c r="K232" s="49"/>
      <c r="L232" s="53">
        <f ca="1">IFERROR(__xludf.DUMMYFUNCTION("IMPORTRANGE(""https://docs.google.com/spreadsheets/d/1C3CXT74ZlgGe6_JY_1olB1XN4rF0dxEuIIF-xsYjHgg/edit?usp=sharing"",""พรบ!BY29"")"),838940)</f>
        <v>838940</v>
      </c>
      <c r="M232" s="54">
        <v>181419</v>
      </c>
      <c r="N232" s="53">
        <f t="shared" ca="1" si="50"/>
        <v>21.62478842348678</v>
      </c>
    </row>
    <row r="233" spans="1:14" ht="21.75" customHeight="1" x14ac:dyDescent="0.4">
      <c r="A233" s="55"/>
      <c r="B233" s="155"/>
      <c r="C233" s="199" t="s">
        <v>101</v>
      </c>
      <c r="D233" s="75"/>
      <c r="E233" s="75"/>
      <c r="F233" s="75"/>
      <c r="G233" s="76"/>
      <c r="H233" s="60"/>
      <c r="I233" s="200"/>
      <c r="J233" s="200"/>
      <c r="K233" s="201"/>
      <c r="L233" s="61"/>
      <c r="M233" s="61"/>
      <c r="N233" s="202"/>
    </row>
    <row r="234" spans="1:14" ht="21.75" customHeight="1" x14ac:dyDescent="0.4">
      <c r="A234" s="55"/>
      <c r="B234" s="155"/>
      <c r="C234" s="56"/>
      <c r="D234" s="75"/>
      <c r="E234" s="74" t="s">
        <v>102</v>
      </c>
      <c r="F234" s="75"/>
      <c r="G234" s="76"/>
      <c r="H234" s="60" t="s">
        <v>16</v>
      </c>
      <c r="I234" s="67">
        <v>0</v>
      </c>
      <c r="J234" s="67">
        <f ca="1">IFERROR(__xludf.DUMMYFUNCTION("IMPORTRANGE(""https://docs.google.com/spreadsheets/d/1AGHcLOeeYFL3K4b9R1dSzyJy00PE_ra89DNTVfnxSWM/edit?usp=sharing"",""รวมที่ทำกิน!J18"")"),38)</f>
        <v>38</v>
      </c>
      <c r="K234" s="201">
        <f t="shared" ref="K234:K241" si="52">IF(I234&gt;0,J234*100/I234,0)</f>
        <v>0</v>
      </c>
      <c r="L234" s="61"/>
      <c r="M234" s="61"/>
      <c r="N234" s="202"/>
    </row>
    <row r="235" spans="1:14" ht="21.75" customHeight="1" x14ac:dyDescent="0.4">
      <c r="A235" s="55"/>
      <c r="B235" s="155"/>
      <c r="C235" s="56"/>
      <c r="D235" s="75"/>
      <c r="E235" s="75"/>
      <c r="F235" s="75"/>
      <c r="G235" s="76"/>
      <c r="H235" s="60" t="s">
        <v>103</v>
      </c>
      <c r="I235" s="67">
        <f ca="1">IFERROR(__xludf.DUMMYFUNCTION("IMPORTRANGE(""https://docs.google.com/spreadsheets/d/1C3CXT74ZlgGe6_JY_1olB1XN4rF0dxEuIIF-xsYjHgg/edit?usp=sharing"",""พรบ!BZ29"")"),5920)</f>
        <v>5920</v>
      </c>
      <c r="J235" s="67">
        <f ca="1">IFERROR(__xludf.DUMMYFUNCTION("IMPORTRANGE(""https://docs.google.com/spreadsheets/d/1AGHcLOeeYFL3K4b9R1dSzyJy00PE_ra89DNTVfnxSWM/edit?usp=sharing"",""รวมที่ทำกิน!L18"")"),389.43)</f>
        <v>389.43</v>
      </c>
      <c r="K235" s="201">
        <f t="shared" ca="1" si="52"/>
        <v>6.5782094594594591</v>
      </c>
      <c r="L235" s="61"/>
      <c r="M235" s="61"/>
      <c r="N235" s="202"/>
    </row>
    <row r="236" spans="1:14" ht="21.75" customHeight="1" x14ac:dyDescent="0.4">
      <c r="A236" s="55"/>
      <c r="B236" s="155"/>
      <c r="C236" s="56"/>
      <c r="D236" s="75"/>
      <c r="E236" s="74" t="s">
        <v>104</v>
      </c>
      <c r="F236" s="75"/>
      <c r="G236" s="76"/>
      <c r="H236" s="60" t="s">
        <v>16</v>
      </c>
      <c r="I236" s="67">
        <f ca="1">IFERROR(__xludf.DUMMYFUNCTION("IMPORTRANGE(""https://docs.google.com/spreadsheets/d/1C3CXT74ZlgGe6_JY_1olB1XN4rF0dxEuIIF-xsYjHgg/edit?usp=sharing"",""พรบ!CA29"")"),610)</f>
        <v>610</v>
      </c>
      <c r="J236" s="67">
        <f ca="1">IFERROR(__xludf.DUMMYFUNCTION("IMPORTRANGE(""https://docs.google.com/spreadsheets/d/1AGHcLOeeYFL3K4b9R1dSzyJy00PE_ra89DNTVfnxSWM/edit?usp=sharing"",""รวมที่ทำกิน!O18"")"),38)</f>
        <v>38</v>
      </c>
      <c r="K236" s="201">
        <f t="shared" ca="1" si="52"/>
        <v>6.2295081967213113</v>
      </c>
      <c r="L236" s="61"/>
      <c r="M236" s="61"/>
      <c r="N236" s="202"/>
    </row>
    <row r="237" spans="1:14" ht="21.75" customHeight="1" x14ac:dyDescent="0.4">
      <c r="A237" s="55"/>
      <c r="B237" s="155"/>
      <c r="C237" s="56"/>
      <c r="D237" s="75"/>
      <c r="E237" s="75"/>
      <c r="F237" s="75"/>
      <c r="G237" s="76"/>
      <c r="H237" s="60" t="s">
        <v>103</v>
      </c>
      <c r="I237" s="200">
        <v>0</v>
      </c>
      <c r="J237" s="67">
        <f ca="1">IFERROR(__xludf.DUMMYFUNCTION("IMPORTRANGE(""https://docs.google.com/spreadsheets/d/1AGHcLOeeYFL3K4b9R1dSzyJy00PE_ra89DNTVfnxSWM/edit?usp=sharing"",""รวมที่ทำกิน!Q18"")"),389.43)</f>
        <v>389.43</v>
      </c>
      <c r="K237" s="201">
        <f t="shared" si="52"/>
        <v>0</v>
      </c>
      <c r="L237" s="61"/>
      <c r="M237" s="61"/>
      <c r="N237" s="202"/>
    </row>
    <row r="238" spans="1:14" ht="21.75" customHeight="1" x14ac:dyDescent="0.4">
      <c r="A238" s="55"/>
      <c r="B238" s="155"/>
      <c r="C238" s="56"/>
      <c r="D238" s="75"/>
      <c r="E238" s="74" t="s">
        <v>105</v>
      </c>
      <c r="F238" s="75"/>
      <c r="G238" s="76"/>
      <c r="H238" s="60" t="s">
        <v>16</v>
      </c>
      <c r="I238" s="67">
        <f ca="1">IFERROR(__xludf.DUMMYFUNCTION("IMPORTRANGE(""https://docs.google.com/spreadsheets/d/1C3CXT74ZlgGe6_JY_1olB1XN4rF0dxEuIIF-xsYjHgg/edit?usp=sharing"",""พรบ!CB29"")"),610)</f>
        <v>610</v>
      </c>
      <c r="J238" s="67">
        <f ca="1">IFERROR(__xludf.DUMMYFUNCTION("IMPORTRANGE(""https://docs.google.com/spreadsheets/d/1AGHcLOeeYFL3K4b9R1dSzyJy00PE_ra89DNTVfnxSWM/edit?usp=sharing"",""รวมที่ทำกิน!S18"")"),0)</f>
        <v>0</v>
      </c>
      <c r="K238" s="201">
        <f t="shared" ca="1" si="52"/>
        <v>0</v>
      </c>
      <c r="L238" s="61"/>
      <c r="M238" s="61"/>
      <c r="N238" s="202"/>
    </row>
    <row r="239" spans="1:14" ht="21.75" customHeight="1" x14ac:dyDescent="0.4">
      <c r="A239" s="55"/>
      <c r="B239" s="155"/>
      <c r="C239" s="56"/>
      <c r="D239" s="75"/>
      <c r="E239" s="75"/>
      <c r="F239" s="75"/>
      <c r="G239" s="76"/>
      <c r="H239" s="60" t="s">
        <v>103</v>
      </c>
      <c r="I239" s="200">
        <v>0</v>
      </c>
      <c r="J239" s="67">
        <f ca="1">IFERROR(__xludf.DUMMYFUNCTION("IMPORTRANGE(""https://docs.google.com/spreadsheets/d/1AGHcLOeeYFL3K4b9R1dSzyJy00PE_ra89DNTVfnxSWM/edit?usp=sharing"",""รวมที่ทำกิน!U18"")"),0)</f>
        <v>0</v>
      </c>
      <c r="K239" s="201">
        <f t="shared" si="52"/>
        <v>0</v>
      </c>
      <c r="L239" s="61"/>
      <c r="M239" s="61"/>
      <c r="N239" s="202"/>
    </row>
    <row r="240" spans="1:14" ht="21.75" customHeight="1" x14ac:dyDescent="0.4">
      <c r="A240" s="55"/>
      <c r="B240" s="155"/>
      <c r="C240" s="56"/>
      <c r="D240" s="75"/>
      <c r="E240" s="74" t="s">
        <v>106</v>
      </c>
      <c r="F240" s="75"/>
      <c r="G240" s="76"/>
      <c r="H240" s="60" t="s">
        <v>16</v>
      </c>
      <c r="I240" s="67">
        <f ca="1">IFERROR(__xludf.DUMMYFUNCTION("IMPORTRANGE(""https://docs.google.com/spreadsheets/d/1C3CXT74ZlgGe6_JY_1olB1XN4rF0dxEuIIF-xsYjHgg/edit?usp=sharing"",""พรบ!CC29"")"),610)</f>
        <v>610</v>
      </c>
      <c r="J240" s="67">
        <f ca="1">IFERROR(__xludf.DUMMYFUNCTION("IMPORTRANGE(""https://docs.google.com/spreadsheets/d/1AGHcLOeeYFL3K4b9R1dSzyJy00PE_ra89DNTVfnxSWM/edit?usp=sharing"",""รวมที่ทำกิน!W18"")"),0)</f>
        <v>0</v>
      </c>
      <c r="K240" s="201">
        <f t="shared" ca="1" si="52"/>
        <v>0</v>
      </c>
      <c r="L240" s="61"/>
      <c r="M240" s="61"/>
      <c r="N240" s="202"/>
    </row>
    <row r="241" spans="1:14" ht="21.75" customHeight="1" x14ac:dyDescent="0.4">
      <c r="A241" s="105"/>
      <c r="B241" s="203"/>
      <c r="C241" s="106"/>
      <c r="D241" s="203"/>
      <c r="E241" s="204"/>
      <c r="F241" s="204"/>
      <c r="G241" s="205"/>
      <c r="H241" s="206" t="s">
        <v>103</v>
      </c>
      <c r="I241" s="207">
        <v>0</v>
      </c>
      <c r="J241" s="67">
        <f ca="1">IFERROR(__xludf.DUMMYFUNCTION("IMPORTRANGE(""https://docs.google.com/spreadsheets/d/1AGHcLOeeYFL3K4b9R1dSzyJy00PE_ra89DNTVfnxSWM/edit?usp=sharing"",""รวมที่ทำกิน!Y18"")"),0)</f>
        <v>0</v>
      </c>
      <c r="K241" s="201">
        <f t="shared" si="52"/>
        <v>0</v>
      </c>
      <c r="L241" s="115"/>
      <c r="M241" s="115"/>
      <c r="N241" s="208"/>
    </row>
    <row r="242" spans="1:14" ht="21.75" customHeight="1" x14ac:dyDescent="0.4">
      <c r="A242" s="209" t="s">
        <v>107</v>
      </c>
      <c r="B242" s="210"/>
      <c r="C242" s="210"/>
      <c r="D242" s="210"/>
      <c r="E242" s="210"/>
      <c r="F242" s="210"/>
      <c r="G242" s="211"/>
      <c r="H242" s="212"/>
      <c r="I242" s="213"/>
      <c r="J242" s="213"/>
      <c r="K242" s="214"/>
      <c r="L242" s="214">
        <f t="shared" ref="L242:M242" ca="1" si="53">SUM(L244,L275,L296,L330,L350,L426,L444,L457,L473,L490)</f>
        <v>3149956</v>
      </c>
      <c r="M242" s="214">
        <f t="shared" si="53"/>
        <v>316535</v>
      </c>
      <c r="N242" s="214">
        <f ca="1">+IF(L242&gt;0,M242*100/L242,0)</f>
        <v>10.04887052390573</v>
      </c>
    </row>
    <row r="243" spans="1:14" ht="21.75" customHeight="1" x14ac:dyDescent="0.4">
      <c r="A243" s="215" t="s">
        <v>108</v>
      </c>
      <c r="B243" s="216"/>
      <c r="C243" s="216"/>
      <c r="D243" s="216"/>
      <c r="E243" s="216"/>
      <c r="F243" s="216"/>
      <c r="G243" s="217"/>
      <c r="H243" s="218"/>
      <c r="I243" s="219"/>
      <c r="J243" s="219"/>
      <c r="K243" s="220"/>
      <c r="L243" s="220"/>
      <c r="M243" s="220"/>
      <c r="N243" s="221"/>
    </row>
    <row r="244" spans="1:14" ht="21.75" customHeight="1" x14ac:dyDescent="0.4">
      <c r="A244" s="222"/>
      <c r="B244" s="223">
        <v>1</v>
      </c>
      <c r="C244" s="224" t="s">
        <v>109</v>
      </c>
      <c r="D244" s="224"/>
      <c r="E244" s="224"/>
      <c r="F244" s="224"/>
      <c r="G244" s="225"/>
      <c r="H244" s="226" t="s">
        <v>103</v>
      </c>
      <c r="I244" s="227">
        <f t="shared" ref="I244:J244" ca="1" si="54">I270</f>
        <v>425</v>
      </c>
      <c r="J244" s="227">
        <f t="shared" si="54"/>
        <v>0</v>
      </c>
      <c r="K244" s="228">
        <f t="shared" ref="K244:K245" ca="1" si="55">IF(I244&gt;0,J244*100/I244,0)</f>
        <v>0</v>
      </c>
      <c r="L244" s="229">
        <f t="shared" ref="L244:M244" ca="1" si="56">SUM(L246:L247)</f>
        <v>664130</v>
      </c>
      <c r="M244" s="229">
        <f t="shared" si="56"/>
        <v>131320</v>
      </c>
      <c r="N244" s="229">
        <f ca="1">+IF(L244&gt;0,M244*100/L244,0)</f>
        <v>19.773237167422042</v>
      </c>
    </row>
    <row r="245" spans="1:14" ht="21.75" customHeight="1" x14ac:dyDescent="0.4">
      <c r="A245" s="222"/>
      <c r="B245" s="223"/>
      <c r="C245" s="224"/>
      <c r="D245" s="224"/>
      <c r="E245" s="224"/>
      <c r="F245" s="224"/>
      <c r="G245" s="225"/>
      <c r="H245" s="226" t="s">
        <v>16</v>
      </c>
      <c r="I245" s="227">
        <f ca="1">I263</f>
        <v>95</v>
      </c>
      <c r="J245" s="227">
        <f>+J263</f>
        <v>0</v>
      </c>
      <c r="K245" s="228">
        <f t="shared" ca="1" si="55"/>
        <v>0</v>
      </c>
      <c r="L245" s="229"/>
      <c r="M245" s="229"/>
      <c r="N245" s="229"/>
    </row>
    <row r="246" spans="1:14" ht="21.75" customHeight="1" x14ac:dyDescent="0.4">
      <c r="A246" s="42"/>
      <c r="B246" s="43"/>
      <c r="C246" s="43" t="s">
        <v>17</v>
      </c>
      <c r="D246" s="44" t="s">
        <v>18</v>
      </c>
      <c r="E246" s="45"/>
      <c r="F246" s="45"/>
      <c r="G246" s="46" t="s">
        <v>19</v>
      </c>
      <c r="H246" s="47" t="s">
        <v>20</v>
      </c>
      <c r="I246" s="48" t="s">
        <v>21</v>
      </c>
      <c r="J246" s="48"/>
      <c r="K246" s="49"/>
      <c r="L246" s="50">
        <v>0</v>
      </c>
      <c r="M246" s="50">
        <v>0</v>
      </c>
      <c r="N246" s="50">
        <f t="shared" ref="N246:N249" si="57">+IF(L246&gt;0,M246*100/L246,0)</f>
        <v>0</v>
      </c>
    </row>
    <row r="247" spans="1:14" ht="21.75" customHeight="1" x14ac:dyDescent="0.4">
      <c r="A247" s="42"/>
      <c r="B247" s="43"/>
      <c r="C247" s="43"/>
      <c r="D247" s="51"/>
      <c r="E247" s="45"/>
      <c r="F247" s="45" t="s">
        <v>21</v>
      </c>
      <c r="G247" s="46" t="s">
        <v>22</v>
      </c>
      <c r="H247" s="47" t="s">
        <v>20</v>
      </c>
      <c r="I247" s="48"/>
      <c r="J247" s="48"/>
      <c r="K247" s="49"/>
      <c r="L247" s="50">
        <f t="shared" ref="L247:M247" ca="1" si="58">SUM(L248:L249)</f>
        <v>664130</v>
      </c>
      <c r="M247" s="50">
        <f t="shared" si="58"/>
        <v>131320</v>
      </c>
      <c r="N247" s="50">
        <f t="shared" ca="1" si="57"/>
        <v>19.773237167422042</v>
      </c>
    </row>
    <row r="248" spans="1:14" ht="21.75" customHeight="1" x14ac:dyDescent="0.4">
      <c r="A248" s="42"/>
      <c r="B248" s="43"/>
      <c r="C248" s="43"/>
      <c r="D248" s="51"/>
      <c r="E248" s="45"/>
      <c r="F248" s="45"/>
      <c r="G248" s="52" t="s">
        <v>110</v>
      </c>
      <c r="H248" s="47" t="s">
        <v>20</v>
      </c>
      <c r="I248" s="48"/>
      <c r="J248" s="48"/>
      <c r="K248" s="49"/>
      <c r="L248" s="53">
        <f ca="1">IFERROR(__xludf.DUMMYFUNCTION("IMPORTRANGE(""https://docs.google.com/spreadsheets/d/1C3CXT74ZlgGe6_JY_1olB1XN4rF0dxEuIIF-xsYjHgg/edit?usp=sharing"",""งบกองทุน!d29"")"),0)</f>
        <v>0</v>
      </c>
      <c r="M248" s="53">
        <v>0</v>
      </c>
      <c r="N248" s="53">
        <f t="shared" ca="1" si="57"/>
        <v>0</v>
      </c>
    </row>
    <row r="249" spans="1:14" ht="21.75" customHeight="1" x14ac:dyDescent="0.4">
      <c r="A249" s="42"/>
      <c r="B249" s="43"/>
      <c r="C249" s="43"/>
      <c r="D249" s="51"/>
      <c r="E249" s="45"/>
      <c r="F249" s="45"/>
      <c r="G249" s="52" t="s">
        <v>111</v>
      </c>
      <c r="H249" s="47" t="s">
        <v>20</v>
      </c>
      <c r="I249" s="48"/>
      <c r="J249" s="48"/>
      <c r="K249" s="49"/>
      <c r="L249" s="53">
        <f ca="1">IFERROR(__xludf.DUMMYFUNCTION("IMPORTRANGE(""https://docs.google.com/spreadsheets/d/1C3CXT74ZlgGe6_JY_1olB1XN4rF0dxEuIIF-xsYjHgg/edit?usp=sharing"",""งบกองทุน!e29"")"),664130)</f>
        <v>664130</v>
      </c>
      <c r="M249" s="53">
        <f>SUM(M250:M253)</f>
        <v>131320</v>
      </c>
      <c r="N249" s="53">
        <f t="shared" ca="1" si="57"/>
        <v>19.773237167422042</v>
      </c>
    </row>
    <row r="250" spans="1:14" ht="21.75" customHeight="1" x14ac:dyDescent="0.4">
      <c r="A250" s="230"/>
      <c r="B250" s="231"/>
      <c r="C250" s="43"/>
      <c r="D250" s="232"/>
      <c r="E250" s="45"/>
      <c r="F250" s="45"/>
      <c r="G250" s="46" t="s">
        <v>112</v>
      </c>
      <c r="H250" s="47" t="s">
        <v>20</v>
      </c>
      <c r="I250" s="67"/>
      <c r="J250" s="67"/>
      <c r="K250" s="233"/>
      <c r="L250" s="53"/>
      <c r="M250" s="54">
        <f>72424+26648</f>
        <v>99072</v>
      </c>
      <c r="N250" s="53"/>
    </row>
    <row r="251" spans="1:14" ht="21.75" customHeight="1" x14ac:dyDescent="0.4">
      <c r="A251" s="230"/>
      <c r="B251" s="231"/>
      <c r="C251" s="43"/>
      <c r="D251" s="232"/>
      <c r="E251" s="45"/>
      <c r="F251" s="45"/>
      <c r="G251" s="46" t="s">
        <v>113</v>
      </c>
      <c r="H251" s="47" t="s">
        <v>20</v>
      </c>
      <c r="I251" s="67"/>
      <c r="J251" s="67"/>
      <c r="K251" s="233"/>
      <c r="L251" s="53"/>
      <c r="M251" s="54">
        <v>0</v>
      </c>
      <c r="N251" s="53"/>
    </row>
    <row r="252" spans="1:14" ht="21.75" customHeight="1" x14ac:dyDescent="0.4">
      <c r="A252" s="230"/>
      <c r="B252" s="231"/>
      <c r="C252" s="43"/>
      <c r="D252" s="232"/>
      <c r="E252" s="45"/>
      <c r="F252" s="45"/>
      <c r="G252" s="46" t="s">
        <v>114</v>
      </c>
      <c r="H252" s="47" t="s">
        <v>20</v>
      </c>
      <c r="I252" s="67"/>
      <c r="J252" s="67"/>
      <c r="K252" s="233"/>
      <c r="L252" s="53"/>
      <c r="M252" s="54">
        <f>21248+11000</f>
        <v>32248</v>
      </c>
      <c r="N252" s="53"/>
    </row>
    <row r="253" spans="1:14" ht="21.75" customHeight="1" x14ac:dyDescent="0.4">
      <c r="A253" s="230"/>
      <c r="B253" s="231"/>
      <c r="C253" s="43"/>
      <c r="D253" s="232"/>
      <c r="E253" s="45"/>
      <c r="F253" s="45"/>
      <c r="G253" s="46" t="s">
        <v>115</v>
      </c>
      <c r="H253" s="47" t="s">
        <v>20</v>
      </c>
      <c r="I253" s="67"/>
      <c r="J253" s="67"/>
      <c r="K253" s="233"/>
      <c r="L253" s="53"/>
      <c r="M253" s="54">
        <v>0</v>
      </c>
      <c r="N253" s="53"/>
    </row>
    <row r="254" spans="1:14" ht="21.75" customHeight="1" x14ac:dyDescent="0.4">
      <c r="A254" s="55"/>
      <c r="B254" s="56"/>
      <c r="C254" s="43" t="s">
        <v>17</v>
      </c>
      <c r="D254" s="57" t="s">
        <v>25</v>
      </c>
      <c r="E254" s="58"/>
      <c r="F254" s="58"/>
      <c r="G254" s="59"/>
      <c r="H254" s="60"/>
      <c r="I254" s="48"/>
      <c r="J254" s="48"/>
      <c r="K254" s="49"/>
      <c r="L254" s="61"/>
      <c r="M254" s="61"/>
      <c r="N254" s="61"/>
    </row>
    <row r="255" spans="1:14" ht="21.75" customHeight="1" x14ac:dyDescent="0.4">
      <c r="A255" s="55"/>
      <c r="B255" s="56"/>
      <c r="C255" s="56"/>
      <c r="D255" s="62">
        <v>1</v>
      </c>
      <c r="E255" s="63" t="s">
        <v>26</v>
      </c>
      <c r="F255" s="64"/>
      <c r="G255" s="65"/>
      <c r="H255" s="66"/>
      <c r="I255" s="67"/>
      <c r="J255" s="68">
        <v>0</v>
      </c>
      <c r="K255" s="49"/>
      <c r="L255" s="61"/>
      <c r="M255" s="61"/>
      <c r="N255" s="61"/>
    </row>
    <row r="256" spans="1:14" ht="21.75" customHeight="1" x14ac:dyDescent="0.4">
      <c r="A256" s="55"/>
      <c r="B256" s="56"/>
      <c r="C256" s="56"/>
      <c r="D256" s="69">
        <v>2</v>
      </c>
      <c r="E256" s="70" t="s">
        <v>27</v>
      </c>
      <c r="F256" s="71"/>
      <c r="G256" s="72"/>
      <c r="H256" s="66"/>
      <c r="I256" s="67"/>
      <c r="J256" s="68">
        <v>1</v>
      </c>
      <c r="K256" s="49"/>
      <c r="L256" s="61" t="s">
        <v>21</v>
      </c>
      <c r="M256" s="61" t="s">
        <v>21</v>
      </c>
      <c r="N256" s="61"/>
    </row>
    <row r="257" spans="1:14" ht="21.75" customHeight="1" x14ac:dyDescent="0.4">
      <c r="A257" s="55"/>
      <c r="B257" s="56"/>
      <c r="C257" s="56"/>
      <c r="D257" s="73"/>
      <c r="E257" s="74" t="s">
        <v>28</v>
      </c>
      <c r="F257" s="75"/>
      <c r="G257" s="76"/>
      <c r="H257" s="66"/>
      <c r="I257" s="67"/>
      <c r="J257" s="68">
        <v>1</v>
      </c>
      <c r="K257" s="49"/>
      <c r="L257" s="61"/>
      <c r="M257" s="61"/>
      <c r="N257" s="61"/>
    </row>
    <row r="258" spans="1:14" ht="21.75" customHeight="1" x14ac:dyDescent="0.4">
      <c r="A258" s="55"/>
      <c r="B258" s="56"/>
      <c r="C258" s="56"/>
      <c r="D258" s="73"/>
      <c r="E258" s="74" t="s">
        <v>29</v>
      </c>
      <c r="F258" s="75"/>
      <c r="G258" s="76"/>
      <c r="H258" s="66"/>
      <c r="I258" s="67"/>
      <c r="J258" s="68">
        <v>1</v>
      </c>
      <c r="K258" s="49"/>
      <c r="L258" s="61"/>
      <c r="M258" s="61"/>
      <c r="N258" s="61"/>
    </row>
    <row r="259" spans="1:14" ht="21.75" hidden="1" customHeight="1" x14ac:dyDescent="0.4">
      <c r="A259" s="55"/>
      <c r="B259" s="56"/>
      <c r="C259" s="56"/>
      <c r="D259" s="73"/>
      <c r="E259" s="77"/>
      <c r="F259" s="74" t="s">
        <v>50</v>
      </c>
      <c r="G259" s="76"/>
      <c r="H259" s="60"/>
      <c r="I259" s="67"/>
      <c r="J259" s="67">
        <f>+J260+J263+J268</f>
        <v>0</v>
      </c>
      <c r="K259" s="49"/>
      <c r="L259" s="61"/>
      <c r="M259" s="61"/>
      <c r="N259" s="61"/>
    </row>
    <row r="260" spans="1:14" ht="21.75" hidden="1" customHeight="1" x14ac:dyDescent="0.4">
      <c r="A260" s="55"/>
      <c r="B260" s="56"/>
      <c r="C260" s="56"/>
      <c r="D260" s="73"/>
      <c r="E260" s="77"/>
      <c r="F260" s="75"/>
      <c r="G260" s="99" t="s">
        <v>116</v>
      </c>
      <c r="H260" s="60" t="s">
        <v>16</v>
      </c>
      <c r="I260" s="67">
        <f ca="1">IFERROR(__xludf.DUMMYFUNCTION("IMPORTRANGE(""https://docs.google.com/spreadsheets/d/1C3CXT74ZlgGe6_JY_1olB1XN4rF0dxEuIIF-xsYjHgg/edit?usp=sharing"",""งบกองทุน!f29"")"),0)</f>
        <v>0</v>
      </c>
      <c r="J260" s="67">
        <v>0</v>
      </c>
      <c r="K260" s="49">
        <f ca="1">IF(I260&gt;0,J260*100/I260,0)</f>
        <v>0</v>
      </c>
      <c r="L260" s="61"/>
      <c r="M260" s="61"/>
      <c r="N260" s="61"/>
    </row>
    <row r="261" spans="1:14" ht="21.75" hidden="1" customHeight="1" x14ac:dyDescent="0.4">
      <c r="A261" s="55"/>
      <c r="B261" s="56"/>
      <c r="C261" s="56"/>
      <c r="D261" s="73"/>
      <c r="E261" s="77"/>
      <c r="F261" s="75"/>
      <c r="G261" s="76" t="s">
        <v>117</v>
      </c>
      <c r="H261" s="60"/>
      <c r="I261" s="48"/>
      <c r="J261" s="67"/>
      <c r="K261" s="49"/>
      <c r="L261" s="61"/>
      <c r="M261" s="61"/>
      <c r="N261" s="61"/>
    </row>
    <row r="262" spans="1:14" ht="21.75" hidden="1" customHeight="1" x14ac:dyDescent="0.4">
      <c r="A262" s="55"/>
      <c r="B262" s="56"/>
      <c r="C262" s="56"/>
      <c r="D262" s="73"/>
      <c r="E262" s="77"/>
      <c r="F262" s="75"/>
      <c r="G262" s="99" t="s">
        <v>118</v>
      </c>
      <c r="H262" s="66" t="s">
        <v>103</v>
      </c>
      <c r="I262" s="67">
        <f t="shared" ref="I262:J262" ca="1" si="59">SUM(I264,I266)</f>
        <v>425</v>
      </c>
      <c r="J262" s="67">
        <f t="shared" si="59"/>
        <v>0</v>
      </c>
      <c r="K262" s="49">
        <f t="shared" ref="K262:K268" ca="1" si="60">IF(I262&gt;0,J262*100/I262,0)</f>
        <v>0</v>
      </c>
      <c r="L262" s="61"/>
      <c r="M262" s="61"/>
      <c r="N262" s="61"/>
    </row>
    <row r="263" spans="1:14" ht="21.75" customHeight="1" x14ac:dyDescent="0.4">
      <c r="A263" s="55"/>
      <c r="B263" s="56"/>
      <c r="C263" s="56"/>
      <c r="D263" s="73"/>
      <c r="E263" s="77"/>
      <c r="F263" s="99" t="s">
        <v>119</v>
      </c>
      <c r="G263" s="76"/>
      <c r="H263" s="66" t="s">
        <v>16</v>
      </c>
      <c r="I263" s="48">
        <f ca="1">IFERROR(__xludf.DUMMYFUNCTION("IMPORTRANGE(""https://docs.google.com/spreadsheets/d/1C3CXT74ZlgGe6_JY_1olB1XN4rF0dxEuIIF-xsYjHgg/edit?usp=sharing"",""งบกองทุน!H29"")"),95)</f>
        <v>95</v>
      </c>
      <c r="J263" s="67">
        <f>J267</f>
        <v>0</v>
      </c>
      <c r="K263" s="49">
        <f t="shared" ca="1" si="60"/>
        <v>0</v>
      </c>
      <c r="L263" s="61"/>
      <c r="M263" s="61"/>
      <c r="N263" s="61"/>
    </row>
    <row r="264" spans="1:14" ht="21.75" hidden="1" customHeight="1" x14ac:dyDescent="0.4">
      <c r="A264" s="55"/>
      <c r="B264" s="56"/>
      <c r="C264" s="56"/>
      <c r="D264" s="73"/>
      <c r="E264" s="77"/>
      <c r="F264" s="75"/>
      <c r="H264" s="60" t="s">
        <v>103</v>
      </c>
      <c r="I264" s="48">
        <f ca="1">IFERROR(__xludf.DUMMYFUNCTION("IMPORTRANGE(""https://docs.google.com/spreadsheets/d/1C3CXT74ZlgGe6_JY_1olB1XN4rF0dxEuIIF-xsYjHgg/edit?usp=sharing"",""งบกองทุน!i29"")"),275)</f>
        <v>275</v>
      </c>
      <c r="J264" s="68">
        <v>0</v>
      </c>
      <c r="K264" s="49">
        <f t="shared" ca="1" si="60"/>
        <v>0</v>
      </c>
      <c r="L264" s="61"/>
      <c r="M264" s="61"/>
      <c r="N264" s="61"/>
    </row>
    <row r="265" spans="1:14" ht="21.75" customHeight="1" x14ac:dyDescent="0.4">
      <c r="A265" s="55"/>
      <c r="B265" s="56"/>
      <c r="C265" s="56"/>
      <c r="D265" s="73"/>
      <c r="E265" s="77"/>
      <c r="F265" s="75"/>
      <c r="G265" s="99" t="s">
        <v>219</v>
      </c>
      <c r="H265" s="60" t="s">
        <v>16</v>
      </c>
      <c r="I265" s="48">
        <f ca="1">I263</f>
        <v>95</v>
      </c>
      <c r="J265" s="68">
        <v>65</v>
      </c>
      <c r="K265" s="49">
        <f t="shared" ca="1" si="60"/>
        <v>68.421052631578945</v>
      </c>
      <c r="L265" s="61"/>
      <c r="M265" s="61"/>
      <c r="N265" s="61"/>
    </row>
    <row r="266" spans="1:14" ht="21.75" hidden="1" customHeight="1" x14ac:dyDescent="0.4">
      <c r="A266" s="55"/>
      <c r="B266" s="56"/>
      <c r="C266" s="56"/>
      <c r="D266" s="73"/>
      <c r="E266" s="77"/>
      <c r="F266" s="75"/>
      <c r="G266" s="76"/>
      <c r="H266" s="60" t="s">
        <v>103</v>
      </c>
      <c r="I266" s="48">
        <f ca="1">IFERROR(__xludf.DUMMYFUNCTION("IMPORTRANGE(""https://docs.google.com/spreadsheets/d/1C3CXT74ZlgGe6_JY_1olB1XN4rF0dxEuIIF-xsYjHgg/edit?usp=sharing"",""งบกองทุน!k29"")"),150)</f>
        <v>150</v>
      </c>
      <c r="J266" s="68">
        <v>0</v>
      </c>
      <c r="K266" s="49">
        <f t="shared" ca="1" si="60"/>
        <v>0</v>
      </c>
      <c r="L266" s="61"/>
      <c r="M266" s="61"/>
      <c r="N266" s="61"/>
    </row>
    <row r="267" spans="1:14" ht="21.75" customHeight="1" x14ac:dyDescent="0.4">
      <c r="A267" s="55"/>
      <c r="B267" s="56"/>
      <c r="C267" s="56"/>
      <c r="D267" s="73"/>
      <c r="E267" s="77"/>
      <c r="F267" s="75"/>
      <c r="G267" s="76" t="s">
        <v>220</v>
      </c>
      <c r="H267" s="60" t="s">
        <v>16</v>
      </c>
      <c r="I267" s="48">
        <f ca="1">I265</f>
        <v>95</v>
      </c>
      <c r="J267" s="68">
        <v>0</v>
      </c>
      <c r="K267" s="49">
        <f t="shared" ca="1" si="60"/>
        <v>0</v>
      </c>
      <c r="L267" s="61"/>
      <c r="M267" s="61"/>
      <c r="N267" s="61"/>
    </row>
    <row r="268" spans="1:14" ht="21.75" hidden="1" customHeight="1" x14ac:dyDescent="0.4">
      <c r="A268" s="55"/>
      <c r="B268" s="56"/>
      <c r="C268" s="56"/>
      <c r="D268" s="73"/>
      <c r="E268" s="77"/>
      <c r="F268" s="75"/>
      <c r="G268" s="99" t="s">
        <v>122</v>
      </c>
      <c r="H268" s="60" t="s">
        <v>16</v>
      </c>
      <c r="I268" s="67">
        <f ca="1">IFERROR(__xludf.DUMMYFUNCTION("IMPORTRANGE(""https://docs.google.com/spreadsheets/d/1C3CXT74ZlgGe6_JY_1olB1XN4rF0dxEuIIF-xsYjHgg/edit?usp=sharing"",""งบกองทุน!m29"")"),0)</f>
        <v>0</v>
      </c>
      <c r="J268" s="67">
        <v>0</v>
      </c>
      <c r="K268" s="49">
        <f t="shared" ca="1" si="60"/>
        <v>0</v>
      </c>
      <c r="L268" s="61"/>
      <c r="M268" s="61"/>
      <c r="N268" s="61"/>
    </row>
    <row r="269" spans="1:14" ht="21.75" hidden="1" customHeight="1" x14ac:dyDescent="0.4">
      <c r="A269" s="55"/>
      <c r="B269" s="56"/>
      <c r="C269" s="56"/>
      <c r="D269" s="73"/>
      <c r="E269" s="77"/>
      <c r="F269" s="75"/>
      <c r="G269" s="76" t="s">
        <v>123</v>
      </c>
      <c r="H269" s="60"/>
      <c r="I269" s="67"/>
      <c r="J269" s="67"/>
      <c r="K269" s="49"/>
      <c r="L269" s="61"/>
      <c r="M269" s="61"/>
      <c r="N269" s="61"/>
    </row>
    <row r="270" spans="1:14" ht="21.75" customHeight="1" x14ac:dyDescent="0.4">
      <c r="A270" s="55"/>
      <c r="B270" s="56"/>
      <c r="C270" s="56"/>
      <c r="D270" s="73"/>
      <c r="E270" s="75"/>
      <c r="F270" s="74" t="s">
        <v>34</v>
      </c>
      <c r="G270" s="76"/>
      <c r="H270" s="66" t="s">
        <v>103</v>
      </c>
      <c r="I270" s="67">
        <f t="shared" ref="I270:J270" ca="1" si="61">SUM(I271:I272)</f>
        <v>425</v>
      </c>
      <c r="J270" s="67">
        <f t="shared" si="61"/>
        <v>0</v>
      </c>
      <c r="K270" s="49">
        <f t="shared" ref="K270:K272" ca="1" si="62">IF(I270&gt;0,J270*100/I270,0)</f>
        <v>0</v>
      </c>
      <c r="L270" s="61"/>
      <c r="M270" s="61"/>
      <c r="N270" s="61"/>
    </row>
    <row r="271" spans="1:14" ht="21.75" customHeight="1" x14ac:dyDescent="0.4">
      <c r="A271" s="55"/>
      <c r="B271" s="56"/>
      <c r="C271" s="56"/>
      <c r="D271" s="73"/>
      <c r="E271" s="75"/>
      <c r="F271" s="75"/>
      <c r="G271" s="76" t="s">
        <v>124</v>
      </c>
      <c r="H271" s="66" t="s">
        <v>103</v>
      </c>
      <c r="I271" s="67">
        <f ca="1">IFERROR(__xludf.DUMMYFUNCTION("IMPORTRANGE(""https://docs.google.com/spreadsheets/d/1C3CXT74ZlgGe6_JY_1olB1XN4rF0dxEuIIF-xsYjHgg/edit?usp=sharing"",""งบกองทุน!o29"")"),150)</f>
        <v>150</v>
      </c>
      <c r="J271" s="68">
        <v>0</v>
      </c>
      <c r="K271" s="49">
        <f t="shared" ca="1" si="62"/>
        <v>0</v>
      </c>
      <c r="L271" s="61"/>
      <c r="M271" s="61"/>
      <c r="N271" s="61"/>
    </row>
    <row r="272" spans="1:14" ht="21.75" customHeight="1" x14ac:dyDescent="0.4">
      <c r="A272" s="55"/>
      <c r="B272" s="56"/>
      <c r="C272" s="56"/>
      <c r="D272" s="73"/>
      <c r="E272" s="75"/>
      <c r="F272" s="75"/>
      <c r="G272" s="76" t="s">
        <v>125</v>
      </c>
      <c r="H272" s="66" t="s">
        <v>103</v>
      </c>
      <c r="I272" s="67">
        <f ca="1">IFERROR(__xludf.DUMMYFUNCTION("IMPORTRANGE(""https://docs.google.com/spreadsheets/d/1C3CXT74ZlgGe6_JY_1olB1XN4rF0dxEuIIF-xsYjHgg/edit?usp=sharing"",""งบกองทุน!p29"")"),275)</f>
        <v>275</v>
      </c>
      <c r="J272" s="68">
        <v>0</v>
      </c>
      <c r="K272" s="49">
        <f t="shared" ca="1" si="62"/>
        <v>0</v>
      </c>
      <c r="L272" s="61"/>
      <c r="M272" s="61"/>
      <c r="N272" s="61"/>
    </row>
    <row r="273" spans="1:14" ht="21.75" customHeight="1" x14ac:dyDescent="0.4">
      <c r="A273" s="55"/>
      <c r="B273" s="56"/>
      <c r="C273" s="56"/>
      <c r="D273" s="73"/>
      <c r="E273" s="74" t="s">
        <v>35</v>
      </c>
      <c r="F273" s="75"/>
      <c r="G273" s="76"/>
      <c r="H273" s="66"/>
      <c r="I273" s="67"/>
      <c r="J273" s="68">
        <v>0</v>
      </c>
      <c r="K273" s="49"/>
      <c r="L273" s="61"/>
      <c r="M273" s="61"/>
      <c r="N273" s="61"/>
    </row>
    <row r="274" spans="1:14" ht="21.75" customHeight="1" x14ac:dyDescent="0.4">
      <c r="A274" s="55"/>
      <c r="B274" s="56"/>
      <c r="C274" s="56"/>
      <c r="D274" s="81">
        <v>3</v>
      </c>
      <c r="E274" s="82" t="s">
        <v>36</v>
      </c>
      <c r="F274" s="83"/>
      <c r="G274" s="84"/>
      <c r="H274" s="66"/>
      <c r="I274" s="67"/>
      <c r="J274" s="85">
        <v>0</v>
      </c>
      <c r="K274" s="49"/>
      <c r="L274" s="61"/>
      <c r="M274" s="61"/>
      <c r="N274" s="61"/>
    </row>
    <row r="275" spans="1:14" ht="21.75" customHeight="1" x14ac:dyDescent="0.4">
      <c r="A275" s="222"/>
      <c r="B275" s="223">
        <v>2</v>
      </c>
      <c r="C275" s="224" t="s">
        <v>126</v>
      </c>
      <c r="D275" s="224"/>
      <c r="E275" s="234"/>
      <c r="F275" s="234"/>
      <c r="G275" s="235"/>
      <c r="H275" s="226" t="s">
        <v>103</v>
      </c>
      <c r="I275" s="227">
        <f ca="1">I292</f>
        <v>1000</v>
      </c>
      <c r="J275" s="227">
        <f>+J292</f>
        <v>0</v>
      </c>
      <c r="K275" s="228">
        <f t="shared" ref="K275:K276" ca="1" si="63">IF(I275&gt;0,J275*100/I275,0)</f>
        <v>0</v>
      </c>
      <c r="L275" s="229">
        <f t="shared" ref="L275:M275" ca="1" si="64">SUM(L277:L278)</f>
        <v>1028520</v>
      </c>
      <c r="M275" s="229">
        <f t="shared" si="64"/>
        <v>69561</v>
      </c>
      <c r="N275" s="229">
        <f ca="1">+IF(L275&gt;0,M275*100/L275,0)</f>
        <v>6.763213160658033</v>
      </c>
    </row>
    <row r="276" spans="1:14" ht="21.75" customHeight="1" x14ac:dyDescent="0.4">
      <c r="A276" s="222"/>
      <c r="B276" s="223"/>
      <c r="C276" s="224"/>
      <c r="D276" s="236"/>
      <c r="E276" s="237"/>
      <c r="F276" s="237"/>
      <c r="G276" s="238"/>
      <c r="H276" s="226" t="s">
        <v>16</v>
      </c>
      <c r="I276" s="227">
        <f ca="1">I291</f>
        <v>100</v>
      </c>
      <c r="J276" s="227">
        <f>+J291</f>
        <v>0</v>
      </c>
      <c r="K276" s="228">
        <f t="shared" ca="1" si="63"/>
        <v>0</v>
      </c>
      <c r="L276" s="229"/>
      <c r="M276" s="229"/>
      <c r="N276" s="229"/>
    </row>
    <row r="277" spans="1:14" ht="21.75" customHeight="1" x14ac:dyDescent="0.4">
      <c r="A277" s="42"/>
      <c r="B277" s="43"/>
      <c r="C277" s="43" t="s">
        <v>17</v>
      </c>
      <c r="D277" s="44" t="s">
        <v>18</v>
      </c>
      <c r="E277" s="45"/>
      <c r="F277" s="45"/>
      <c r="G277" s="46" t="s">
        <v>19</v>
      </c>
      <c r="H277" s="47" t="s">
        <v>20</v>
      </c>
      <c r="I277" s="48" t="s">
        <v>21</v>
      </c>
      <c r="J277" s="48"/>
      <c r="K277" s="49"/>
      <c r="L277" s="50">
        <v>0</v>
      </c>
      <c r="M277" s="50">
        <v>0</v>
      </c>
      <c r="N277" s="50">
        <f t="shared" ref="N277:N280" si="65">+IF(L277&gt;0,M277*100/L277,0)</f>
        <v>0</v>
      </c>
    </row>
    <row r="278" spans="1:14" ht="21.75" customHeight="1" x14ac:dyDescent="0.4">
      <c r="A278" s="42"/>
      <c r="B278" s="43"/>
      <c r="C278" s="43"/>
      <c r="D278" s="51"/>
      <c r="E278" s="45"/>
      <c r="F278" s="45" t="s">
        <v>21</v>
      </c>
      <c r="G278" s="46" t="s">
        <v>22</v>
      </c>
      <c r="H278" s="47" t="s">
        <v>20</v>
      </c>
      <c r="I278" s="48"/>
      <c r="J278" s="48"/>
      <c r="K278" s="49"/>
      <c r="L278" s="50">
        <f t="shared" ref="L278:M278" ca="1" si="66">SUM(L279:L280)</f>
        <v>1028520</v>
      </c>
      <c r="M278" s="50">
        <f t="shared" si="66"/>
        <v>69561</v>
      </c>
      <c r="N278" s="50">
        <f t="shared" ca="1" si="65"/>
        <v>6.763213160658033</v>
      </c>
    </row>
    <row r="279" spans="1:14" ht="21.75" customHeight="1" x14ac:dyDescent="0.4">
      <c r="A279" s="42"/>
      <c r="B279" s="43"/>
      <c r="C279" s="43"/>
      <c r="D279" s="51"/>
      <c r="E279" s="45"/>
      <c r="F279" s="45"/>
      <c r="G279" s="52" t="s">
        <v>110</v>
      </c>
      <c r="H279" s="47" t="s">
        <v>20</v>
      </c>
      <c r="I279" s="48"/>
      <c r="J279" s="48"/>
      <c r="K279" s="49"/>
      <c r="L279" s="53">
        <f ca="1">IFERROR(__xludf.DUMMYFUNCTION("IMPORTRANGE(""https://docs.google.com/spreadsheets/d/1C3CXT74ZlgGe6_JY_1olB1XN4rF0dxEuIIF-xsYjHgg/edit?usp=sharing"",""งบกองทุน!r29"")"),0)</f>
        <v>0</v>
      </c>
      <c r="M279" s="53">
        <v>0</v>
      </c>
      <c r="N279" s="53">
        <f t="shared" ca="1" si="65"/>
        <v>0</v>
      </c>
    </row>
    <row r="280" spans="1:14" ht="21.75" customHeight="1" x14ac:dyDescent="0.4">
      <c r="A280" s="42"/>
      <c r="B280" s="43"/>
      <c r="C280" s="43"/>
      <c r="D280" s="51"/>
      <c r="E280" s="45"/>
      <c r="F280" s="45"/>
      <c r="G280" s="52" t="s">
        <v>111</v>
      </c>
      <c r="H280" s="47" t="s">
        <v>20</v>
      </c>
      <c r="I280" s="48"/>
      <c r="J280" s="48"/>
      <c r="K280" s="49"/>
      <c r="L280" s="53">
        <f ca="1">IFERROR(__xludf.DUMMYFUNCTION("IMPORTRANGE(""https://docs.google.com/spreadsheets/d/1C3CXT74ZlgGe6_JY_1olB1XN4rF0dxEuIIF-xsYjHgg/edit?usp=sharing"",""งบกองทุน!s29"")"),1028520)</f>
        <v>1028520</v>
      </c>
      <c r="M280" s="53">
        <f>SUM(M281:M284)</f>
        <v>69561</v>
      </c>
      <c r="N280" s="53">
        <f t="shared" ca="1" si="65"/>
        <v>6.763213160658033</v>
      </c>
    </row>
    <row r="281" spans="1:14" ht="21.75" customHeight="1" x14ac:dyDescent="0.4">
      <c r="A281" s="230"/>
      <c r="B281" s="231"/>
      <c r="C281" s="43"/>
      <c r="D281" s="232"/>
      <c r="E281" s="45"/>
      <c r="F281" s="45"/>
      <c r="G281" s="46" t="s">
        <v>112</v>
      </c>
      <c r="H281" s="47" t="s">
        <v>20</v>
      </c>
      <c r="I281" s="67"/>
      <c r="J281" s="67"/>
      <c r="K281" s="233"/>
      <c r="L281" s="53"/>
      <c r="M281" s="54">
        <f>20140+738+7500</f>
        <v>28378</v>
      </c>
      <c r="N281" s="53"/>
    </row>
    <row r="282" spans="1:14" ht="21.75" customHeight="1" x14ac:dyDescent="0.4">
      <c r="A282" s="230"/>
      <c r="B282" s="231"/>
      <c r="C282" s="43"/>
      <c r="D282" s="232"/>
      <c r="E282" s="45"/>
      <c r="F282" s="45"/>
      <c r="G282" s="46" t="s">
        <v>113</v>
      </c>
      <c r="H282" s="47" t="s">
        <v>20</v>
      </c>
      <c r="I282" s="67"/>
      <c r="J282" s="67"/>
      <c r="K282" s="233"/>
      <c r="L282" s="53"/>
      <c r="M282" s="54">
        <v>0</v>
      </c>
      <c r="N282" s="53"/>
    </row>
    <row r="283" spans="1:14" ht="21.75" customHeight="1" x14ac:dyDescent="0.4">
      <c r="A283" s="230"/>
      <c r="B283" s="231"/>
      <c r="C283" s="43"/>
      <c r="D283" s="232"/>
      <c r="E283" s="45"/>
      <c r="F283" s="45"/>
      <c r="G283" s="46" t="s">
        <v>114</v>
      </c>
      <c r="H283" s="47" t="s">
        <v>20</v>
      </c>
      <c r="I283" s="67"/>
      <c r="J283" s="67"/>
      <c r="K283" s="233"/>
      <c r="L283" s="53"/>
      <c r="M283" s="54">
        <f>21248+11000</f>
        <v>32248</v>
      </c>
      <c r="N283" s="53"/>
    </row>
    <row r="284" spans="1:14" ht="21.75" customHeight="1" x14ac:dyDescent="0.4">
      <c r="A284" s="230"/>
      <c r="B284" s="231"/>
      <c r="C284" s="43"/>
      <c r="D284" s="232"/>
      <c r="E284" s="45"/>
      <c r="F284" s="45"/>
      <c r="G284" s="46" t="s">
        <v>115</v>
      </c>
      <c r="H284" s="47" t="s">
        <v>20</v>
      </c>
      <c r="I284" s="67"/>
      <c r="J284" s="67"/>
      <c r="K284" s="233"/>
      <c r="L284" s="53"/>
      <c r="M284" s="54">
        <f>625+1000+830+6480</f>
        <v>8935</v>
      </c>
      <c r="N284" s="53"/>
    </row>
    <row r="285" spans="1:14" ht="21.75" customHeight="1" x14ac:dyDescent="0.4">
      <c r="A285" s="55"/>
      <c r="B285" s="56"/>
      <c r="C285" s="43" t="s">
        <v>17</v>
      </c>
      <c r="D285" s="57" t="s">
        <v>25</v>
      </c>
      <c r="E285" s="58"/>
      <c r="F285" s="58"/>
      <c r="G285" s="59"/>
      <c r="H285" s="60"/>
      <c r="I285" s="48"/>
      <c r="J285" s="48"/>
      <c r="K285" s="49"/>
      <c r="L285" s="61"/>
      <c r="M285" s="61"/>
      <c r="N285" s="61"/>
    </row>
    <row r="286" spans="1:14" ht="21.75" customHeight="1" x14ac:dyDescent="0.4">
      <c r="A286" s="55"/>
      <c r="B286" s="56"/>
      <c r="C286" s="56"/>
      <c r="D286" s="62">
        <v>1</v>
      </c>
      <c r="E286" s="63" t="s">
        <v>26</v>
      </c>
      <c r="F286" s="64"/>
      <c r="G286" s="65"/>
      <c r="H286" s="66"/>
      <c r="I286" s="67"/>
      <c r="J286" s="68">
        <v>0</v>
      </c>
      <c r="K286" s="49"/>
      <c r="L286" s="61"/>
      <c r="M286" s="61"/>
      <c r="N286" s="61"/>
    </row>
    <row r="287" spans="1:14" ht="21.75" customHeight="1" x14ac:dyDescent="0.4">
      <c r="A287" s="55"/>
      <c r="B287" s="56"/>
      <c r="C287" s="56"/>
      <c r="D287" s="69">
        <v>2</v>
      </c>
      <c r="E287" s="70" t="s">
        <v>27</v>
      </c>
      <c r="F287" s="71"/>
      <c r="G287" s="72"/>
      <c r="H287" s="66"/>
      <c r="I287" s="67"/>
      <c r="J287" s="68">
        <v>1</v>
      </c>
      <c r="K287" s="49"/>
      <c r="L287" s="61" t="s">
        <v>21</v>
      </c>
      <c r="M287" s="61" t="s">
        <v>21</v>
      </c>
      <c r="N287" s="61"/>
    </row>
    <row r="288" spans="1:14" ht="21.75" customHeight="1" x14ac:dyDescent="0.4">
      <c r="A288" s="55"/>
      <c r="B288" s="56"/>
      <c r="C288" s="56"/>
      <c r="D288" s="73"/>
      <c r="E288" s="74" t="s">
        <v>28</v>
      </c>
      <c r="F288" s="75"/>
      <c r="G288" s="76"/>
      <c r="H288" s="66"/>
      <c r="I288" s="67"/>
      <c r="J288" s="68">
        <v>1</v>
      </c>
      <c r="K288" s="49"/>
      <c r="L288" s="61"/>
      <c r="M288" s="61"/>
      <c r="N288" s="61"/>
    </row>
    <row r="289" spans="1:14" ht="21.75" customHeight="1" x14ac:dyDescent="0.4">
      <c r="A289" s="55"/>
      <c r="B289" s="56"/>
      <c r="C289" s="56"/>
      <c r="D289" s="73"/>
      <c r="E289" s="74" t="s">
        <v>29</v>
      </c>
      <c r="F289" s="75"/>
      <c r="G289" s="76"/>
      <c r="H289" s="66"/>
      <c r="I289" s="67"/>
      <c r="J289" s="68">
        <v>1</v>
      </c>
      <c r="K289" s="49"/>
      <c r="L289" s="61"/>
      <c r="M289" s="61"/>
      <c r="N289" s="61"/>
    </row>
    <row r="290" spans="1:14" ht="21.75" customHeight="1" x14ac:dyDescent="0.4">
      <c r="A290" s="55"/>
      <c r="B290" s="56"/>
      <c r="C290" s="56"/>
      <c r="D290" s="73"/>
      <c r="E290" s="77"/>
      <c r="F290" s="74" t="s">
        <v>127</v>
      </c>
      <c r="G290" s="75"/>
      <c r="H290" s="66"/>
      <c r="I290" s="67"/>
      <c r="J290" s="67"/>
      <c r="K290" s="49"/>
      <c r="L290" s="61"/>
      <c r="M290" s="61"/>
      <c r="N290" s="61"/>
    </row>
    <row r="291" spans="1:14" ht="21.75" customHeight="1" x14ac:dyDescent="0.4">
      <c r="A291" s="55"/>
      <c r="B291" s="56"/>
      <c r="C291" s="56"/>
      <c r="D291" s="73"/>
      <c r="E291" s="77"/>
      <c r="F291" s="75"/>
      <c r="G291" s="99" t="s">
        <v>50</v>
      </c>
      <c r="H291" s="66" t="s">
        <v>16</v>
      </c>
      <c r="I291" s="67">
        <f ca="1">IFERROR(__xludf.DUMMYFUNCTION("IMPORTRANGE(""https://docs.google.com/spreadsheets/d/1C3CXT74ZlgGe6_JY_1olB1XN4rF0dxEuIIF-xsYjHgg/edit?usp=sharing"",""งบกองทุน!v29"")"),100)</f>
        <v>100</v>
      </c>
      <c r="J291" s="68">
        <v>0</v>
      </c>
      <c r="K291" s="49">
        <f t="shared" ref="K291:K293" ca="1" si="67">IF(I291&gt;0,J291*100/I291,0)</f>
        <v>0</v>
      </c>
      <c r="L291" s="61"/>
      <c r="M291" s="61"/>
      <c r="N291" s="61"/>
    </row>
    <row r="292" spans="1:14" ht="21.75" customHeight="1" x14ac:dyDescent="0.4">
      <c r="A292" s="55"/>
      <c r="B292" s="56"/>
      <c r="C292" s="56"/>
      <c r="D292" s="73"/>
      <c r="E292" s="77"/>
      <c r="F292" s="75"/>
      <c r="G292" s="76" t="s">
        <v>34</v>
      </c>
      <c r="H292" s="66" t="s">
        <v>103</v>
      </c>
      <c r="I292" s="67">
        <f ca="1">IFERROR(__xludf.DUMMYFUNCTION("IMPORTRANGE(""https://docs.google.com/spreadsheets/d/1C3CXT74ZlgGe6_JY_1olB1XN4rF0dxEuIIF-xsYjHgg/edit?usp=sharing"",""งบกองทุน!w29"")"),1000)</f>
        <v>1000</v>
      </c>
      <c r="J292" s="68">
        <v>0</v>
      </c>
      <c r="K292" s="49">
        <f t="shared" ca="1" si="67"/>
        <v>0</v>
      </c>
      <c r="L292" s="61"/>
      <c r="M292" s="61"/>
      <c r="N292" s="61"/>
    </row>
    <row r="293" spans="1:14" ht="21.75" customHeight="1" x14ac:dyDescent="0.4">
      <c r="A293" s="55"/>
      <c r="B293" s="56"/>
      <c r="C293" s="56"/>
      <c r="D293" s="73"/>
      <c r="E293" s="77"/>
      <c r="F293" s="75"/>
      <c r="G293" s="76"/>
      <c r="H293" s="66" t="s">
        <v>16</v>
      </c>
      <c r="I293" s="67">
        <f ca="1">IFERROR(__xludf.DUMMYFUNCTION("IMPORTRANGE(""https://docs.google.com/spreadsheets/d/1C3CXT74ZlgGe6_JY_1olB1XN4rF0dxEuIIF-xsYjHgg/edit?usp=sharing"",""งบกองทุน!x29"")"),100)</f>
        <v>100</v>
      </c>
      <c r="J293" s="68">
        <v>0</v>
      </c>
      <c r="K293" s="49">
        <f t="shared" ca="1" si="67"/>
        <v>0</v>
      </c>
      <c r="L293" s="61"/>
      <c r="M293" s="61"/>
      <c r="N293" s="61"/>
    </row>
    <row r="294" spans="1:14" ht="21.75" customHeight="1" x14ac:dyDescent="0.4">
      <c r="A294" s="55"/>
      <c r="B294" s="56"/>
      <c r="C294" s="56"/>
      <c r="D294" s="73"/>
      <c r="E294" s="74" t="s">
        <v>35</v>
      </c>
      <c r="F294" s="75"/>
      <c r="G294" s="76"/>
      <c r="H294" s="66"/>
      <c r="I294" s="67"/>
      <c r="J294" s="68">
        <v>0</v>
      </c>
      <c r="K294" s="49"/>
      <c r="L294" s="61"/>
      <c r="M294" s="61"/>
      <c r="N294" s="61"/>
    </row>
    <row r="295" spans="1:14" ht="21.75" customHeight="1" x14ac:dyDescent="0.4">
      <c r="A295" s="55"/>
      <c r="B295" s="56"/>
      <c r="C295" s="56"/>
      <c r="D295" s="81">
        <v>3</v>
      </c>
      <c r="E295" s="82" t="s">
        <v>36</v>
      </c>
      <c r="F295" s="83"/>
      <c r="G295" s="84"/>
      <c r="H295" s="66"/>
      <c r="I295" s="67"/>
      <c r="J295" s="85">
        <v>0</v>
      </c>
      <c r="K295" s="49"/>
      <c r="L295" s="61"/>
      <c r="M295" s="61"/>
      <c r="N295" s="61"/>
    </row>
    <row r="296" spans="1:14" ht="21.75" customHeight="1" x14ac:dyDescent="0.4">
      <c r="A296" s="222"/>
      <c r="B296" s="223">
        <v>3</v>
      </c>
      <c r="C296" s="223" t="s">
        <v>128</v>
      </c>
      <c r="D296" s="224"/>
      <c r="E296" s="224"/>
      <c r="F296" s="224"/>
      <c r="G296" s="225"/>
      <c r="H296" s="226" t="s">
        <v>103</v>
      </c>
      <c r="I296" s="227">
        <f ca="1">SUM(I313,I317,I322)</f>
        <v>219</v>
      </c>
      <c r="J296" s="227">
        <f>J313+J317+J322</f>
        <v>0</v>
      </c>
      <c r="K296" s="228">
        <f t="shared" ref="K296:K297" ca="1" si="68">IF(I296&gt;0,J296*100/I296,0)</f>
        <v>0</v>
      </c>
      <c r="L296" s="229">
        <f t="shared" ref="L296:M296" ca="1" si="69">SUM(L298:L299)</f>
        <v>244540</v>
      </c>
      <c r="M296" s="229">
        <f t="shared" si="69"/>
        <v>0</v>
      </c>
      <c r="N296" s="229">
        <f ca="1">+IF(L296&gt;0,M296*100/L296,0)</f>
        <v>0</v>
      </c>
    </row>
    <row r="297" spans="1:14" ht="21.75" customHeight="1" x14ac:dyDescent="0.4">
      <c r="A297" s="222"/>
      <c r="B297" s="223"/>
      <c r="C297" s="223"/>
      <c r="D297" s="236"/>
      <c r="E297" s="236"/>
      <c r="F297" s="236"/>
      <c r="G297" s="239"/>
      <c r="H297" s="226" t="s">
        <v>16</v>
      </c>
      <c r="I297" s="227">
        <f ca="1">SUM(I312,I316,I321)</f>
        <v>73</v>
      </c>
      <c r="J297" s="227">
        <f ca="1">J311</f>
        <v>0</v>
      </c>
      <c r="K297" s="228">
        <f t="shared" ca="1" si="68"/>
        <v>0</v>
      </c>
      <c r="L297" s="229"/>
      <c r="M297" s="229"/>
      <c r="N297" s="229"/>
    </row>
    <row r="298" spans="1:14" ht="21.75" customHeight="1" x14ac:dyDescent="0.4">
      <c r="A298" s="42"/>
      <c r="B298" s="43"/>
      <c r="C298" s="43" t="s">
        <v>17</v>
      </c>
      <c r="D298" s="44" t="s">
        <v>18</v>
      </c>
      <c r="E298" s="45"/>
      <c r="F298" s="45"/>
      <c r="G298" s="46" t="s">
        <v>19</v>
      </c>
      <c r="H298" s="47" t="s">
        <v>20</v>
      </c>
      <c r="I298" s="48" t="s">
        <v>21</v>
      </c>
      <c r="J298" s="48"/>
      <c r="K298" s="49"/>
      <c r="L298" s="50">
        <v>0</v>
      </c>
      <c r="M298" s="53">
        <v>0</v>
      </c>
      <c r="N298" s="53">
        <f t="shared" ref="N298:N301" si="70">+IF(L298&gt;0,M298*100/L298,0)</f>
        <v>0</v>
      </c>
    </row>
    <row r="299" spans="1:14" ht="21.75" customHeight="1" x14ac:dyDescent="0.4">
      <c r="A299" s="42"/>
      <c r="B299" s="43"/>
      <c r="C299" s="43"/>
      <c r="D299" s="51"/>
      <c r="E299" s="45"/>
      <c r="F299" s="45" t="s">
        <v>21</v>
      </c>
      <c r="G299" s="46" t="s">
        <v>22</v>
      </c>
      <c r="H299" s="47" t="s">
        <v>20</v>
      </c>
      <c r="I299" s="48"/>
      <c r="J299" s="48"/>
      <c r="K299" s="49"/>
      <c r="L299" s="50">
        <f t="shared" ref="L299:M299" ca="1" si="71">SUM(L300:L301)</f>
        <v>244540</v>
      </c>
      <c r="M299" s="53">
        <f t="shared" si="71"/>
        <v>0</v>
      </c>
      <c r="N299" s="53">
        <f t="shared" ca="1" si="70"/>
        <v>0</v>
      </c>
    </row>
    <row r="300" spans="1:14" ht="21.75" customHeight="1" x14ac:dyDescent="0.4">
      <c r="A300" s="42"/>
      <c r="B300" s="43"/>
      <c r="C300" s="43"/>
      <c r="D300" s="51"/>
      <c r="E300" s="45"/>
      <c r="F300" s="45"/>
      <c r="G300" s="52" t="s">
        <v>110</v>
      </c>
      <c r="H300" s="47" t="s">
        <v>20</v>
      </c>
      <c r="I300" s="48"/>
      <c r="J300" s="48"/>
      <c r="K300" s="49"/>
      <c r="L300" s="53">
        <f ca="1">IFERROR(__xludf.DUMMYFUNCTION("IMPORTRANGE(""https://docs.google.com/spreadsheets/d/1C3CXT74ZlgGe6_JY_1olB1XN4rF0dxEuIIF-xsYjHgg/edit?usp=sharing"",""งบกองทุน!z29"")"),0)</f>
        <v>0</v>
      </c>
      <c r="M300" s="53">
        <v>0</v>
      </c>
      <c r="N300" s="53">
        <f t="shared" ca="1" si="70"/>
        <v>0</v>
      </c>
    </row>
    <row r="301" spans="1:14" ht="21.75" customHeight="1" x14ac:dyDescent="0.4">
      <c r="A301" s="42"/>
      <c r="B301" s="43"/>
      <c r="C301" s="43"/>
      <c r="D301" s="51"/>
      <c r="E301" s="45"/>
      <c r="F301" s="45"/>
      <c r="G301" s="52" t="s">
        <v>111</v>
      </c>
      <c r="H301" s="47" t="s">
        <v>20</v>
      </c>
      <c r="I301" s="48"/>
      <c r="J301" s="48"/>
      <c r="K301" s="49"/>
      <c r="L301" s="53">
        <f ca="1">IFERROR(__xludf.DUMMYFUNCTION("IMPORTRANGE(""https://docs.google.com/spreadsheets/d/1C3CXT74ZlgGe6_JY_1olB1XN4rF0dxEuIIF-xsYjHgg/edit?usp=sharing"",""งบกองทุน!aa29"")"),244540)</f>
        <v>244540</v>
      </c>
      <c r="M301" s="53">
        <f>SUM(M302:M305)</f>
        <v>0</v>
      </c>
      <c r="N301" s="53">
        <f t="shared" ca="1" si="70"/>
        <v>0</v>
      </c>
    </row>
    <row r="302" spans="1:14" ht="21.75" customHeight="1" x14ac:dyDescent="0.4">
      <c r="A302" s="230"/>
      <c r="B302" s="231"/>
      <c r="C302" s="43"/>
      <c r="D302" s="232"/>
      <c r="E302" s="45"/>
      <c r="F302" s="45"/>
      <c r="G302" s="46" t="s">
        <v>112</v>
      </c>
      <c r="H302" s="47" t="s">
        <v>20</v>
      </c>
      <c r="I302" s="67"/>
      <c r="J302" s="67"/>
      <c r="K302" s="233"/>
      <c r="L302" s="53"/>
      <c r="M302" s="54">
        <v>0</v>
      </c>
      <c r="N302" s="53"/>
    </row>
    <row r="303" spans="1:14" ht="21.75" customHeight="1" x14ac:dyDescent="0.4">
      <c r="A303" s="230"/>
      <c r="B303" s="231"/>
      <c r="C303" s="43"/>
      <c r="D303" s="232"/>
      <c r="E303" s="45"/>
      <c r="F303" s="45"/>
      <c r="G303" s="46" t="s">
        <v>113</v>
      </c>
      <c r="H303" s="47" t="s">
        <v>20</v>
      </c>
      <c r="I303" s="67"/>
      <c r="J303" s="67"/>
      <c r="K303" s="233"/>
      <c r="L303" s="53"/>
      <c r="M303" s="54">
        <v>0</v>
      </c>
      <c r="N303" s="53"/>
    </row>
    <row r="304" spans="1:14" ht="21.75" customHeight="1" x14ac:dyDescent="0.4">
      <c r="A304" s="230"/>
      <c r="B304" s="231"/>
      <c r="C304" s="43"/>
      <c r="D304" s="232"/>
      <c r="E304" s="45"/>
      <c r="F304" s="45"/>
      <c r="G304" s="46" t="s">
        <v>114</v>
      </c>
      <c r="H304" s="47" t="s">
        <v>20</v>
      </c>
      <c r="I304" s="67"/>
      <c r="J304" s="67"/>
      <c r="K304" s="233"/>
      <c r="L304" s="53"/>
      <c r="M304" s="54">
        <v>0</v>
      </c>
      <c r="N304" s="53"/>
    </row>
    <row r="305" spans="1:14" ht="21.75" customHeight="1" x14ac:dyDescent="0.4">
      <c r="A305" s="230"/>
      <c r="B305" s="231"/>
      <c r="C305" s="43"/>
      <c r="D305" s="232"/>
      <c r="E305" s="45"/>
      <c r="F305" s="45"/>
      <c r="G305" s="46" t="s">
        <v>115</v>
      </c>
      <c r="H305" s="47" t="s">
        <v>20</v>
      </c>
      <c r="I305" s="67"/>
      <c r="J305" s="67"/>
      <c r="K305" s="233"/>
      <c r="L305" s="53"/>
      <c r="M305" s="54">
        <v>0</v>
      </c>
      <c r="N305" s="53"/>
    </row>
    <row r="306" spans="1:14" ht="21.75" customHeight="1" x14ac:dyDescent="0.4">
      <c r="A306" s="55"/>
      <c r="B306" s="56"/>
      <c r="C306" s="43" t="s">
        <v>17</v>
      </c>
      <c r="D306" s="57" t="s">
        <v>25</v>
      </c>
      <c r="E306" s="58"/>
      <c r="F306" s="58"/>
      <c r="G306" s="59"/>
      <c r="H306" s="60"/>
      <c r="I306" s="48"/>
      <c r="J306" s="48"/>
      <c r="K306" s="49"/>
      <c r="L306" s="61"/>
      <c r="M306" s="61"/>
      <c r="N306" s="61"/>
    </row>
    <row r="307" spans="1:14" ht="21.75" customHeight="1" x14ac:dyDescent="0.4">
      <c r="A307" s="55"/>
      <c r="B307" s="56"/>
      <c r="C307" s="56"/>
      <c r="D307" s="62">
        <v>1</v>
      </c>
      <c r="E307" s="63" t="s">
        <v>26</v>
      </c>
      <c r="F307" s="64"/>
      <c r="G307" s="65"/>
      <c r="H307" s="66"/>
      <c r="I307" s="67"/>
      <c r="J307" s="68">
        <v>0</v>
      </c>
      <c r="K307" s="49"/>
      <c r="L307" s="61"/>
      <c r="M307" s="61"/>
      <c r="N307" s="61"/>
    </row>
    <row r="308" spans="1:14" ht="21.75" customHeight="1" x14ac:dyDescent="0.4">
      <c r="A308" s="55"/>
      <c r="B308" s="56"/>
      <c r="C308" s="56"/>
      <c r="D308" s="69">
        <v>2</v>
      </c>
      <c r="E308" s="70" t="s">
        <v>27</v>
      </c>
      <c r="F308" s="71"/>
      <c r="G308" s="72"/>
      <c r="H308" s="66"/>
      <c r="I308" s="67"/>
      <c r="J308" s="68">
        <v>1</v>
      </c>
      <c r="K308" s="49"/>
      <c r="L308" s="61" t="s">
        <v>21</v>
      </c>
      <c r="M308" s="61" t="s">
        <v>21</v>
      </c>
      <c r="N308" s="61"/>
    </row>
    <row r="309" spans="1:14" ht="21.75" customHeight="1" x14ac:dyDescent="0.4">
      <c r="A309" s="55"/>
      <c r="B309" s="56"/>
      <c r="C309" s="56"/>
      <c r="D309" s="73"/>
      <c r="E309" s="74" t="s">
        <v>28</v>
      </c>
      <c r="F309" s="75"/>
      <c r="G309" s="76"/>
      <c r="H309" s="66"/>
      <c r="I309" s="67"/>
      <c r="J309" s="68">
        <v>1</v>
      </c>
      <c r="K309" s="49"/>
      <c r="L309" s="61"/>
      <c r="M309" s="61"/>
      <c r="N309" s="61"/>
    </row>
    <row r="310" spans="1:14" ht="21.75" customHeight="1" x14ac:dyDescent="0.4">
      <c r="A310" s="55"/>
      <c r="B310" s="56"/>
      <c r="C310" s="56"/>
      <c r="D310" s="73"/>
      <c r="E310" s="74" t="s">
        <v>29</v>
      </c>
      <c r="F310" s="75"/>
      <c r="G310" s="76"/>
      <c r="H310" s="66"/>
      <c r="I310" s="67"/>
      <c r="J310" s="68">
        <v>1</v>
      </c>
      <c r="K310" s="49"/>
      <c r="L310" s="61"/>
      <c r="M310" s="61"/>
      <c r="N310" s="61"/>
    </row>
    <row r="311" spans="1:14" ht="21.75" customHeight="1" x14ac:dyDescent="0.4">
      <c r="A311" s="55"/>
      <c r="B311" s="56"/>
      <c r="C311" s="56"/>
      <c r="D311" s="73"/>
      <c r="E311" s="77"/>
      <c r="F311" s="74" t="s">
        <v>50</v>
      </c>
      <c r="G311" s="240"/>
      <c r="H311" s="241" t="s">
        <v>16</v>
      </c>
      <c r="I311" s="79">
        <f t="shared" ref="I311:J311" ca="1" si="72">+I312+I316+I321</f>
        <v>73</v>
      </c>
      <c r="J311" s="79">
        <f t="shared" ca="1" si="72"/>
        <v>0</v>
      </c>
      <c r="K311" s="80">
        <f t="shared" ref="K311:K327" ca="1" si="73">IF(I311&gt;0,J311*100/I311,0)</f>
        <v>0</v>
      </c>
      <c r="L311" s="61"/>
      <c r="M311" s="61"/>
      <c r="N311" s="61"/>
    </row>
    <row r="312" spans="1:14" ht="21.75" customHeight="1" x14ac:dyDescent="0.4">
      <c r="A312" s="55"/>
      <c r="B312" s="56"/>
      <c r="C312" s="56"/>
      <c r="D312" s="73"/>
      <c r="E312" s="77"/>
      <c r="F312" s="242" t="s">
        <v>129</v>
      </c>
      <c r="G312" s="76"/>
      <c r="H312" s="78" t="s">
        <v>16</v>
      </c>
      <c r="I312" s="243">
        <f ca="1">IFERROR(__xludf.DUMMYFUNCTION("IMPORTRANGE(""https://docs.google.com/spreadsheets/d/1C3CXT74ZlgGe6_JY_1olB1XN4rF0dxEuIIF-xsYjHgg/edit?usp=sharing"",""งบกองทุน!ae29"")"),25)</f>
        <v>25</v>
      </c>
      <c r="J312" s="79">
        <f ca="1">IF(AND(J314=I314,J315=I315),I314,0)</f>
        <v>0</v>
      </c>
      <c r="K312" s="80">
        <f t="shared" ca="1" si="73"/>
        <v>0</v>
      </c>
      <c r="L312" s="61"/>
      <c r="M312" s="61"/>
      <c r="N312" s="61"/>
    </row>
    <row r="313" spans="1:14" ht="21.75" customHeight="1" x14ac:dyDescent="0.4">
      <c r="A313" s="55"/>
      <c r="B313" s="56"/>
      <c r="C313" s="56"/>
      <c r="D313" s="73"/>
      <c r="E313" s="77"/>
      <c r="F313" s="75"/>
      <c r="G313" s="76"/>
      <c r="H313" s="78" t="s">
        <v>103</v>
      </c>
      <c r="I313" s="243">
        <f ca="1">IFERROR(__xludf.DUMMYFUNCTION("IMPORTRANGE(""https://docs.google.com/spreadsheets/d/1C3CXT74ZlgGe6_JY_1olB1XN4rF0dxEuIIF-xsYjHgg/edit?usp=sharing"",""งบกองทุน!ad29"")"),75)</f>
        <v>75</v>
      </c>
      <c r="J313" s="154">
        <v>0</v>
      </c>
      <c r="K313" s="80">
        <f t="shared" ca="1" si="73"/>
        <v>0</v>
      </c>
      <c r="L313" s="61"/>
      <c r="M313" s="61"/>
      <c r="N313" s="61"/>
    </row>
    <row r="314" spans="1:14" ht="21.75" customHeight="1" x14ac:dyDescent="0.4">
      <c r="A314" s="55"/>
      <c r="B314" s="56"/>
      <c r="C314" s="56"/>
      <c r="D314" s="73"/>
      <c r="E314" s="77"/>
      <c r="F314" s="75"/>
      <c r="G314" s="99" t="s">
        <v>130</v>
      </c>
      <c r="H314" s="60" t="s">
        <v>16</v>
      </c>
      <c r="I314" s="200">
        <f ca="1">IFERROR(__xludf.DUMMYFUNCTION("IMPORTRANGE(""https://docs.google.com/spreadsheets/d/1C3CXT74ZlgGe6_JY_1olB1XN4rF0dxEuIIF-xsYjHgg/edit?usp=sharing"",""งบกองทุน!af29"")"),25)</f>
        <v>25</v>
      </c>
      <c r="J314" s="68">
        <v>0</v>
      </c>
      <c r="K314" s="49">
        <f t="shared" ca="1" si="73"/>
        <v>0</v>
      </c>
      <c r="L314" s="61"/>
      <c r="M314" s="61"/>
      <c r="N314" s="61"/>
    </row>
    <row r="315" spans="1:14" ht="21.75" customHeight="1" x14ac:dyDescent="0.4">
      <c r="A315" s="105"/>
      <c r="B315" s="106"/>
      <c r="C315" s="106"/>
      <c r="D315" s="244"/>
      <c r="E315" s="245"/>
      <c r="F315" s="204"/>
      <c r="G315" s="246" t="s">
        <v>131</v>
      </c>
      <c r="H315" s="206" t="s">
        <v>16</v>
      </c>
      <c r="I315" s="207">
        <f ca="1">IFERROR(__xludf.DUMMYFUNCTION("IMPORTRANGE(""https://docs.google.com/spreadsheets/d/1C3CXT74ZlgGe6_JY_1olB1XN4rF0dxEuIIF-xsYjHgg/edit?usp=sharing"",""งบกองทุน!ag29"")"),25)</f>
        <v>25</v>
      </c>
      <c r="J315" s="247">
        <v>0</v>
      </c>
      <c r="K315" s="114">
        <f t="shared" ca="1" si="73"/>
        <v>0</v>
      </c>
      <c r="L315" s="115"/>
      <c r="M315" s="115"/>
      <c r="N315" s="115"/>
    </row>
    <row r="316" spans="1:14" ht="21.75" customHeight="1" x14ac:dyDescent="0.4">
      <c r="A316" s="55"/>
      <c r="B316" s="56"/>
      <c r="C316" s="56"/>
      <c r="D316" s="73"/>
      <c r="E316" s="77"/>
      <c r="F316" s="242" t="s">
        <v>132</v>
      </c>
      <c r="G316" s="76"/>
      <c r="H316" s="78" t="s">
        <v>16</v>
      </c>
      <c r="I316" s="243">
        <f ca="1">IFERROR(__xludf.DUMMYFUNCTION("IMPORTRANGE(""https://docs.google.com/spreadsheets/d/1C3CXT74ZlgGe6_JY_1olB1XN4rF0dxEuIIF-xsYjHgg/edit?usp=sharing"",""งบกองทุน!ai29"")"),38)</f>
        <v>38</v>
      </c>
      <c r="J316" s="79">
        <f ca="1">IF(AND(J318=I318,J319=I319,J320=I320),I318,0)</f>
        <v>0</v>
      </c>
      <c r="K316" s="80">
        <f t="shared" ca="1" si="73"/>
        <v>0</v>
      </c>
      <c r="L316" s="61"/>
      <c r="M316" s="61"/>
      <c r="N316" s="61"/>
    </row>
    <row r="317" spans="1:14" ht="21.75" customHeight="1" x14ac:dyDescent="0.4">
      <c r="A317" s="55"/>
      <c r="B317" s="56"/>
      <c r="C317" s="56"/>
      <c r="D317" s="73"/>
      <c r="E317" s="77"/>
      <c r="F317" s="75"/>
      <c r="G317" s="76"/>
      <c r="H317" s="78" t="s">
        <v>103</v>
      </c>
      <c r="I317" s="243">
        <f ca="1">IFERROR(__xludf.DUMMYFUNCTION("IMPORTRANGE(""https://docs.google.com/spreadsheets/d/1C3CXT74ZlgGe6_JY_1olB1XN4rF0dxEuIIF-xsYjHgg/edit?usp=sharing"",""งบกองทุน!ah29"")"),114)</f>
        <v>114</v>
      </c>
      <c r="J317" s="154">
        <v>0</v>
      </c>
      <c r="K317" s="80">
        <f t="shared" ca="1" si="73"/>
        <v>0</v>
      </c>
      <c r="L317" s="61"/>
      <c r="M317" s="61"/>
      <c r="N317" s="61"/>
    </row>
    <row r="318" spans="1:14" ht="21.75" customHeight="1" x14ac:dyDescent="0.4">
      <c r="A318" s="55"/>
      <c r="B318" s="56"/>
      <c r="C318" s="56"/>
      <c r="D318" s="73"/>
      <c r="E318" s="77"/>
      <c r="F318" s="75"/>
      <c r="G318" s="99" t="s">
        <v>133</v>
      </c>
      <c r="H318" s="60" t="s">
        <v>16</v>
      </c>
      <c r="I318" s="200">
        <f ca="1">IFERROR(__xludf.DUMMYFUNCTION("IMPORTRANGE(""https://docs.google.com/spreadsheets/d/1C3CXT74ZlgGe6_JY_1olB1XN4rF0dxEuIIF-xsYjHgg/edit?usp=sharing"",""งบกองทุน!aj29"")"),38)</f>
        <v>38</v>
      </c>
      <c r="J318" s="68">
        <v>0</v>
      </c>
      <c r="K318" s="49">
        <f t="shared" ca="1" si="73"/>
        <v>0</v>
      </c>
      <c r="L318" s="61"/>
      <c r="M318" s="61"/>
      <c r="N318" s="61"/>
    </row>
    <row r="319" spans="1:14" ht="21.75" customHeight="1" x14ac:dyDescent="0.4">
      <c r="A319" s="55"/>
      <c r="B319" s="56"/>
      <c r="C319" s="56"/>
      <c r="D319" s="73"/>
      <c r="E319" s="77"/>
      <c r="F319" s="75"/>
      <c r="G319" s="99" t="s">
        <v>134</v>
      </c>
      <c r="H319" s="60" t="s">
        <v>16</v>
      </c>
      <c r="I319" s="200">
        <f ca="1">IFERROR(__xludf.DUMMYFUNCTION("IMPORTRANGE(""https://docs.google.com/spreadsheets/d/1C3CXT74ZlgGe6_JY_1olB1XN4rF0dxEuIIF-xsYjHgg/edit?usp=sharing"",""งบกองทุน!ak29"")"),38)</f>
        <v>38</v>
      </c>
      <c r="J319" s="68">
        <v>0</v>
      </c>
      <c r="K319" s="49">
        <f t="shared" ca="1" si="73"/>
        <v>0</v>
      </c>
      <c r="L319" s="61"/>
      <c r="M319" s="61"/>
      <c r="N319" s="61"/>
    </row>
    <row r="320" spans="1:14" ht="21.75" customHeight="1" x14ac:dyDescent="0.4">
      <c r="A320" s="55"/>
      <c r="B320" s="56"/>
      <c r="C320" s="56"/>
      <c r="D320" s="73"/>
      <c r="E320" s="77"/>
      <c r="F320" s="75"/>
      <c r="G320" s="99" t="s">
        <v>135</v>
      </c>
      <c r="H320" s="60" t="s">
        <v>16</v>
      </c>
      <c r="I320" s="200">
        <f ca="1">IFERROR(__xludf.DUMMYFUNCTION("IMPORTRANGE(""https://docs.google.com/spreadsheets/d/1C3CXT74ZlgGe6_JY_1olB1XN4rF0dxEuIIF-xsYjHgg/edit?usp=sharing"",""งบกองทุน!al29"")"),38)</f>
        <v>38</v>
      </c>
      <c r="J320" s="68">
        <v>0</v>
      </c>
      <c r="K320" s="49">
        <f t="shared" ca="1" si="73"/>
        <v>0</v>
      </c>
      <c r="L320" s="61"/>
      <c r="M320" s="61"/>
      <c r="N320" s="61"/>
    </row>
    <row r="321" spans="1:14" ht="21.75" customHeight="1" x14ac:dyDescent="0.4">
      <c r="A321" s="55"/>
      <c r="B321" s="56"/>
      <c r="C321" s="56"/>
      <c r="D321" s="73"/>
      <c r="E321" s="77"/>
      <c r="F321" s="242" t="s">
        <v>136</v>
      </c>
      <c r="G321" s="76"/>
      <c r="H321" s="78" t="s">
        <v>16</v>
      </c>
      <c r="I321" s="243">
        <f ca="1">IFERROR(__xludf.DUMMYFUNCTION("IMPORTRANGE(""https://docs.google.com/spreadsheets/d/1C3CXT74ZlgGe6_JY_1olB1XN4rF0dxEuIIF-xsYjHgg/edit?usp=sharing"",""งบกองทุน!an29"")"),10)</f>
        <v>10</v>
      </c>
      <c r="J321" s="79">
        <f ca="1">IF(AND(J323=I323,J324=I324),I323,0)</f>
        <v>0</v>
      </c>
      <c r="K321" s="80">
        <f t="shared" ca="1" si="73"/>
        <v>0</v>
      </c>
      <c r="L321" s="61"/>
      <c r="M321" s="61"/>
      <c r="N321" s="61"/>
    </row>
    <row r="322" spans="1:14" ht="21.75" customHeight="1" x14ac:dyDescent="0.4">
      <c r="A322" s="55"/>
      <c r="B322" s="56"/>
      <c r="C322" s="56"/>
      <c r="D322" s="73"/>
      <c r="E322" s="77"/>
      <c r="F322" s="75"/>
      <c r="G322" s="76"/>
      <c r="H322" s="78" t="s">
        <v>103</v>
      </c>
      <c r="I322" s="243">
        <f ca="1">IFERROR(__xludf.DUMMYFUNCTION("IMPORTRANGE(""https://docs.google.com/spreadsheets/d/1C3CXT74ZlgGe6_JY_1olB1XN4rF0dxEuIIF-xsYjHgg/edit?usp=sharing"",""งบกองทุน!am29"")"),30)</f>
        <v>30</v>
      </c>
      <c r="J322" s="154">
        <v>0</v>
      </c>
      <c r="K322" s="80">
        <f t="shared" ca="1" si="73"/>
        <v>0</v>
      </c>
      <c r="L322" s="61"/>
      <c r="M322" s="61"/>
      <c r="N322" s="61"/>
    </row>
    <row r="323" spans="1:14" ht="21.75" customHeight="1" x14ac:dyDescent="0.4">
      <c r="A323" s="55"/>
      <c r="B323" s="56"/>
      <c r="C323" s="56"/>
      <c r="D323" s="73"/>
      <c r="E323" s="77"/>
      <c r="F323" s="75"/>
      <c r="G323" s="99" t="s">
        <v>137</v>
      </c>
      <c r="H323" s="60" t="s">
        <v>16</v>
      </c>
      <c r="I323" s="248">
        <f ca="1">IFERROR(__xludf.DUMMYFUNCTION("IMPORTRANGE(""https://docs.google.com/spreadsheets/d/1C3CXT74ZlgGe6_JY_1olB1XN4rF0dxEuIIF-xsYjHgg/edit?usp=sharing"",""งบกองทุน!ao29"")"),10)</f>
        <v>10</v>
      </c>
      <c r="J323" s="68">
        <v>0</v>
      </c>
      <c r="K323" s="49">
        <f t="shared" ca="1" si="73"/>
        <v>0</v>
      </c>
      <c r="L323" s="61"/>
      <c r="M323" s="61"/>
      <c r="N323" s="61"/>
    </row>
    <row r="324" spans="1:14" ht="21.75" customHeight="1" x14ac:dyDescent="0.4">
      <c r="A324" s="55"/>
      <c r="B324" s="56"/>
      <c r="C324" s="56"/>
      <c r="D324" s="73"/>
      <c r="E324" s="77"/>
      <c r="F324" s="75"/>
      <c r="G324" s="99" t="s">
        <v>138</v>
      </c>
      <c r="H324" s="60" t="s">
        <v>16</v>
      </c>
      <c r="I324" s="248">
        <f ca="1">IFERROR(__xludf.DUMMYFUNCTION("IMPORTRANGE(""https://docs.google.com/spreadsheets/d/1C3CXT74ZlgGe6_JY_1olB1XN4rF0dxEuIIF-xsYjHgg/edit?usp=sharing"",""งบกองทุน!ap29"")"),10)</f>
        <v>10</v>
      </c>
      <c r="J324" s="68">
        <v>0</v>
      </c>
      <c r="K324" s="49">
        <f t="shared" ca="1" si="73"/>
        <v>0</v>
      </c>
      <c r="L324" s="61"/>
      <c r="M324" s="61"/>
      <c r="N324" s="61"/>
    </row>
    <row r="325" spans="1:14" ht="21.75" customHeight="1" x14ac:dyDescent="0.4">
      <c r="A325" s="55"/>
      <c r="B325" s="56"/>
      <c r="C325" s="56"/>
      <c r="D325" s="73"/>
      <c r="E325" s="77"/>
      <c r="F325" s="74" t="s">
        <v>34</v>
      </c>
      <c r="G325" s="240"/>
      <c r="H325" s="241" t="s">
        <v>16</v>
      </c>
      <c r="I325" s="79">
        <f ca="1">SUM(I326,I327)</f>
        <v>63</v>
      </c>
      <c r="J325" s="79">
        <f ca="1">IF(AND(J326=I326,J327=I327),I325,0)</f>
        <v>0</v>
      </c>
      <c r="K325" s="80">
        <f t="shared" ca="1" si="73"/>
        <v>0</v>
      </c>
      <c r="L325" s="61"/>
      <c r="M325" s="61"/>
      <c r="N325" s="61"/>
    </row>
    <row r="326" spans="1:14" ht="21.75" customHeight="1" x14ac:dyDescent="0.4">
      <c r="A326" s="249"/>
      <c r="B326" s="250"/>
      <c r="C326" s="250"/>
      <c r="D326" s="251"/>
      <c r="E326" s="77"/>
      <c r="F326" s="75"/>
      <c r="G326" s="99" t="s">
        <v>139</v>
      </c>
      <c r="H326" s="60" t="s">
        <v>16</v>
      </c>
      <c r="I326" s="248">
        <f ca="1">IFERROR(__xludf.DUMMYFUNCTION("IMPORTRANGE(""https://docs.google.com/spreadsheets/d/1C3CXT74ZlgGe6_JY_1olB1XN4rF0dxEuIIF-xsYjHgg/edit?usp=sharing"",""งบกองทุน!ar29"")"),25)</f>
        <v>25</v>
      </c>
      <c r="J326" s="68">
        <v>0</v>
      </c>
      <c r="K326" s="49">
        <f t="shared" ca="1" si="73"/>
        <v>0</v>
      </c>
      <c r="L326" s="61"/>
      <c r="M326" s="61"/>
      <c r="N326" s="61"/>
    </row>
    <row r="327" spans="1:14" ht="21.75" customHeight="1" x14ac:dyDescent="0.4">
      <c r="A327" s="249"/>
      <c r="B327" s="250"/>
      <c r="C327" s="250"/>
      <c r="D327" s="251"/>
      <c r="E327" s="77"/>
      <c r="F327" s="75"/>
      <c r="G327" s="99" t="s">
        <v>140</v>
      </c>
      <c r="H327" s="60" t="s">
        <v>16</v>
      </c>
      <c r="I327" s="248">
        <f ca="1">IFERROR(__xludf.DUMMYFUNCTION("IMPORTRANGE(""https://docs.google.com/spreadsheets/d/1C3CXT74ZlgGe6_JY_1olB1XN4rF0dxEuIIF-xsYjHgg/edit?usp=sharing"",""งบกองทุน!as29"")"),38)</f>
        <v>38</v>
      </c>
      <c r="J327" s="67">
        <v>0</v>
      </c>
      <c r="K327" s="49">
        <f t="shared" ca="1" si="73"/>
        <v>0</v>
      </c>
      <c r="L327" s="61"/>
      <c r="M327" s="61"/>
      <c r="N327" s="61"/>
    </row>
    <row r="328" spans="1:14" ht="21.75" customHeight="1" x14ac:dyDescent="0.4">
      <c r="A328" s="55"/>
      <c r="B328" s="56"/>
      <c r="C328" s="56"/>
      <c r="D328" s="73"/>
      <c r="E328" s="74" t="s">
        <v>35</v>
      </c>
      <c r="F328" s="75"/>
      <c r="G328" s="76"/>
      <c r="H328" s="66"/>
      <c r="I328" s="67"/>
      <c r="J328" s="68">
        <v>0</v>
      </c>
      <c r="K328" s="49"/>
      <c r="L328" s="61"/>
      <c r="M328" s="61"/>
      <c r="N328" s="61"/>
    </row>
    <row r="329" spans="1:14" ht="21.75" customHeight="1" x14ac:dyDescent="0.4">
      <c r="A329" s="55"/>
      <c r="B329" s="56"/>
      <c r="C329" s="56"/>
      <c r="D329" s="81">
        <v>3</v>
      </c>
      <c r="E329" s="82" t="s">
        <v>36</v>
      </c>
      <c r="F329" s="83"/>
      <c r="G329" s="84"/>
      <c r="H329" s="66"/>
      <c r="I329" s="67"/>
      <c r="J329" s="85">
        <v>0</v>
      </c>
      <c r="K329" s="49"/>
      <c r="L329" s="61"/>
      <c r="M329" s="61"/>
      <c r="N329" s="61"/>
    </row>
    <row r="330" spans="1:14" ht="21.75" customHeight="1" x14ac:dyDescent="0.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40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139000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4">
      <c r="A331" s="42"/>
      <c r="B331" s="43"/>
      <c r="C331" s="43" t="s">
        <v>17</v>
      </c>
      <c r="D331" s="44" t="s">
        <v>18</v>
      </c>
      <c r="E331" s="45"/>
      <c r="F331" s="45"/>
      <c r="G331" s="46" t="s">
        <v>19</v>
      </c>
      <c r="H331" s="47" t="s">
        <v>20</v>
      </c>
      <c r="I331" s="48" t="s">
        <v>21</v>
      </c>
      <c r="J331" s="48"/>
      <c r="K331" s="49"/>
      <c r="L331" s="50">
        <v>0</v>
      </c>
      <c r="M331" s="53">
        <v>0</v>
      </c>
      <c r="N331" s="53">
        <f t="shared" si="75"/>
        <v>0</v>
      </c>
    </row>
    <row r="332" spans="1:14" ht="21.75" customHeight="1" x14ac:dyDescent="0.4">
      <c r="A332" s="42"/>
      <c r="B332" s="43"/>
      <c r="C332" s="43"/>
      <c r="D332" s="51"/>
      <c r="E332" s="45"/>
      <c r="F332" s="45" t="s">
        <v>21</v>
      </c>
      <c r="G332" s="46" t="s">
        <v>22</v>
      </c>
      <c r="H332" s="47" t="s">
        <v>20</v>
      </c>
      <c r="I332" s="48"/>
      <c r="J332" s="48"/>
      <c r="K332" s="49"/>
      <c r="L332" s="50">
        <f t="shared" ref="L332:M332" ca="1" si="76">SUM(L333:L334)</f>
        <v>139000</v>
      </c>
      <c r="M332" s="53">
        <f t="shared" si="76"/>
        <v>0</v>
      </c>
      <c r="N332" s="53">
        <f t="shared" ca="1" si="75"/>
        <v>0</v>
      </c>
    </row>
    <row r="333" spans="1:14" ht="21.75" customHeight="1" x14ac:dyDescent="0.4">
      <c r="A333" s="42"/>
      <c r="B333" s="43"/>
      <c r="C333" s="43"/>
      <c r="D333" s="51"/>
      <c r="E333" s="45"/>
      <c r="F333" s="45"/>
      <c r="G333" s="52" t="s">
        <v>110</v>
      </c>
      <c r="H333" s="47" t="s">
        <v>20</v>
      </c>
      <c r="I333" s="48"/>
      <c r="J333" s="48"/>
      <c r="K333" s="49"/>
      <c r="L333" s="53">
        <f ca="1">IFERROR(__xludf.DUMMYFUNCTION("IMPORTRANGE(""https://docs.google.com/spreadsheets/d/1C3CXT74ZlgGe6_JY_1olB1XN4rF0dxEuIIF-xsYjHgg/edit?usp=sharing"",""งบกองทุน!au29"")"),0)</f>
        <v>0</v>
      </c>
      <c r="M333" s="53">
        <v>0</v>
      </c>
      <c r="N333" s="53">
        <f t="shared" ca="1" si="75"/>
        <v>0</v>
      </c>
    </row>
    <row r="334" spans="1:14" ht="21.75" customHeight="1" x14ac:dyDescent="0.4">
      <c r="A334" s="42"/>
      <c r="B334" s="43"/>
      <c r="C334" s="43"/>
      <c r="D334" s="51"/>
      <c r="E334" s="45"/>
      <c r="F334" s="45"/>
      <c r="G334" s="52" t="s">
        <v>111</v>
      </c>
      <c r="H334" s="47" t="s">
        <v>20</v>
      </c>
      <c r="I334" s="48"/>
      <c r="J334" s="48"/>
      <c r="K334" s="49"/>
      <c r="L334" s="53">
        <f ca="1">IFERROR(__xludf.DUMMYFUNCTION("IMPORTRANGE(""https://docs.google.com/spreadsheets/d/1C3CXT74ZlgGe6_JY_1olB1XN4rF0dxEuIIF-xsYjHgg/edit?usp=sharing"",""งบกองทุน!av29"")"),139000)</f>
        <v>139000</v>
      </c>
      <c r="M334" s="53">
        <f>SUM(M335:M338)</f>
        <v>0</v>
      </c>
      <c r="N334" s="53">
        <f t="shared" ca="1" si="75"/>
        <v>0</v>
      </c>
    </row>
    <row r="335" spans="1:14" ht="21.75" customHeight="1" x14ac:dyDescent="0.4">
      <c r="A335" s="230"/>
      <c r="B335" s="231"/>
      <c r="C335" s="43"/>
      <c r="D335" s="232"/>
      <c r="E335" s="45"/>
      <c r="F335" s="45"/>
      <c r="G335" s="46" t="s">
        <v>112</v>
      </c>
      <c r="H335" s="47" t="s">
        <v>20</v>
      </c>
      <c r="I335" s="67"/>
      <c r="J335" s="67"/>
      <c r="K335" s="233"/>
      <c r="L335" s="53"/>
      <c r="M335" s="54">
        <v>0</v>
      </c>
      <c r="N335" s="53"/>
    </row>
    <row r="336" spans="1:14" ht="21.75" customHeight="1" x14ac:dyDescent="0.4">
      <c r="A336" s="230"/>
      <c r="B336" s="231"/>
      <c r="C336" s="43"/>
      <c r="D336" s="232"/>
      <c r="E336" s="45"/>
      <c r="F336" s="45"/>
      <c r="G336" s="46" t="s">
        <v>113</v>
      </c>
      <c r="H336" s="47" t="s">
        <v>20</v>
      </c>
      <c r="I336" s="67"/>
      <c r="J336" s="67"/>
      <c r="K336" s="233"/>
      <c r="L336" s="53"/>
      <c r="M336" s="54">
        <v>0</v>
      </c>
      <c r="N336" s="53"/>
    </row>
    <row r="337" spans="1:14" ht="21.75" customHeight="1" x14ac:dyDescent="0.4">
      <c r="A337" s="230"/>
      <c r="B337" s="231"/>
      <c r="C337" s="43"/>
      <c r="D337" s="232"/>
      <c r="E337" s="45"/>
      <c r="F337" s="45"/>
      <c r="G337" s="46" t="s">
        <v>114</v>
      </c>
      <c r="H337" s="47" t="s">
        <v>20</v>
      </c>
      <c r="I337" s="67"/>
      <c r="J337" s="67"/>
      <c r="K337" s="233"/>
      <c r="L337" s="53"/>
      <c r="M337" s="54">
        <v>0</v>
      </c>
      <c r="N337" s="53"/>
    </row>
    <row r="338" spans="1:14" ht="21.75" customHeight="1" x14ac:dyDescent="0.4">
      <c r="A338" s="230"/>
      <c r="B338" s="231"/>
      <c r="C338" s="43"/>
      <c r="D338" s="232"/>
      <c r="E338" s="45"/>
      <c r="F338" s="45"/>
      <c r="G338" s="46" t="s">
        <v>115</v>
      </c>
      <c r="H338" s="47" t="s">
        <v>20</v>
      </c>
      <c r="I338" s="67"/>
      <c r="J338" s="67"/>
      <c r="K338" s="233"/>
      <c r="L338" s="53"/>
      <c r="M338" s="54">
        <v>0</v>
      </c>
      <c r="N338" s="53"/>
    </row>
    <row r="339" spans="1:14" ht="21.75" customHeight="1" x14ac:dyDescent="0.4">
      <c r="A339" s="55"/>
      <c r="B339" s="56"/>
      <c r="C339" s="43" t="s">
        <v>17</v>
      </c>
      <c r="D339" s="57" t="s">
        <v>25</v>
      </c>
      <c r="E339" s="58"/>
      <c r="F339" s="58"/>
      <c r="G339" s="59"/>
      <c r="H339" s="60"/>
      <c r="I339" s="48"/>
      <c r="J339" s="48"/>
      <c r="K339" s="49"/>
      <c r="L339" s="61"/>
      <c r="M339" s="61"/>
      <c r="N339" s="61"/>
    </row>
    <row r="340" spans="1:14" ht="21.75" customHeight="1" x14ac:dyDescent="0.4">
      <c r="A340" s="55"/>
      <c r="B340" s="56"/>
      <c r="C340" s="56"/>
      <c r="D340" s="62">
        <v>1</v>
      </c>
      <c r="E340" s="63" t="s">
        <v>26</v>
      </c>
      <c r="F340" s="64"/>
      <c r="G340" s="65"/>
      <c r="H340" s="66"/>
      <c r="I340" s="67"/>
      <c r="J340" s="85">
        <v>0</v>
      </c>
      <c r="K340" s="49"/>
      <c r="L340" s="61"/>
      <c r="M340" s="61"/>
      <c r="N340" s="61"/>
    </row>
    <row r="341" spans="1:14" ht="21.75" customHeight="1" x14ac:dyDescent="0.4">
      <c r="A341" s="55"/>
      <c r="B341" s="56"/>
      <c r="C341" s="56"/>
      <c r="D341" s="69">
        <v>2</v>
      </c>
      <c r="E341" s="70" t="s">
        <v>27</v>
      </c>
      <c r="F341" s="71"/>
      <c r="G341" s="72"/>
      <c r="H341" s="66"/>
      <c r="I341" s="67"/>
      <c r="J341" s="85">
        <v>1</v>
      </c>
      <c r="K341" s="49"/>
      <c r="L341" s="61" t="s">
        <v>21</v>
      </c>
      <c r="M341" s="61" t="s">
        <v>21</v>
      </c>
      <c r="N341" s="61"/>
    </row>
    <row r="342" spans="1:14" ht="21.75" customHeight="1" x14ac:dyDescent="0.4">
      <c r="A342" s="55"/>
      <c r="B342" s="56"/>
      <c r="C342" s="56"/>
      <c r="D342" s="73"/>
      <c r="E342" s="74" t="s">
        <v>142</v>
      </c>
      <c r="F342" s="75"/>
      <c r="G342" s="76"/>
      <c r="H342" s="66"/>
      <c r="I342" s="67"/>
      <c r="J342" s="68">
        <v>1</v>
      </c>
      <c r="K342" s="49"/>
      <c r="L342" s="61"/>
      <c r="M342" s="61"/>
      <c r="N342" s="61"/>
    </row>
    <row r="343" spans="1:14" ht="21.75" customHeight="1" x14ac:dyDescent="0.4">
      <c r="A343" s="55"/>
      <c r="B343" s="56"/>
      <c r="C343" s="56"/>
      <c r="D343" s="73"/>
      <c r="E343" s="74" t="s">
        <v>29</v>
      </c>
      <c r="F343" s="75"/>
      <c r="G343" s="76"/>
      <c r="H343" s="66"/>
      <c r="I343" s="67"/>
      <c r="J343" s="68">
        <v>1</v>
      </c>
      <c r="K343" s="49"/>
      <c r="L343" s="61"/>
      <c r="M343" s="61"/>
      <c r="N343" s="61"/>
    </row>
    <row r="344" spans="1:14" ht="21.75" customHeight="1" x14ac:dyDescent="0.4">
      <c r="A344" s="55"/>
      <c r="B344" s="56"/>
      <c r="C344" s="56"/>
      <c r="D344" s="73"/>
      <c r="E344" s="77"/>
      <c r="F344" s="260" t="s">
        <v>82</v>
      </c>
      <c r="G344" s="76"/>
      <c r="H344" s="66" t="s">
        <v>16</v>
      </c>
      <c r="I344" s="243">
        <f t="shared" ref="I344:J344" ca="1" si="77">+I345+I346+I347</f>
        <v>40</v>
      </c>
      <c r="J344" s="79">
        <f t="shared" si="77"/>
        <v>0</v>
      </c>
      <c r="K344" s="49">
        <f t="shared" ref="K344:K347" ca="1" si="78">IF(I344&gt;0,J344*100/I344,0)</f>
        <v>0</v>
      </c>
      <c r="L344" s="61"/>
      <c r="M344" s="61"/>
      <c r="N344" s="61"/>
    </row>
    <row r="345" spans="1:14" ht="21.75" customHeight="1" x14ac:dyDescent="0.4">
      <c r="A345" s="55"/>
      <c r="B345" s="56"/>
      <c r="C345" s="56"/>
      <c r="D345" s="73"/>
      <c r="E345" s="77"/>
      <c r="F345" s="75"/>
      <c r="G345" s="99" t="s">
        <v>143</v>
      </c>
      <c r="H345" s="66" t="s">
        <v>16</v>
      </c>
      <c r="I345" s="200">
        <f ca="1">IFERROR(__xludf.DUMMYFUNCTION("IMPORTRANGE(""https://docs.google.com/spreadsheets/d/1C3CXT74ZlgGe6_JY_1olB1XN4rF0dxEuIIF-xsYjHgg/edit?usp=sharing"",""งบกองทุน!ay29"")"),40)</f>
        <v>40</v>
      </c>
      <c r="J345" s="68">
        <v>0</v>
      </c>
      <c r="K345" s="49">
        <f t="shared" ca="1" si="78"/>
        <v>0</v>
      </c>
      <c r="L345" s="61"/>
      <c r="M345" s="61"/>
      <c r="N345" s="61"/>
    </row>
    <row r="346" spans="1:14" ht="21.75" customHeight="1" x14ac:dyDescent="0.4">
      <c r="A346" s="55"/>
      <c r="B346" s="56"/>
      <c r="C346" s="56"/>
      <c r="D346" s="73"/>
      <c r="E346" s="77"/>
      <c r="F346" s="75"/>
      <c r="G346" s="76" t="s">
        <v>144</v>
      </c>
      <c r="H346" s="66" t="s">
        <v>16</v>
      </c>
      <c r="I346" s="200">
        <f ca="1">IFERROR(__xludf.DUMMYFUNCTION("IMPORTRANGE(""https://docs.google.com/spreadsheets/d/1C3CXT74ZlgGe6_JY_1olB1XN4rF0dxEuIIF-xsYjHgg/edit?usp=sharing"",""งบกองทุน!az29"")"),0)</f>
        <v>0</v>
      </c>
      <c r="J346" s="67">
        <v>0</v>
      </c>
      <c r="K346" s="49">
        <f t="shared" ca="1" si="78"/>
        <v>0</v>
      </c>
      <c r="L346" s="61"/>
      <c r="M346" s="61"/>
      <c r="N346" s="61"/>
    </row>
    <row r="347" spans="1:14" ht="21.75" customHeight="1" x14ac:dyDescent="0.4">
      <c r="A347" s="55"/>
      <c r="B347" s="56"/>
      <c r="C347" s="56"/>
      <c r="D347" s="73"/>
      <c r="E347" s="77"/>
      <c r="F347" s="75"/>
      <c r="G347" s="76" t="s">
        <v>145</v>
      </c>
      <c r="H347" s="66" t="s">
        <v>16</v>
      </c>
      <c r="I347" s="67">
        <f ca="1">IFERROR(__xludf.DUMMYFUNCTION("IMPORTRANGE(""https://docs.google.com/spreadsheets/d/1C3CXT74ZlgGe6_JY_1olB1XN4rF0dxEuIIF-xsYjHgg/edit?usp=sharing"",""งบกองทุน!Ba29"")"),0)</f>
        <v>0</v>
      </c>
      <c r="J347" s="67">
        <v>0</v>
      </c>
      <c r="K347" s="49">
        <f t="shared" ca="1" si="78"/>
        <v>0</v>
      </c>
      <c r="L347" s="61"/>
      <c r="M347" s="61"/>
      <c r="N347" s="61"/>
    </row>
    <row r="348" spans="1:14" ht="21.75" customHeight="1" x14ac:dyDescent="0.4">
      <c r="A348" s="55"/>
      <c r="B348" s="56"/>
      <c r="C348" s="56"/>
      <c r="D348" s="73"/>
      <c r="E348" s="74" t="s">
        <v>35</v>
      </c>
      <c r="F348" s="75"/>
      <c r="G348" s="76"/>
      <c r="H348" s="66"/>
      <c r="I348" s="67"/>
      <c r="J348" s="68">
        <v>0</v>
      </c>
      <c r="K348" s="49"/>
      <c r="L348" s="61"/>
      <c r="M348" s="61"/>
      <c r="N348" s="61"/>
    </row>
    <row r="349" spans="1:14" ht="21.75" customHeight="1" x14ac:dyDescent="0.4">
      <c r="A349" s="55"/>
      <c r="B349" s="56"/>
      <c r="C349" s="56"/>
      <c r="D349" s="81">
        <v>3</v>
      </c>
      <c r="E349" s="82" t="s">
        <v>36</v>
      </c>
      <c r="F349" s="83"/>
      <c r="G349" s="84"/>
      <c r="H349" s="66"/>
      <c r="I349" s="67"/>
      <c r="J349" s="85">
        <v>0</v>
      </c>
      <c r="K349" s="49"/>
      <c r="L349" s="61"/>
      <c r="M349" s="61"/>
      <c r="N349" s="61"/>
    </row>
    <row r="350" spans="1:14" ht="21.75" customHeight="1" x14ac:dyDescent="0.4">
      <c r="A350" s="222"/>
      <c r="B350" s="223">
        <v>5</v>
      </c>
      <c r="C350" s="224" t="s">
        <v>146</v>
      </c>
      <c r="D350" s="224"/>
      <c r="E350" s="224"/>
      <c r="F350" s="224"/>
      <c r="G350" s="225"/>
      <c r="H350" s="226" t="s">
        <v>103</v>
      </c>
      <c r="I350" s="227">
        <f ca="1">I359</f>
        <v>54417</v>
      </c>
      <c r="J350" s="227">
        <f>+J359</f>
        <v>0</v>
      </c>
      <c r="K350" s="228">
        <f ca="1">IF(I350&gt;0,J350*100/I350,0)</f>
        <v>0</v>
      </c>
      <c r="L350" s="229">
        <f t="shared" ref="L350:M350" ca="1" si="79">SUM(L351:L352)</f>
        <v>527976</v>
      </c>
      <c r="M350" s="229">
        <f t="shared" si="79"/>
        <v>0</v>
      </c>
      <c r="N350" s="229">
        <f t="shared" ref="N350:N354" ca="1" si="80">+IF(L350&gt;0,M350*100/L350,0)</f>
        <v>0</v>
      </c>
    </row>
    <row r="351" spans="1:14" ht="21.75" customHeight="1" x14ac:dyDescent="0.4">
      <c r="A351" s="42"/>
      <c r="B351" s="43"/>
      <c r="C351" s="43" t="s">
        <v>17</v>
      </c>
      <c r="D351" s="44" t="s">
        <v>18</v>
      </c>
      <c r="E351" s="45"/>
      <c r="F351" s="45"/>
      <c r="G351" s="46" t="s">
        <v>19</v>
      </c>
      <c r="H351" s="47" t="s">
        <v>20</v>
      </c>
      <c r="I351" s="48" t="s">
        <v>21</v>
      </c>
      <c r="J351" s="48"/>
      <c r="K351" s="49"/>
      <c r="L351" s="50">
        <v>0</v>
      </c>
      <c r="M351" s="53">
        <v>0</v>
      </c>
      <c r="N351" s="53">
        <f t="shared" si="80"/>
        <v>0</v>
      </c>
    </row>
    <row r="352" spans="1:14" ht="21.75" customHeight="1" x14ac:dyDescent="0.4">
      <c r="A352" s="42"/>
      <c r="B352" s="43"/>
      <c r="C352" s="43"/>
      <c r="D352" s="51"/>
      <c r="E352" s="45"/>
      <c r="F352" s="45" t="s">
        <v>21</v>
      </c>
      <c r="G352" s="46" t="s">
        <v>22</v>
      </c>
      <c r="H352" s="47" t="s">
        <v>20</v>
      </c>
      <c r="I352" s="48"/>
      <c r="J352" s="48"/>
      <c r="K352" s="49"/>
      <c r="L352" s="50">
        <f t="shared" ref="L352:M352" ca="1" si="81">SUM(L353:L354)</f>
        <v>527976</v>
      </c>
      <c r="M352" s="53">
        <f t="shared" si="81"/>
        <v>0</v>
      </c>
      <c r="N352" s="53">
        <f t="shared" ca="1" si="80"/>
        <v>0</v>
      </c>
    </row>
    <row r="353" spans="1:14" ht="21.75" customHeight="1" x14ac:dyDescent="0.4">
      <c r="A353" s="42"/>
      <c r="B353" s="43"/>
      <c r="C353" s="43"/>
      <c r="D353" s="51"/>
      <c r="E353" s="45"/>
      <c r="F353" s="45"/>
      <c r="G353" s="52" t="s">
        <v>110</v>
      </c>
      <c r="H353" s="47" t="s">
        <v>20</v>
      </c>
      <c r="I353" s="48"/>
      <c r="J353" s="48"/>
      <c r="K353" s="49"/>
      <c r="L353" s="53">
        <f ca="1">IFERROR(__xludf.DUMMYFUNCTION("IMPORTRANGE(""https://docs.google.com/spreadsheets/d/1C3CXT74ZlgGe6_JY_1olB1XN4rF0dxEuIIF-xsYjHgg/edit?usp=sharing"",""งบกองทุน!Bc29"")"),0)</f>
        <v>0</v>
      </c>
      <c r="M353" s="53">
        <v>0</v>
      </c>
      <c r="N353" s="53">
        <f t="shared" ca="1" si="80"/>
        <v>0</v>
      </c>
    </row>
    <row r="354" spans="1:14" ht="21.75" customHeight="1" x14ac:dyDescent="0.4">
      <c r="A354" s="42"/>
      <c r="B354" s="43"/>
      <c r="C354" s="43"/>
      <c r="D354" s="51"/>
      <c r="E354" s="45"/>
      <c r="F354" s="45"/>
      <c r="G354" s="52" t="s">
        <v>111</v>
      </c>
      <c r="H354" s="47" t="s">
        <v>20</v>
      </c>
      <c r="I354" s="48"/>
      <c r="J354" s="48"/>
      <c r="K354" s="49"/>
      <c r="L354" s="53">
        <f ca="1">IFERROR(__xludf.DUMMYFUNCTION("IMPORTRANGE(""https://docs.google.com/spreadsheets/d/1C3CXT74ZlgGe6_JY_1olB1XN4rF0dxEuIIF-xsYjHgg/edit?usp=sharing"",""งบกองทุน!Bd29"")"),527976)</f>
        <v>527976</v>
      </c>
      <c r="M354" s="53">
        <f>SUM(M355:M358)</f>
        <v>0</v>
      </c>
      <c r="N354" s="53">
        <f t="shared" ca="1" si="80"/>
        <v>0</v>
      </c>
    </row>
    <row r="355" spans="1:14" ht="21.75" customHeight="1" x14ac:dyDescent="0.4">
      <c r="A355" s="230"/>
      <c r="B355" s="231"/>
      <c r="C355" s="43"/>
      <c r="D355" s="232"/>
      <c r="E355" s="45"/>
      <c r="F355" s="45"/>
      <c r="G355" s="46" t="s">
        <v>112</v>
      </c>
      <c r="H355" s="47" t="s">
        <v>20</v>
      </c>
      <c r="I355" s="67"/>
      <c r="J355" s="67"/>
      <c r="K355" s="233"/>
      <c r="L355" s="53"/>
      <c r="M355" s="53">
        <v>0</v>
      </c>
      <c r="N355" s="53"/>
    </row>
    <row r="356" spans="1:14" ht="21.75" customHeight="1" x14ac:dyDescent="0.4">
      <c r="A356" s="230"/>
      <c r="B356" s="231"/>
      <c r="C356" s="43"/>
      <c r="D356" s="232"/>
      <c r="E356" s="45"/>
      <c r="F356" s="45"/>
      <c r="G356" s="46" t="s">
        <v>113</v>
      </c>
      <c r="H356" s="47" t="s">
        <v>20</v>
      </c>
      <c r="I356" s="67"/>
      <c r="J356" s="67"/>
      <c r="K356" s="233"/>
      <c r="L356" s="53"/>
      <c r="M356" s="53">
        <v>0</v>
      </c>
      <c r="N356" s="53"/>
    </row>
    <row r="357" spans="1:14" ht="21.75" customHeight="1" x14ac:dyDescent="0.4">
      <c r="A357" s="230"/>
      <c r="B357" s="231"/>
      <c r="C357" s="43"/>
      <c r="D357" s="232"/>
      <c r="E357" s="45"/>
      <c r="F357" s="45"/>
      <c r="G357" s="46" t="s">
        <v>114</v>
      </c>
      <c r="H357" s="47" t="s">
        <v>20</v>
      </c>
      <c r="I357" s="67"/>
      <c r="J357" s="67"/>
      <c r="K357" s="233"/>
      <c r="L357" s="53"/>
      <c r="M357" s="54">
        <v>0</v>
      </c>
      <c r="N357" s="53"/>
    </row>
    <row r="358" spans="1:14" ht="21.75" customHeight="1" x14ac:dyDescent="0.4">
      <c r="A358" s="230"/>
      <c r="B358" s="231"/>
      <c r="C358" s="43"/>
      <c r="D358" s="232"/>
      <c r="E358" s="45"/>
      <c r="F358" s="45"/>
      <c r="G358" s="46" t="s">
        <v>115</v>
      </c>
      <c r="H358" s="47" t="s">
        <v>20</v>
      </c>
      <c r="I358" s="67"/>
      <c r="J358" s="67"/>
      <c r="K358" s="233"/>
      <c r="L358" s="53"/>
      <c r="M358" s="54">
        <v>0</v>
      </c>
      <c r="N358" s="53"/>
    </row>
    <row r="359" spans="1:14" ht="21.75" customHeight="1" x14ac:dyDescent="0.4">
      <c r="A359" s="55"/>
      <c r="B359" s="56"/>
      <c r="C359" s="261" t="s">
        <v>147</v>
      </c>
      <c r="D359" s="261"/>
      <c r="E359" s="262"/>
      <c r="F359" s="262"/>
      <c r="G359" s="263"/>
      <c r="H359" s="136" t="s">
        <v>103</v>
      </c>
      <c r="I359" s="137">
        <f ca="1">IFERROR(__xludf.DUMMYFUNCTION("IMPORTRANGE(""https://docs.google.com/spreadsheets/d/1C3CXT74ZlgGe6_JY_1olB1XN4rF0dxEuIIF-xsYjHgg/edit?usp=sharing"",""งบกองทุน!BE29"")"),54417)</f>
        <v>54417</v>
      </c>
      <c r="J359" s="137">
        <f>+J376</f>
        <v>0</v>
      </c>
      <c r="K359" s="138">
        <f t="shared" ref="K359:K425" ca="1" si="82">IF(I359&gt;0,J359*100/I359,0)</f>
        <v>0</v>
      </c>
      <c r="L359" s="140"/>
      <c r="M359" s="140"/>
      <c r="N359" s="140"/>
    </row>
    <row r="360" spans="1:14" ht="21.75" customHeight="1" x14ac:dyDescent="0.4">
      <c r="A360" s="249"/>
      <c r="B360" s="250"/>
      <c r="C360" s="250"/>
      <c r="D360" s="251"/>
      <c r="E360" s="73" t="s">
        <v>148</v>
      </c>
      <c r="F360" s="75"/>
      <c r="G360" s="76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IFERROR(__xludf.DUMMYFUNCTION("IMPORTRANGE(""https://docs.google.com/spreadsheets/d/1C3CXT74ZlgGe6_JY_1olB1XN4rF0dxEuIIF-xsYjHgg/edit?usp=sharing"",""งบกองทุน!BE29"")"),54417)</f>
        <v>54417</v>
      </c>
      <c r="J360" s="265">
        <f t="shared" ref="J360:J361" si="83">+J362+J364+J366</f>
        <v>0</v>
      </c>
      <c r="K360" s="80">
        <f t="shared" ca="1" si="82"/>
        <v>0</v>
      </c>
      <c r="L360" s="61"/>
      <c r="M360" s="61"/>
      <c r="N360" s="61"/>
    </row>
    <row r="361" spans="1:14" ht="21.75" customHeight="1" x14ac:dyDescent="0.4">
      <c r="A361" s="249"/>
      <c r="B361" s="250"/>
      <c r="C361" s="250"/>
      <c r="D361" s="251"/>
      <c r="E361" s="75"/>
      <c r="F361" s="75"/>
      <c r="G361" s="76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IFERROR(__xludf.DUMMYFUNCTION("IMPORTRANGE(""https://docs.google.com/spreadsheets/d/1C3CXT74ZlgGe6_JY_1olB1XN4rF0dxEuIIF-xsYjHgg/edit?usp=sharing"",""งบกองทุน!Bf29"")"),3219)</f>
        <v>3219</v>
      </c>
      <c r="J361" s="265">
        <f t="shared" si="83"/>
        <v>0</v>
      </c>
      <c r="K361" s="80">
        <f t="shared" ca="1" si="82"/>
        <v>0</v>
      </c>
      <c r="L361" s="61"/>
      <c r="M361" s="61"/>
      <c r="N361" s="61"/>
    </row>
    <row r="362" spans="1:14" ht="21.75" customHeight="1" x14ac:dyDescent="0.4">
      <c r="A362" s="249"/>
      <c r="B362" s="250"/>
      <c r="C362" s="250"/>
      <c r="D362" s="251"/>
      <c r="E362" s="75"/>
      <c r="F362" s="242" t="s">
        <v>149</v>
      </c>
      <c r="G362" s="266"/>
      <c r="H362" s="267" t="s">
        <v>103</v>
      </c>
      <c r="I362" s="48">
        <v>0</v>
      </c>
      <c r="J362" s="68"/>
      <c r="K362" s="49">
        <f t="shared" si="82"/>
        <v>0</v>
      </c>
      <c r="L362" s="61"/>
      <c r="M362" s="61"/>
      <c r="N362" s="61"/>
    </row>
    <row r="363" spans="1:14" ht="21.75" customHeight="1" x14ac:dyDescent="0.4">
      <c r="A363" s="249"/>
      <c r="B363" s="250"/>
      <c r="C363" s="250"/>
      <c r="D363" s="251"/>
      <c r="E363" s="75"/>
      <c r="F363" s="75"/>
      <c r="G363" s="266"/>
      <c r="H363" s="267" t="s">
        <v>15</v>
      </c>
      <c r="I363" s="48">
        <v>0</v>
      </c>
      <c r="J363" s="68">
        <v>0</v>
      </c>
      <c r="K363" s="49">
        <f t="shared" si="82"/>
        <v>0</v>
      </c>
      <c r="L363" s="61"/>
      <c r="M363" s="61"/>
      <c r="N363" s="61"/>
    </row>
    <row r="364" spans="1:14" ht="21.75" customHeight="1" x14ac:dyDescent="0.4">
      <c r="A364" s="249"/>
      <c r="B364" s="250"/>
      <c r="C364" s="250"/>
      <c r="D364" s="251"/>
      <c r="E364" s="75"/>
      <c r="F364" s="242" t="s">
        <v>150</v>
      </c>
      <c r="G364" s="266"/>
      <c r="H364" s="267" t="s">
        <v>103</v>
      </c>
      <c r="I364" s="48">
        <v>0</v>
      </c>
      <c r="J364" s="68">
        <v>0</v>
      </c>
      <c r="K364" s="49">
        <f t="shared" si="82"/>
        <v>0</v>
      </c>
      <c r="L364" s="61"/>
      <c r="M364" s="61"/>
      <c r="N364" s="61"/>
    </row>
    <row r="365" spans="1:14" ht="21.75" customHeight="1" x14ac:dyDescent="0.4">
      <c r="A365" s="249"/>
      <c r="B365" s="250"/>
      <c r="C365" s="250"/>
      <c r="D365" s="251"/>
      <c r="E365" s="75"/>
      <c r="F365" s="75"/>
      <c r="G365" s="266"/>
      <c r="H365" s="267" t="s">
        <v>15</v>
      </c>
      <c r="I365" s="48">
        <v>0</v>
      </c>
      <c r="J365" s="68">
        <v>0</v>
      </c>
      <c r="K365" s="49">
        <f t="shared" si="82"/>
        <v>0</v>
      </c>
      <c r="L365" s="61"/>
      <c r="M365" s="61"/>
      <c r="N365" s="61"/>
    </row>
    <row r="366" spans="1:14" ht="21.75" customHeight="1" x14ac:dyDescent="0.4">
      <c r="A366" s="249"/>
      <c r="B366" s="250"/>
      <c r="C366" s="250"/>
      <c r="D366" s="251"/>
      <c r="E366" s="75"/>
      <c r="F366" s="242" t="s">
        <v>151</v>
      </c>
      <c r="G366" s="266"/>
      <c r="H366" s="267" t="s">
        <v>103</v>
      </c>
      <c r="I366" s="48">
        <v>0</v>
      </c>
      <c r="J366" s="68">
        <v>0</v>
      </c>
      <c r="K366" s="49">
        <f t="shared" si="82"/>
        <v>0</v>
      </c>
      <c r="L366" s="61"/>
      <c r="M366" s="61"/>
      <c r="N366" s="61"/>
    </row>
    <row r="367" spans="1:14" ht="21.75" customHeight="1" x14ac:dyDescent="0.4">
      <c r="A367" s="249"/>
      <c r="B367" s="250"/>
      <c r="C367" s="250"/>
      <c r="D367" s="251"/>
      <c r="E367" s="75"/>
      <c r="F367" s="75"/>
      <c r="G367" s="75"/>
      <c r="H367" s="267" t="s">
        <v>15</v>
      </c>
      <c r="I367" s="48">
        <v>0</v>
      </c>
      <c r="J367" s="68">
        <v>0</v>
      </c>
      <c r="K367" s="49">
        <f t="shared" si="82"/>
        <v>0</v>
      </c>
      <c r="L367" s="61"/>
      <c r="M367" s="61"/>
      <c r="N367" s="61"/>
    </row>
    <row r="368" spans="1:14" ht="21.75" customHeight="1" x14ac:dyDescent="0.4">
      <c r="A368" s="249"/>
      <c r="B368" s="250"/>
      <c r="C368" s="250"/>
      <c r="D368" s="251"/>
      <c r="E368" s="155" t="s">
        <v>152</v>
      </c>
      <c r="F368" s="75"/>
      <c r="G368" s="76"/>
      <c r="H368" s="264" t="s">
        <v>103</v>
      </c>
      <c r="I368" s="265">
        <f ca="1">+I359</f>
        <v>54417</v>
      </c>
      <c r="J368" s="265">
        <f t="shared" ref="J368:J369" si="84">+J370+J372+J374</f>
        <v>0</v>
      </c>
      <c r="K368" s="80">
        <f t="shared" ca="1" si="82"/>
        <v>0</v>
      </c>
      <c r="L368" s="61"/>
      <c r="M368" s="61"/>
      <c r="N368" s="61"/>
    </row>
    <row r="369" spans="1:14" ht="21.75" customHeight="1" x14ac:dyDescent="0.4">
      <c r="A369" s="249"/>
      <c r="B369" s="250"/>
      <c r="C369" s="250"/>
      <c r="D369" s="251"/>
      <c r="E369" s="75"/>
      <c r="F369" s="75"/>
      <c r="G369" s="76"/>
      <c r="H369" s="264" t="s">
        <v>15</v>
      </c>
      <c r="I369" s="265">
        <f ca="1">I361</f>
        <v>3219</v>
      </c>
      <c r="J369" s="265">
        <f t="shared" si="84"/>
        <v>0</v>
      </c>
      <c r="K369" s="49">
        <f t="shared" ca="1" si="82"/>
        <v>0</v>
      </c>
      <c r="L369" s="61"/>
      <c r="M369" s="61"/>
      <c r="N369" s="61"/>
    </row>
    <row r="370" spans="1:14" ht="21.75" customHeight="1" x14ac:dyDescent="0.4">
      <c r="A370" s="249"/>
      <c r="B370" s="250"/>
      <c r="C370" s="250"/>
      <c r="D370" s="251"/>
      <c r="E370" s="75"/>
      <c r="F370" s="74" t="s">
        <v>153</v>
      </c>
      <c r="G370" s="266"/>
      <c r="H370" s="267" t="s">
        <v>103</v>
      </c>
      <c r="I370" s="48">
        <v>0</v>
      </c>
      <c r="J370" s="68">
        <v>0</v>
      </c>
      <c r="K370" s="49">
        <f t="shared" si="82"/>
        <v>0</v>
      </c>
      <c r="L370" s="61"/>
      <c r="M370" s="61"/>
      <c r="N370" s="61"/>
    </row>
    <row r="371" spans="1:14" ht="21.75" customHeight="1" x14ac:dyDescent="0.4">
      <c r="A371" s="249"/>
      <c r="B371" s="250"/>
      <c r="C371" s="250"/>
      <c r="D371" s="251"/>
      <c r="E371" s="75"/>
      <c r="F371" s="75"/>
      <c r="G371" s="266"/>
      <c r="H371" s="267" t="s">
        <v>15</v>
      </c>
      <c r="I371" s="48">
        <v>0</v>
      </c>
      <c r="J371" s="68">
        <v>0</v>
      </c>
      <c r="K371" s="49">
        <f t="shared" si="82"/>
        <v>0</v>
      </c>
      <c r="L371" s="61"/>
      <c r="M371" s="61"/>
      <c r="N371" s="61"/>
    </row>
    <row r="372" spans="1:14" ht="21.75" customHeight="1" x14ac:dyDescent="0.4">
      <c r="A372" s="249"/>
      <c r="B372" s="250"/>
      <c r="C372" s="250"/>
      <c r="D372" s="251"/>
      <c r="E372" s="75"/>
      <c r="F372" s="74" t="s">
        <v>154</v>
      </c>
      <c r="G372" s="266"/>
      <c r="H372" s="267" t="s">
        <v>103</v>
      </c>
      <c r="I372" s="48">
        <v>0</v>
      </c>
      <c r="J372" s="68">
        <v>0</v>
      </c>
      <c r="K372" s="49">
        <f t="shared" si="82"/>
        <v>0</v>
      </c>
      <c r="L372" s="61"/>
      <c r="M372" s="61"/>
      <c r="N372" s="61"/>
    </row>
    <row r="373" spans="1:14" ht="21.75" customHeight="1" x14ac:dyDescent="0.4">
      <c r="A373" s="249"/>
      <c r="B373" s="250"/>
      <c r="C373" s="250"/>
      <c r="D373" s="251"/>
      <c r="E373" s="75"/>
      <c r="F373" s="75"/>
      <c r="G373" s="266"/>
      <c r="H373" s="267" t="s">
        <v>15</v>
      </c>
      <c r="I373" s="48">
        <v>0</v>
      </c>
      <c r="J373" s="68">
        <v>0</v>
      </c>
      <c r="K373" s="49">
        <f t="shared" si="82"/>
        <v>0</v>
      </c>
      <c r="L373" s="61"/>
      <c r="M373" s="61"/>
      <c r="N373" s="61"/>
    </row>
    <row r="374" spans="1:14" ht="21.75" customHeight="1" x14ac:dyDescent="0.4">
      <c r="A374" s="249"/>
      <c r="B374" s="250"/>
      <c r="C374" s="250"/>
      <c r="D374" s="251"/>
      <c r="E374" s="75"/>
      <c r="F374" s="74" t="s">
        <v>155</v>
      </c>
      <c r="G374" s="266"/>
      <c r="H374" s="267" t="s">
        <v>103</v>
      </c>
      <c r="I374" s="48">
        <v>0</v>
      </c>
      <c r="J374" s="68">
        <v>0</v>
      </c>
      <c r="K374" s="49">
        <f t="shared" si="82"/>
        <v>0</v>
      </c>
      <c r="L374" s="61"/>
      <c r="M374" s="61"/>
      <c r="N374" s="61"/>
    </row>
    <row r="375" spans="1:14" ht="21.75" customHeight="1" x14ac:dyDescent="0.4">
      <c r="A375" s="249"/>
      <c r="B375" s="250"/>
      <c r="C375" s="250"/>
      <c r="D375" s="251"/>
      <c r="E375" s="75"/>
      <c r="F375" s="75"/>
      <c r="G375" s="76"/>
      <c r="H375" s="267" t="s">
        <v>15</v>
      </c>
      <c r="I375" s="48">
        <v>0</v>
      </c>
      <c r="J375" s="68">
        <v>0</v>
      </c>
      <c r="K375" s="49">
        <f t="shared" si="82"/>
        <v>0</v>
      </c>
      <c r="L375" s="61"/>
      <c r="M375" s="61"/>
      <c r="N375" s="61"/>
    </row>
    <row r="376" spans="1:14" ht="21.75" customHeight="1" x14ac:dyDescent="0.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54417</v>
      </c>
      <c r="J376" s="265">
        <f t="shared" ref="J376:J377" si="85">+J378+J380+J382+J388</f>
        <v>0</v>
      </c>
      <c r="K376" s="80">
        <f t="shared" ca="1" si="82"/>
        <v>0</v>
      </c>
      <c r="L376" s="275"/>
      <c r="M376" s="275"/>
      <c r="N376" s="275"/>
    </row>
    <row r="377" spans="1:14" ht="21.75" customHeight="1" x14ac:dyDescent="0.4">
      <c r="A377" s="249"/>
      <c r="B377" s="250"/>
      <c r="C377" s="250"/>
      <c r="D377" s="251"/>
      <c r="E377" s="75"/>
      <c r="F377" s="75"/>
      <c r="G377" s="76"/>
      <c r="H377" s="264" t="s">
        <v>15</v>
      </c>
      <c r="I377" s="265">
        <f ca="1">I361</f>
        <v>3219</v>
      </c>
      <c r="J377" s="265">
        <f t="shared" si="85"/>
        <v>0</v>
      </c>
      <c r="K377" s="49">
        <f t="shared" ca="1" si="82"/>
        <v>0</v>
      </c>
      <c r="L377" s="61"/>
      <c r="M377" s="61"/>
      <c r="N377" s="61"/>
    </row>
    <row r="378" spans="1:14" ht="21.75" customHeight="1" x14ac:dyDescent="0.4">
      <c r="A378" s="249"/>
      <c r="B378" s="250"/>
      <c r="C378" s="250"/>
      <c r="D378" s="251"/>
      <c r="E378" s="75"/>
      <c r="F378" s="74" t="s">
        <v>157</v>
      </c>
      <c r="G378" s="266"/>
      <c r="H378" s="267" t="s">
        <v>103</v>
      </c>
      <c r="I378" s="48">
        <v>0</v>
      </c>
      <c r="J378" s="68">
        <v>0</v>
      </c>
      <c r="K378" s="49">
        <f t="shared" si="82"/>
        <v>0</v>
      </c>
      <c r="L378" s="61"/>
      <c r="M378" s="61"/>
      <c r="N378" s="61"/>
    </row>
    <row r="379" spans="1:14" ht="21.75" customHeight="1" x14ac:dyDescent="0.4">
      <c r="A379" s="249"/>
      <c r="B379" s="250"/>
      <c r="C379" s="250"/>
      <c r="D379" s="251"/>
      <c r="E379" s="75"/>
      <c r="F379" s="75"/>
      <c r="G379" s="266"/>
      <c r="H379" s="267" t="s">
        <v>15</v>
      </c>
      <c r="I379" s="48">
        <v>0</v>
      </c>
      <c r="J379" s="68">
        <v>0</v>
      </c>
      <c r="K379" s="49">
        <f t="shared" si="82"/>
        <v>0</v>
      </c>
      <c r="L379" s="61"/>
      <c r="M379" s="61"/>
      <c r="N379" s="61"/>
    </row>
    <row r="380" spans="1:14" ht="21.75" customHeight="1" x14ac:dyDescent="0.4">
      <c r="A380" s="249"/>
      <c r="B380" s="250"/>
      <c r="C380" s="250"/>
      <c r="D380" s="251"/>
      <c r="E380" s="75"/>
      <c r="F380" s="74" t="s">
        <v>158</v>
      </c>
      <c r="G380" s="266"/>
      <c r="H380" s="267" t="s">
        <v>103</v>
      </c>
      <c r="I380" s="48">
        <v>0</v>
      </c>
      <c r="J380" s="68">
        <v>0</v>
      </c>
      <c r="K380" s="49">
        <f t="shared" si="82"/>
        <v>0</v>
      </c>
      <c r="L380" s="61"/>
      <c r="M380" s="61"/>
      <c r="N380" s="61"/>
    </row>
    <row r="381" spans="1:14" ht="21.75" customHeight="1" x14ac:dyDescent="0.4">
      <c r="A381" s="249"/>
      <c r="B381" s="250"/>
      <c r="C381" s="250"/>
      <c r="D381" s="251"/>
      <c r="E381" s="75"/>
      <c r="F381" s="75"/>
      <c r="G381" s="266"/>
      <c r="H381" s="267" t="s">
        <v>15</v>
      </c>
      <c r="I381" s="48">
        <v>0</v>
      </c>
      <c r="J381" s="68">
        <v>0</v>
      </c>
      <c r="K381" s="49">
        <f t="shared" si="82"/>
        <v>0</v>
      </c>
      <c r="L381" s="61"/>
      <c r="M381" s="61"/>
      <c r="N381" s="61"/>
    </row>
    <row r="382" spans="1:14" ht="21.75" customHeight="1" x14ac:dyDescent="0.4">
      <c r="A382" s="249"/>
      <c r="B382" s="250"/>
      <c r="C382" s="250"/>
      <c r="D382" s="251"/>
      <c r="E382" s="75"/>
      <c r="F382" s="74" t="s">
        <v>159</v>
      </c>
      <c r="G382" s="266"/>
      <c r="H382" s="267" t="s">
        <v>103</v>
      </c>
      <c r="I382" s="48">
        <v>0</v>
      </c>
      <c r="J382" s="265">
        <f t="shared" ref="J382:J383" si="86">J384+J386</f>
        <v>0</v>
      </c>
      <c r="K382" s="49">
        <f t="shared" si="82"/>
        <v>0</v>
      </c>
      <c r="L382" s="61"/>
      <c r="M382" s="61"/>
      <c r="N382" s="61"/>
    </row>
    <row r="383" spans="1:14" ht="21.75" customHeight="1" x14ac:dyDescent="0.4">
      <c r="A383" s="249"/>
      <c r="B383" s="250"/>
      <c r="C383" s="250"/>
      <c r="D383" s="251"/>
      <c r="E383" s="75"/>
      <c r="F383" s="75"/>
      <c r="G383" s="75"/>
      <c r="H383" s="267" t="s">
        <v>15</v>
      </c>
      <c r="I383" s="48">
        <v>0</v>
      </c>
      <c r="J383" s="265">
        <f t="shared" si="86"/>
        <v>0</v>
      </c>
      <c r="K383" s="49">
        <f t="shared" si="82"/>
        <v>0</v>
      </c>
      <c r="L383" s="61"/>
      <c r="M383" s="61"/>
      <c r="N383" s="61"/>
    </row>
    <row r="384" spans="1:14" ht="21.75" customHeight="1" x14ac:dyDescent="0.4">
      <c r="A384" s="249"/>
      <c r="B384" s="250"/>
      <c r="C384" s="250"/>
      <c r="D384" s="251"/>
      <c r="E384" s="75"/>
      <c r="F384" s="75"/>
      <c r="G384" s="74" t="s">
        <v>160</v>
      </c>
      <c r="H384" s="267" t="s">
        <v>103</v>
      </c>
      <c r="I384" s="48">
        <v>0</v>
      </c>
      <c r="J384" s="68">
        <v>0</v>
      </c>
      <c r="K384" s="49">
        <f t="shared" si="82"/>
        <v>0</v>
      </c>
      <c r="L384" s="61"/>
      <c r="M384" s="61"/>
      <c r="N384" s="61"/>
    </row>
    <row r="385" spans="1:14" ht="21.75" customHeight="1" x14ac:dyDescent="0.4">
      <c r="A385" s="249"/>
      <c r="B385" s="250"/>
      <c r="C385" s="250"/>
      <c r="D385" s="251"/>
      <c r="E385" s="75"/>
      <c r="F385" s="75"/>
      <c r="G385" s="75"/>
      <c r="H385" s="267" t="s">
        <v>15</v>
      </c>
      <c r="I385" s="48">
        <v>0</v>
      </c>
      <c r="J385" s="68">
        <v>0</v>
      </c>
      <c r="K385" s="49">
        <f t="shared" si="82"/>
        <v>0</v>
      </c>
      <c r="L385" s="61"/>
      <c r="M385" s="61"/>
      <c r="N385" s="61"/>
    </row>
    <row r="386" spans="1:14" ht="21.75" customHeight="1" x14ac:dyDescent="0.4">
      <c r="A386" s="249"/>
      <c r="B386" s="250"/>
      <c r="C386" s="250"/>
      <c r="D386" s="251"/>
      <c r="E386" s="75"/>
      <c r="F386" s="75"/>
      <c r="G386" s="74" t="s">
        <v>161</v>
      </c>
      <c r="H386" s="267" t="s">
        <v>103</v>
      </c>
      <c r="I386" s="48">
        <v>0</v>
      </c>
      <c r="J386" s="68">
        <v>0</v>
      </c>
      <c r="K386" s="49">
        <f t="shared" si="82"/>
        <v>0</v>
      </c>
      <c r="L386" s="61"/>
      <c r="M386" s="61"/>
      <c r="N386" s="61"/>
    </row>
    <row r="387" spans="1:14" ht="21.75" customHeight="1" x14ac:dyDescent="0.4">
      <c r="A387" s="249"/>
      <c r="B387" s="250"/>
      <c r="C387" s="250"/>
      <c r="D387" s="251"/>
      <c r="E387" s="75"/>
      <c r="F387" s="75"/>
      <c r="G387" s="76"/>
      <c r="H387" s="267" t="s">
        <v>15</v>
      </c>
      <c r="I387" s="48">
        <v>0</v>
      </c>
      <c r="J387" s="68">
        <v>0</v>
      </c>
      <c r="K387" s="49">
        <f t="shared" si="82"/>
        <v>0</v>
      </c>
      <c r="L387" s="61"/>
      <c r="M387" s="61"/>
      <c r="N387" s="61"/>
    </row>
    <row r="388" spans="1:14" ht="21.75" customHeight="1" x14ac:dyDescent="0.4">
      <c r="A388" s="249"/>
      <c r="B388" s="250"/>
      <c r="C388" s="250"/>
      <c r="D388" s="251"/>
      <c r="E388" s="75"/>
      <c r="F388" s="74" t="s">
        <v>162</v>
      </c>
      <c r="G388" s="266"/>
      <c r="H388" s="267" t="s">
        <v>103</v>
      </c>
      <c r="I388" s="48">
        <v>0</v>
      </c>
      <c r="J388" s="68">
        <v>0</v>
      </c>
      <c r="K388" s="49">
        <f t="shared" si="82"/>
        <v>0</v>
      </c>
      <c r="L388" s="61"/>
      <c r="M388" s="61"/>
      <c r="N388" s="61"/>
    </row>
    <row r="389" spans="1:14" ht="21.75" customHeight="1" x14ac:dyDescent="0.4">
      <c r="A389" s="276"/>
      <c r="B389" s="277"/>
      <c r="C389" s="277"/>
      <c r="D389" s="278"/>
      <c r="E389" s="204"/>
      <c r="F389" s="204"/>
      <c r="G389" s="204"/>
      <c r="H389" s="279" t="s">
        <v>15</v>
      </c>
      <c r="I389" s="384">
        <v>0</v>
      </c>
      <c r="J389" s="68">
        <v>0</v>
      </c>
      <c r="K389" s="114">
        <f t="shared" si="82"/>
        <v>0</v>
      </c>
      <c r="L389" s="115"/>
      <c r="M389" s="115"/>
      <c r="N389" s="115"/>
    </row>
    <row r="390" spans="1:14" ht="21.75" customHeight="1" x14ac:dyDescent="0.4">
      <c r="A390" s="55"/>
      <c r="B390" s="56"/>
      <c r="C390" s="261" t="s">
        <v>163</v>
      </c>
      <c r="D390" s="261"/>
      <c r="E390" s="262"/>
      <c r="F390" s="262"/>
      <c r="G390" s="263"/>
      <c r="H390" s="136" t="s">
        <v>103</v>
      </c>
      <c r="I390" s="137">
        <f ca="1">IFERROR(__xludf.DUMMYFUNCTION("IMPORTRANGE(""https://docs.google.com/spreadsheets/d/1C3CXT74ZlgGe6_JY_1olB1XN4rF0dxEuIIF-xsYjHgg/edit?usp=sharing"",""งบกองทุน!cd29"")"),15939)</f>
        <v>15939</v>
      </c>
      <c r="J390" s="137">
        <f>J391</f>
        <v>0</v>
      </c>
      <c r="K390" s="138">
        <f t="shared" ca="1" si="82"/>
        <v>0</v>
      </c>
      <c r="L390" s="140"/>
      <c r="M390" s="140"/>
      <c r="N390" s="140"/>
    </row>
    <row r="391" spans="1:14" ht="21.75" customHeight="1" x14ac:dyDescent="0.4">
      <c r="A391" s="55"/>
      <c r="B391" s="56"/>
      <c r="C391" s="56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IFERROR(__xludf.DUMMYFUNCTION("IMPORTRANGE(""https://docs.google.com/spreadsheets/d/1C3CXT74ZlgGe6_JY_1olB1XN4rF0dxEuIIF-xsYjHgg/edit?usp=sharing"",""งบกองทุน!cd29"")"),15939)</f>
        <v>15939</v>
      </c>
      <c r="J391" s="265">
        <f t="shared" ref="J391:J392" si="87">J393+J401+J407</f>
        <v>0</v>
      </c>
      <c r="K391" s="49">
        <f t="shared" ca="1" si="82"/>
        <v>0</v>
      </c>
      <c r="L391" s="61"/>
      <c r="M391" s="61"/>
      <c r="N391" s="61"/>
    </row>
    <row r="392" spans="1:14" ht="21.75" customHeight="1" x14ac:dyDescent="0.4">
      <c r="A392" s="55"/>
      <c r="B392" s="56"/>
      <c r="C392" s="56"/>
      <c r="D392" s="73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IFERROR(__xludf.DUMMYFUNCTION("IMPORTRANGE(""https://docs.google.com/spreadsheets/d/1C3CXT74ZlgGe6_JY_1olB1XN4rF0dxEuIIF-xsYjHgg/edit?usp=sharing"",""งบกองทุน!cc29"")"),647)</f>
        <v>647</v>
      </c>
      <c r="J392" s="265">
        <f t="shared" si="87"/>
        <v>0</v>
      </c>
      <c r="K392" s="80">
        <f t="shared" ca="1" si="82"/>
        <v>0</v>
      </c>
      <c r="L392" s="61"/>
      <c r="M392" s="61"/>
      <c r="N392" s="61"/>
    </row>
    <row r="393" spans="1:14" ht="21.75" customHeight="1" x14ac:dyDescent="0.4">
      <c r="A393" s="55"/>
      <c r="B393" s="56"/>
      <c r="C393" s="56"/>
      <c r="D393" s="251"/>
      <c r="E393" s="251" t="s">
        <v>165</v>
      </c>
      <c r="F393" s="75"/>
      <c r="G393" s="76"/>
      <c r="H393" s="267" t="s">
        <v>103</v>
      </c>
      <c r="I393" s="48">
        <v>0</v>
      </c>
      <c r="J393" s="48">
        <f t="shared" ref="J393:J394" si="88">J395+J397+J399</f>
        <v>0</v>
      </c>
      <c r="K393" s="49">
        <f t="shared" si="82"/>
        <v>0</v>
      </c>
      <c r="L393" s="61"/>
      <c r="M393" s="61"/>
      <c r="N393" s="61"/>
    </row>
    <row r="394" spans="1:14" ht="21.75" customHeight="1" x14ac:dyDescent="0.4">
      <c r="A394" s="55"/>
      <c r="B394" s="56"/>
      <c r="C394" s="56"/>
      <c r="D394" s="73"/>
      <c r="E394" s="75"/>
      <c r="F394" s="75"/>
      <c r="G394" s="76"/>
      <c r="H394" s="267" t="s">
        <v>15</v>
      </c>
      <c r="I394" s="48">
        <v>0</v>
      </c>
      <c r="J394" s="48">
        <f t="shared" si="88"/>
        <v>0</v>
      </c>
      <c r="K394" s="49">
        <f t="shared" si="82"/>
        <v>0</v>
      </c>
      <c r="L394" s="61"/>
      <c r="M394" s="61"/>
      <c r="N394" s="61"/>
    </row>
    <row r="395" spans="1:14" ht="21.75" customHeight="1" x14ac:dyDescent="0.4">
      <c r="A395" s="55"/>
      <c r="B395" s="56"/>
      <c r="C395" s="56"/>
      <c r="D395" s="73"/>
      <c r="E395" s="75"/>
      <c r="F395" s="242" t="s">
        <v>166</v>
      </c>
      <c r="G395" s="266"/>
      <c r="H395" s="267" t="s">
        <v>103</v>
      </c>
      <c r="I395" s="48">
        <v>0</v>
      </c>
      <c r="J395" s="68">
        <v>0</v>
      </c>
      <c r="K395" s="49">
        <f t="shared" si="82"/>
        <v>0</v>
      </c>
      <c r="L395" s="61"/>
      <c r="M395" s="61"/>
      <c r="N395" s="61"/>
    </row>
    <row r="396" spans="1:14" ht="21.75" customHeight="1" x14ac:dyDescent="0.4">
      <c r="A396" s="55"/>
      <c r="B396" s="56"/>
      <c r="C396" s="56"/>
      <c r="D396" s="73"/>
      <c r="E396" s="75"/>
      <c r="F396" s="75"/>
      <c r="G396" s="266"/>
      <c r="H396" s="267" t="s">
        <v>15</v>
      </c>
      <c r="I396" s="48">
        <v>0</v>
      </c>
      <c r="J396" s="68">
        <v>0</v>
      </c>
      <c r="K396" s="49">
        <f t="shared" si="82"/>
        <v>0</v>
      </c>
      <c r="L396" s="61"/>
      <c r="M396" s="61"/>
      <c r="N396" s="61"/>
    </row>
    <row r="397" spans="1:14" ht="21.75" customHeight="1" x14ac:dyDescent="0.4">
      <c r="A397" s="55"/>
      <c r="B397" s="56"/>
      <c r="C397" s="56"/>
      <c r="D397" s="73"/>
      <c r="E397" s="75"/>
      <c r="F397" s="242" t="s">
        <v>167</v>
      </c>
      <c r="G397" s="266"/>
      <c r="H397" s="267" t="s">
        <v>103</v>
      </c>
      <c r="I397" s="48">
        <v>0</v>
      </c>
      <c r="J397" s="68">
        <v>0</v>
      </c>
      <c r="K397" s="49">
        <f t="shared" si="82"/>
        <v>0</v>
      </c>
      <c r="L397" s="61"/>
      <c r="M397" s="61"/>
      <c r="N397" s="61"/>
    </row>
    <row r="398" spans="1:14" ht="21.75" customHeight="1" x14ac:dyDescent="0.4">
      <c r="A398" s="55"/>
      <c r="B398" s="56"/>
      <c r="C398" s="56"/>
      <c r="D398" s="73"/>
      <c r="E398" s="75"/>
      <c r="F398" s="75"/>
      <c r="G398" s="266"/>
      <c r="H398" s="267" t="s">
        <v>15</v>
      </c>
      <c r="I398" s="48">
        <v>0</v>
      </c>
      <c r="J398" s="68">
        <v>0</v>
      </c>
      <c r="K398" s="49">
        <f t="shared" si="82"/>
        <v>0</v>
      </c>
      <c r="L398" s="61"/>
      <c r="M398" s="61"/>
      <c r="N398" s="61"/>
    </row>
    <row r="399" spans="1:14" ht="21.75" customHeight="1" x14ac:dyDescent="0.4">
      <c r="A399" s="55"/>
      <c r="B399" s="56"/>
      <c r="C399" s="56"/>
      <c r="D399" s="73"/>
      <c r="E399" s="75"/>
      <c r="F399" s="242" t="s">
        <v>168</v>
      </c>
      <c r="G399" s="266"/>
      <c r="H399" s="267" t="s">
        <v>103</v>
      </c>
      <c r="I399" s="48">
        <v>0</v>
      </c>
      <c r="J399" s="68">
        <v>0</v>
      </c>
      <c r="K399" s="49">
        <f t="shared" si="82"/>
        <v>0</v>
      </c>
      <c r="L399" s="61"/>
      <c r="M399" s="61"/>
      <c r="N399" s="61"/>
    </row>
    <row r="400" spans="1:14" ht="21.75" customHeight="1" x14ac:dyDescent="0.4">
      <c r="A400" s="55"/>
      <c r="B400" s="56"/>
      <c r="C400" s="56"/>
      <c r="D400" s="73"/>
      <c r="E400" s="75"/>
      <c r="F400" s="75"/>
      <c r="G400" s="75"/>
      <c r="H400" s="267" t="s">
        <v>15</v>
      </c>
      <c r="I400" s="48">
        <v>0</v>
      </c>
      <c r="J400" s="68">
        <v>0</v>
      </c>
      <c r="K400" s="49">
        <f t="shared" si="82"/>
        <v>0</v>
      </c>
      <c r="L400" s="61"/>
      <c r="M400" s="61"/>
      <c r="N400" s="61"/>
    </row>
    <row r="401" spans="1:14" ht="21.75" customHeight="1" x14ac:dyDescent="0.4">
      <c r="A401" s="55"/>
      <c r="B401" s="56"/>
      <c r="C401" s="56"/>
      <c r="D401" s="73"/>
      <c r="E401" s="74" t="s">
        <v>169</v>
      </c>
      <c r="F401" s="75"/>
      <c r="G401" s="266"/>
      <c r="H401" s="267" t="s">
        <v>103</v>
      </c>
      <c r="I401" s="48">
        <v>0</v>
      </c>
      <c r="J401" s="48">
        <f t="shared" ref="J401:J402" si="89">+J403+J405</f>
        <v>0</v>
      </c>
      <c r="K401" s="49">
        <f t="shared" si="82"/>
        <v>0</v>
      </c>
      <c r="L401" s="61"/>
      <c r="M401" s="61"/>
      <c r="N401" s="61"/>
    </row>
    <row r="402" spans="1:14" ht="21.75" customHeight="1" x14ac:dyDescent="0.4">
      <c r="A402" s="55"/>
      <c r="B402" s="56"/>
      <c r="C402" s="56"/>
      <c r="D402" s="73"/>
      <c r="E402" s="75"/>
      <c r="F402" s="75"/>
      <c r="G402" s="75"/>
      <c r="H402" s="267" t="s">
        <v>15</v>
      </c>
      <c r="I402" s="48">
        <v>0</v>
      </c>
      <c r="J402" s="48">
        <f t="shared" si="89"/>
        <v>0</v>
      </c>
      <c r="K402" s="49">
        <f t="shared" si="82"/>
        <v>0</v>
      </c>
      <c r="L402" s="61"/>
      <c r="M402" s="61"/>
      <c r="N402" s="61"/>
    </row>
    <row r="403" spans="1:14" ht="21.75" customHeight="1" x14ac:dyDescent="0.4">
      <c r="A403" s="55"/>
      <c r="B403" s="56"/>
      <c r="C403" s="56"/>
      <c r="D403" s="73"/>
      <c r="E403" s="75"/>
      <c r="F403" s="74" t="s">
        <v>170</v>
      </c>
      <c r="G403" s="75"/>
      <c r="H403" s="267" t="s">
        <v>103</v>
      </c>
      <c r="I403" s="48">
        <v>0</v>
      </c>
      <c r="J403" s="68">
        <v>0</v>
      </c>
      <c r="K403" s="49">
        <f t="shared" si="82"/>
        <v>0</v>
      </c>
      <c r="L403" s="61"/>
      <c r="M403" s="61"/>
      <c r="N403" s="61"/>
    </row>
    <row r="404" spans="1:14" ht="21.75" customHeight="1" x14ac:dyDescent="0.4">
      <c r="A404" s="55"/>
      <c r="B404" s="56"/>
      <c r="C404" s="56"/>
      <c r="D404" s="73"/>
      <c r="E404" s="75"/>
      <c r="F404" s="75"/>
      <c r="G404" s="75"/>
      <c r="H404" s="267" t="s">
        <v>15</v>
      </c>
      <c r="I404" s="48">
        <v>0</v>
      </c>
      <c r="J404" s="68">
        <v>0</v>
      </c>
      <c r="K404" s="49">
        <f t="shared" si="82"/>
        <v>0</v>
      </c>
      <c r="L404" s="61"/>
      <c r="M404" s="61"/>
      <c r="N404" s="61"/>
    </row>
    <row r="405" spans="1:14" ht="21.75" customHeight="1" x14ac:dyDescent="0.4">
      <c r="A405" s="55"/>
      <c r="B405" s="56"/>
      <c r="C405" s="56"/>
      <c r="D405" s="73"/>
      <c r="E405" s="75"/>
      <c r="F405" s="74" t="s">
        <v>171</v>
      </c>
      <c r="G405" s="75"/>
      <c r="H405" s="267" t="s">
        <v>103</v>
      </c>
      <c r="I405" s="48">
        <v>0</v>
      </c>
      <c r="J405" s="68">
        <v>0</v>
      </c>
      <c r="K405" s="49">
        <f t="shared" si="82"/>
        <v>0</v>
      </c>
      <c r="L405" s="61"/>
      <c r="M405" s="61"/>
      <c r="N405" s="61"/>
    </row>
    <row r="406" spans="1:14" ht="21.75" customHeight="1" x14ac:dyDescent="0.4">
      <c r="A406" s="55"/>
      <c r="B406" s="56"/>
      <c r="C406" s="56"/>
      <c r="D406" s="73"/>
      <c r="E406" s="75"/>
      <c r="F406" s="75"/>
      <c r="G406" s="76"/>
      <c r="H406" s="267" t="s">
        <v>15</v>
      </c>
      <c r="I406" s="48">
        <v>0</v>
      </c>
      <c r="J406" s="68">
        <v>0</v>
      </c>
      <c r="K406" s="49">
        <f t="shared" si="82"/>
        <v>0</v>
      </c>
      <c r="L406" s="61"/>
      <c r="M406" s="61"/>
      <c r="N406" s="61"/>
    </row>
    <row r="407" spans="1:14" ht="21.75" customHeight="1" x14ac:dyDescent="0.4">
      <c r="A407" s="55"/>
      <c r="B407" s="56"/>
      <c r="C407" s="56"/>
      <c r="D407" s="251"/>
      <c r="E407" s="251" t="s">
        <v>239</v>
      </c>
      <c r="F407" s="75"/>
      <c r="G407" s="76"/>
      <c r="H407" s="267" t="s">
        <v>103</v>
      </c>
      <c r="I407" s="48">
        <v>0</v>
      </c>
      <c r="J407" s="68">
        <v>0</v>
      </c>
      <c r="K407" s="49">
        <f t="shared" si="82"/>
        <v>0</v>
      </c>
      <c r="L407" s="61"/>
      <c r="M407" s="61"/>
      <c r="N407" s="61"/>
    </row>
    <row r="408" spans="1:14" ht="21.75" customHeight="1" x14ac:dyDescent="0.4">
      <c r="A408" s="55"/>
      <c r="B408" s="56"/>
      <c r="C408" s="56"/>
      <c r="D408" s="73"/>
      <c r="E408" s="75"/>
      <c r="F408" s="75"/>
      <c r="G408" s="76"/>
      <c r="H408" s="267" t="s">
        <v>15</v>
      </c>
      <c r="I408" s="48">
        <v>0</v>
      </c>
      <c r="J408" s="68">
        <v>0</v>
      </c>
      <c r="K408" s="49">
        <f t="shared" si="82"/>
        <v>0</v>
      </c>
      <c r="L408" s="61"/>
      <c r="M408" s="61"/>
      <c r="N408" s="61"/>
    </row>
    <row r="409" spans="1:14" ht="21.75" customHeight="1" x14ac:dyDescent="0.4">
      <c r="A409" s="55"/>
      <c r="B409" s="56"/>
      <c r="C409" s="261" t="s">
        <v>173</v>
      </c>
      <c r="D409" s="261"/>
      <c r="E409" s="285"/>
      <c r="F409" s="285"/>
      <c r="G409" s="286"/>
      <c r="H409" s="287" t="s">
        <v>103</v>
      </c>
      <c r="I409" s="137">
        <f ca="1">IFERROR(__xludf.DUMMYFUNCTION("IMPORTRANGE(""https://docs.google.com/spreadsheets/d/1C3CXT74ZlgGe6_JY_1olB1XN4rF0dxEuIIF-xsYjHgg/edit?usp=sharing"",""งบกองทุน!cz29"")"),0)</f>
        <v>0</v>
      </c>
      <c r="J409" s="137">
        <f ca="1">SUM(J412,J414)</f>
        <v>0</v>
      </c>
      <c r="K409" s="138">
        <f t="shared" ca="1" si="82"/>
        <v>0</v>
      </c>
      <c r="L409" s="61"/>
      <c r="M409" s="61"/>
      <c r="N409" s="61"/>
    </row>
    <row r="410" spans="1:14" ht="21.75" customHeight="1" x14ac:dyDescent="0.4">
      <c r="A410" s="55"/>
      <c r="B410" s="56"/>
      <c r="C410" s="288"/>
      <c r="D410" s="288"/>
      <c r="E410" s="288" t="s">
        <v>174</v>
      </c>
      <c r="F410" s="289"/>
      <c r="G410" s="290"/>
      <c r="H410" s="291" t="s">
        <v>103</v>
      </c>
      <c r="I410" s="150">
        <f ca="1">IFERROR(__xludf.DUMMYFUNCTION("IMPORTRANGE(""https://docs.google.com/spreadsheets/d/1C3CXT74ZlgGe6_JY_1olB1XN4rF0dxEuIIF-xsYjHgg/edit?usp=sharing"",""งบกองทุน!cz29"")"),0)</f>
        <v>0</v>
      </c>
      <c r="J410" s="150">
        <f t="shared" ref="J410:J411" ca="1" si="90">SUM(J412,J414)</f>
        <v>0</v>
      </c>
      <c r="K410" s="147">
        <f t="shared" ca="1" si="82"/>
        <v>0</v>
      </c>
      <c r="L410" s="61"/>
      <c r="M410" s="61"/>
      <c r="N410" s="61"/>
    </row>
    <row r="411" spans="1:14" ht="21.75" customHeight="1" x14ac:dyDescent="0.4">
      <c r="A411" s="55"/>
      <c r="B411" s="56"/>
      <c r="C411" s="288"/>
      <c r="D411" s="288"/>
      <c r="E411" s="288" t="s">
        <v>175</v>
      </c>
      <c r="F411" s="289"/>
      <c r="G411" s="290"/>
      <c r="H411" s="291" t="s">
        <v>15</v>
      </c>
      <c r="I411" s="150">
        <f ca="1">IFERROR(__xludf.DUMMYFUNCTION("IMPORTRANGE(""https://docs.google.com/spreadsheets/d/1C3CXT74ZlgGe6_JY_1olB1XN4rF0dxEuIIF-xsYjHgg/edit?usp=sharing"",""งบกองทุน!cy29"")"),0)</f>
        <v>0</v>
      </c>
      <c r="J411" s="150">
        <f t="shared" ca="1" si="90"/>
        <v>0</v>
      </c>
      <c r="K411" s="147">
        <f t="shared" ca="1" si="82"/>
        <v>0</v>
      </c>
      <c r="L411" s="61"/>
      <c r="M411" s="61"/>
      <c r="N411" s="61"/>
    </row>
    <row r="412" spans="1:14" ht="21.75" customHeight="1" x14ac:dyDescent="0.4">
      <c r="A412" s="55"/>
      <c r="B412" s="56"/>
      <c r="C412" s="56"/>
      <c r="D412" s="73"/>
      <c r="E412" s="75"/>
      <c r="F412" s="75"/>
      <c r="G412" s="99" t="s">
        <v>176</v>
      </c>
      <c r="H412" s="267" t="s">
        <v>103</v>
      </c>
      <c r="I412" s="48">
        <v>0</v>
      </c>
      <c r="J412" s="67">
        <f ca="1">IFERROR(__xludf.DUMMYFUNCTION("IMPORTRANGE(""https://docs.google.com/spreadsheets/d/1C3CXT74ZlgGe6_JY_1olB1XN4rF0dxEuIIF-xsYjHgg/edit?usp=sharing"",""งบกองทุน!db29"")"),0)</f>
        <v>0</v>
      </c>
      <c r="K412" s="49">
        <f t="shared" si="82"/>
        <v>0</v>
      </c>
      <c r="L412" s="61"/>
      <c r="M412" s="61"/>
      <c r="N412" s="61"/>
    </row>
    <row r="413" spans="1:14" ht="21.75" customHeight="1" x14ac:dyDescent="0.4">
      <c r="A413" s="55"/>
      <c r="B413" s="56"/>
      <c r="C413" s="56"/>
      <c r="D413" s="73"/>
      <c r="E413" s="75"/>
      <c r="F413" s="75"/>
      <c r="G413" s="76"/>
      <c r="H413" s="267" t="s">
        <v>15</v>
      </c>
      <c r="I413" s="48">
        <v>0</v>
      </c>
      <c r="J413" s="67">
        <f ca="1">IFERROR(__xludf.DUMMYFUNCTION("IMPORTRANGE(""https://docs.google.com/spreadsheets/d/1C3CXT74ZlgGe6_JY_1olB1XN4rF0dxEuIIF-xsYjHgg/edit?usp=sharing"",""งบกองทุน!da29"")"),0)</f>
        <v>0</v>
      </c>
      <c r="K413" s="49">
        <f t="shared" si="82"/>
        <v>0</v>
      </c>
      <c r="L413" s="61"/>
      <c r="M413" s="61"/>
      <c r="N413" s="61"/>
    </row>
    <row r="414" spans="1:14" ht="21.75" customHeight="1" x14ac:dyDescent="0.4">
      <c r="A414" s="55"/>
      <c r="B414" s="56"/>
      <c r="C414" s="56"/>
      <c r="D414" s="73"/>
      <c r="E414" s="75"/>
      <c r="F414" s="75"/>
      <c r="G414" s="99" t="s">
        <v>177</v>
      </c>
      <c r="H414" s="267" t="s">
        <v>103</v>
      </c>
      <c r="I414" s="48">
        <v>0</v>
      </c>
      <c r="J414" s="67">
        <f ca="1">IFERROR(__xludf.DUMMYFUNCTION("IMPORTRANGE(""https://docs.google.com/spreadsheets/d/1C3CXT74ZlgGe6_JY_1olB1XN4rF0dxEuIIF-xsYjHgg/edit?usp=sharing"",""งบกองทุน!dd29"")"),0)</f>
        <v>0</v>
      </c>
      <c r="K414" s="49">
        <f t="shared" si="82"/>
        <v>0</v>
      </c>
      <c r="L414" s="61"/>
      <c r="M414" s="61"/>
      <c r="N414" s="61"/>
    </row>
    <row r="415" spans="1:14" ht="21.75" customHeight="1" x14ac:dyDescent="0.4">
      <c r="A415" s="55"/>
      <c r="B415" s="56"/>
      <c r="C415" s="56"/>
      <c r="D415" s="73"/>
      <c r="E415" s="75"/>
      <c r="F415" s="75"/>
      <c r="G415" s="76"/>
      <c r="H415" s="267" t="s">
        <v>15</v>
      </c>
      <c r="I415" s="48">
        <v>0</v>
      </c>
      <c r="J415" s="67">
        <f ca="1">IFERROR(__xludf.DUMMYFUNCTION("IMPORTRANGE(""https://docs.google.com/spreadsheets/d/1C3CXT74ZlgGe6_JY_1olB1XN4rF0dxEuIIF-xsYjHgg/edit?usp=sharing"",""งบกองทุน!dc29"")"),0)</f>
        <v>0</v>
      </c>
      <c r="K415" s="49">
        <f t="shared" si="82"/>
        <v>0</v>
      </c>
      <c r="L415" s="61"/>
      <c r="M415" s="61"/>
      <c r="N415" s="61"/>
    </row>
    <row r="416" spans="1:14" ht="21.75" customHeight="1" x14ac:dyDescent="0.4">
      <c r="A416" s="55"/>
      <c r="B416" s="56"/>
      <c r="C416" s="56"/>
      <c r="D416" s="73"/>
      <c r="E416" s="75"/>
      <c r="F416" s="75"/>
      <c r="G416" s="99" t="s">
        <v>178</v>
      </c>
      <c r="H416" s="267" t="s">
        <v>103</v>
      </c>
      <c r="I416" s="48">
        <v>0</v>
      </c>
      <c r="J416" s="67">
        <f ca="1">IFERROR(__xludf.DUMMYFUNCTION("IMPORTRANGE(""https://docs.google.com/spreadsheets/d/1C3CXT74ZlgGe6_JY_1olB1XN4rF0dxEuIIF-xsYjHgg/edit?usp=sharing"",""งบกองทุน!df29"")"),0)</f>
        <v>0</v>
      </c>
      <c r="K416" s="49">
        <f t="shared" si="82"/>
        <v>0</v>
      </c>
      <c r="L416" s="61"/>
      <c r="M416" s="61"/>
      <c r="N416" s="61"/>
    </row>
    <row r="417" spans="1:14" ht="21.75" customHeight="1" x14ac:dyDescent="0.4">
      <c r="A417" s="55"/>
      <c r="B417" s="56"/>
      <c r="C417" s="56"/>
      <c r="D417" s="73"/>
      <c r="E417" s="75"/>
      <c r="F417" s="75"/>
      <c r="G417" s="76"/>
      <c r="H417" s="267" t="s">
        <v>15</v>
      </c>
      <c r="I417" s="48">
        <v>0</v>
      </c>
      <c r="J417" s="67">
        <f ca="1">IFERROR(__xludf.DUMMYFUNCTION("IMPORTRANGE(""https://docs.google.com/spreadsheets/d/1C3CXT74ZlgGe6_JY_1olB1XN4rF0dxEuIIF-xsYjHgg/edit?usp=sharing"",""งบกองทุน!de29"")"),0)</f>
        <v>0</v>
      </c>
      <c r="K417" s="49">
        <f t="shared" si="82"/>
        <v>0</v>
      </c>
      <c r="L417" s="61"/>
      <c r="M417" s="61"/>
      <c r="N417" s="61"/>
    </row>
    <row r="418" spans="1:14" ht="21.75" customHeight="1" x14ac:dyDescent="0.4">
      <c r="A418" s="55"/>
      <c r="B418" s="56"/>
      <c r="C418" s="288"/>
      <c r="D418" s="288"/>
      <c r="E418" s="288" t="s">
        <v>179</v>
      </c>
      <c r="F418" s="289"/>
      <c r="G418" s="290"/>
      <c r="H418" s="291" t="s">
        <v>103</v>
      </c>
      <c r="I418" s="150">
        <f t="shared" ref="I418:I419" ca="1" si="91">J416</f>
        <v>0</v>
      </c>
      <c r="J418" s="150">
        <f t="shared" ref="J418:J419" si="92">SUM(J420,J422,J424)</f>
        <v>0</v>
      </c>
      <c r="K418" s="147">
        <f t="shared" ca="1" si="82"/>
        <v>0</v>
      </c>
      <c r="L418" s="61"/>
      <c r="M418" s="61"/>
      <c r="N418" s="61"/>
    </row>
    <row r="419" spans="1:14" ht="21.75" customHeight="1" x14ac:dyDescent="0.4">
      <c r="A419" s="55"/>
      <c r="B419" s="56"/>
      <c r="C419" s="288"/>
      <c r="D419" s="288"/>
      <c r="E419" s="288" t="s">
        <v>180</v>
      </c>
      <c r="F419" s="289"/>
      <c r="G419" s="290"/>
      <c r="H419" s="291" t="s">
        <v>15</v>
      </c>
      <c r="I419" s="150">
        <f t="shared" ca="1" si="91"/>
        <v>0</v>
      </c>
      <c r="J419" s="150">
        <f t="shared" si="92"/>
        <v>0</v>
      </c>
      <c r="K419" s="147">
        <f t="shared" ca="1" si="82"/>
        <v>0</v>
      </c>
      <c r="L419" s="61"/>
      <c r="M419" s="61"/>
      <c r="N419" s="61"/>
    </row>
    <row r="420" spans="1:14" ht="21.75" customHeight="1" x14ac:dyDescent="0.4">
      <c r="A420" s="55"/>
      <c r="B420" s="56"/>
      <c r="C420" s="56"/>
      <c r="D420" s="73"/>
      <c r="E420" s="75"/>
      <c r="F420" s="75"/>
      <c r="G420" s="99" t="s">
        <v>176</v>
      </c>
      <c r="H420" s="267" t="s">
        <v>103</v>
      </c>
      <c r="I420" s="48">
        <v>0</v>
      </c>
      <c r="J420" s="68">
        <v>0</v>
      </c>
      <c r="K420" s="49">
        <f t="shared" si="82"/>
        <v>0</v>
      </c>
      <c r="L420" s="61"/>
      <c r="M420" s="61"/>
      <c r="N420" s="61"/>
    </row>
    <row r="421" spans="1:14" ht="21.75" customHeight="1" x14ac:dyDescent="0.4">
      <c r="A421" s="55"/>
      <c r="B421" s="56"/>
      <c r="C421" s="56"/>
      <c r="D421" s="73"/>
      <c r="E421" s="75"/>
      <c r="F421" s="75"/>
      <c r="G421" s="76"/>
      <c r="H421" s="267" t="s">
        <v>15</v>
      </c>
      <c r="I421" s="48">
        <v>0</v>
      </c>
      <c r="J421" s="68">
        <v>0</v>
      </c>
      <c r="K421" s="49">
        <f t="shared" si="82"/>
        <v>0</v>
      </c>
      <c r="L421" s="61"/>
      <c r="M421" s="61"/>
      <c r="N421" s="61"/>
    </row>
    <row r="422" spans="1:14" ht="21.75" customHeight="1" x14ac:dyDescent="0.4">
      <c r="A422" s="55"/>
      <c r="B422" s="56"/>
      <c r="C422" s="56"/>
      <c r="D422" s="73"/>
      <c r="E422" s="75"/>
      <c r="F422" s="75"/>
      <c r="G422" s="99" t="s">
        <v>177</v>
      </c>
      <c r="H422" s="267" t="s">
        <v>103</v>
      </c>
      <c r="I422" s="48">
        <v>0</v>
      </c>
      <c r="J422" s="68">
        <v>0</v>
      </c>
      <c r="K422" s="49">
        <f t="shared" si="82"/>
        <v>0</v>
      </c>
      <c r="L422" s="61"/>
      <c r="M422" s="61"/>
      <c r="N422" s="61"/>
    </row>
    <row r="423" spans="1:14" ht="21.75" customHeight="1" x14ac:dyDescent="0.4">
      <c r="A423" s="55"/>
      <c r="B423" s="56"/>
      <c r="C423" s="56"/>
      <c r="D423" s="73"/>
      <c r="E423" s="75"/>
      <c r="F423" s="75"/>
      <c r="G423" s="76"/>
      <c r="H423" s="267" t="s">
        <v>15</v>
      </c>
      <c r="I423" s="48">
        <v>0</v>
      </c>
      <c r="J423" s="68">
        <v>0</v>
      </c>
      <c r="K423" s="49">
        <f t="shared" si="82"/>
        <v>0</v>
      </c>
      <c r="L423" s="61"/>
      <c r="M423" s="61"/>
      <c r="N423" s="61"/>
    </row>
    <row r="424" spans="1:14" ht="21.75" customHeight="1" x14ac:dyDescent="0.4">
      <c r="A424" s="55"/>
      <c r="B424" s="56"/>
      <c r="C424" s="56"/>
      <c r="D424" s="73"/>
      <c r="E424" s="75"/>
      <c r="F424" s="75"/>
      <c r="G424" s="99" t="s">
        <v>181</v>
      </c>
      <c r="H424" s="267" t="s">
        <v>103</v>
      </c>
      <c r="I424" s="48">
        <v>0</v>
      </c>
      <c r="J424" s="68">
        <v>0</v>
      </c>
      <c r="K424" s="49">
        <f t="shared" si="82"/>
        <v>0</v>
      </c>
      <c r="L424" s="61"/>
      <c r="M424" s="61"/>
      <c r="N424" s="61"/>
    </row>
    <row r="425" spans="1:14" ht="21.75" customHeight="1" x14ac:dyDescent="0.4">
      <c r="A425" s="292"/>
      <c r="B425" s="293"/>
      <c r="C425" s="293"/>
      <c r="D425" s="294"/>
      <c r="E425" s="295"/>
      <c r="F425" s="295"/>
      <c r="G425" s="296"/>
      <c r="H425" s="297" t="s">
        <v>15</v>
      </c>
      <c r="I425" s="298">
        <v>0</v>
      </c>
      <c r="J425" s="299">
        <v>0</v>
      </c>
      <c r="K425" s="309">
        <f t="shared" si="82"/>
        <v>0</v>
      </c>
      <c r="L425" s="300"/>
      <c r="M425" s="300"/>
      <c r="N425" s="300"/>
    </row>
    <row r="426" spans="1:14" ht="21.75" customHeight="1" x14ac:dyDescent="0.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3">I440</f>
        <v>22</v>
      </c>
      <c r="J426" s="257">
        <f t="shared" si="93"/>
        <v>22</v>
      </c>
      <c r="K426" s="258">
        <f ca="1">IF(I426&gt;0,J426*100/I426,0)</f>
        <v>100</v>
      </c>
      <c r="L426" s="259">
        <f t="shared" ref="L426:M426" ca="1" si="94">SUM(L427:L428)</f>
        <v>34340</v>
      </c>
      <c r="M426" s="259">
        <f t="shared" si="94"/>
        <v>17161</v>
      </c>
      <c r="N426" s="259">
        <f t="shared" ref="N426:N430" ca="1" si="95">+IF(L426&gt;0,M426*100/L426,0)</f>
        <v>49.973791496796736</v>
      </c>
    </row>
    <row r="427" spans="1:14" ht="21.75" customHeight="1" x14ac:dyDescent="0.4">
      <c r="A427" s="42"/>
      <c r="B427" s="43"/>
      <c r="C427" s="43" t="s">
        <v>17</v>
      </c>
      <c r="D427" s="44" t="s">
        <v>18</v>
      </c>
      <c r="E427" s="45"/>
      <c r="F427" s="45"/>
      <c r="G427" s="46" t="s">
        <v>19</v>
      </c>
      <c r="H427" s="47" t="s">
        <v>20</v>
      </c>
      <c r="I427" s="48" t="s">
        <v>21</v>
      </c>
      <c r="J427" s="48"/>
      <c r="K427" s="49"/>
      <c r="L427" s="50">
        <v>0</v>
      </c>
      <c r="M427" s="53">
        <v>0</v>
      </c>
      <c r="N427" s="53">
        <f t="shared" si="95"/>
        <v>0</v>
      </c>
    </row>
    <row r="428" spans="1:14" ht="21.75" customHeight="1" x14ac:dyDescent="0.4">
      <c r="A428" s="42"/>
      <c r="B428" s="43"/>
      <c r="C428" s="43"/>
      <c r="D428" s="51"/>
      <c r="E428" s="45"/>
      <c r="F428" s="45" t="s">
        <v>21</v>
      </c>
      <c r="G428" s="46" t="s">
        <v>22</v>
      </c>
      <c r="H428" s="47" t="s">
        <v>20</v>
      </c>
      <c r="I428" s="48"/>
      <c r="J428" s="48"/>
      <c r="K428" s="49"/>
      <c r="L428" s="50">
        <f t="shared" ref="L428:M428" ca="1" si="96">SUM(L429:L430)</f>
        <v>34340</v>
      </c>
      <c r="M428" s="53">
        <f t="shared" si="96"/>
        <v>17161</v>
      </c>
      <c r="N428" s="53">
        <f t="shared" ca="1" si="95"/>
        <v>49.973791496796736</v>
      </c>
    </row>
    <row r="429" spans="1:14" ht="21.75" customHeight="1" x14ac:dyDescent="0.4">
      <c r="A429" s="42"/>
      <c r="B429" s="43"/>
      <c r="C429" s="43"/>
      <c r="D429" s="51"/>
      <c r="E429" s="45"/>
      <c r="F429" s="45"/>
      <c r="G429" s="52" t="s">
        <v>110</v>
      </c>
      <c r="H429" s="47" t="s">
        <v>20</v>
      </c>
      <c r="I429" s="48"/>
      <c r="J429" s="48"/>
      <c r="K429" s="49"/>
      <c r="L429" s="53">
        <f ca="1">IFERROR(__xludf.DUMMYFUNCTION("IMPORTRANGE(""https://docs.google.com/spreadsheets/d/1C3CXT74ZlgGe6_JY_1olB1XN4rF0dxEuIIF-xsYjHgg/edit?usp=sharing"",""งบกองทุน!dn29"")"),0)</f>
        <v>0</v>
      </c>
      <c r="M429" s="53">
        <v>0</v>
      </c>
      <c r="N429" s="53">
        <f t="shared" ca="1" si="95"/>
        <v>0</v>
      </c>
    </row>
    <row r="430" spans="1:14" ht="21.75" customHeight="1" x14ac:dyDescent="0.4">
      <c r="A430" s="42"/>
      <c r="B430" s="43"/>
      <c r="C430" s="43"/>
      <c r="D430" s="51"/>
      <c r="E430" s="45"/>
      <c r="F430" s="45"/>
      <c r="G430" s="52" t="s">
        <v>111</v>
      </c>
      <c r="H430" s="47" t="s">
        <v>20</v>
      </c>
      <c r="I430" s="48"/>
      <c r="J430" s="48"/>
      <c r="K430" s="49"/>
      <c r="L430" s="53">
        <f ca="1">IFERROR(__xludf.DUMMYFUNCTION("IMPORTRANGE(""https://docs.google.com/spreadsheets/d/1C3CXT74ZlgGe6_JY_1olB1XN4rF0dxEuIIF-xsYjHgg/edit?usp=sharing"",""งบกองทุน!do29"")"),34340)</f>
        <v>34340</v>
      </c>
      <c r="M430" s="53">
        <f>SUM(M431:M434)</f>
        <v>17161</v>
      </c>
      <c r="N430" s="53">
        <f t="shared" ca="1" si="95"/>
        <v>49.973791496796736</v>
      </c>
    </row>
    <row r="431" spans="1:14" ht="21.75" customHeight="1" x14ac:dyDescent="0.4">
      <c r="A431" s="230"/>
      <c r="B431" s="231"/>
      <c r="C431" s="43"/>
      <c r="D431" s="232"/>
      <c r="E431" s="45"/>
      <c r="F431" s="45"/>
      <c r="G431" s="46" t="s">
        <v>112</v>
      </c>
      <c r="H431" s="47" t="s">
        <v>20</v>
      </c>
      <c r="I431" s="67"/>
      <c r="J431" s="67"/>
      <c r="K431" s="233"/>
      <c r="L431" s="53"/>
      <c r="M431" s="54">
        <v>17161</v>
      </c>
      <c r="N431" s="53"/>
    </row>
    <row r="432" spans="1:14" ht="21.75" customHeight="1" x14ac:dyDescent="0.4">
      <c r="A432" s="230"/>
      <c r="B432" s="231"/>
      <c r="C432" s="43"/>
      <c r="D432" s="232"/>
      <c r="E432" s="45"/>
      <c r="F432" s="45"/>
      <c r="G432" s="46" t="s">
        <v>113</v>
      </c>
      <c r="H432" s="47" t="s">
        <v>20</v>
      </c>
      <c r="I432" s="67"/>
      <c r="J432" s="67"/>
      <c r="K432" s="233"/>
      <c r="L432" s="53"/>
      <c r="M432" s="54">
        <v>0</v>
      </c>
      <c r="N432" s="53"/>
    </row>
    <row r="433" spans="1:14" ht="21.75" customHeight="1" x14ac:dyDescent="0.4">
      <c r="A433" s="230"/>
      <c r="B433" s="231"/>
      <c r="C433" s="43"/>
      <c r="D433" s="232"/>
      <c r="E433" s="45"/>
      <c r="F433" s="45"/>
      <c r="G433" s="46" t="s">
        <v>114</v>
      </c>
      <c r="H433" s="47" t="s">
        <v>20</v>
      </c>
      <c r="I433" s="67"/>
      <c r="J433" s="67"/>
      <c r="K433" s="233"/>
      <c r="L433" s="53"/>
      <c r="M433" s="54">
        <v>0</v>
      </c>
      <c r="N433" s="53"/>
    </row>
    <row r="434" spans="1:14" ht="21.75" customHeight="1" x14ac:dyDescent="0.4">
      <c r="A434" s="230"/>
      <c r="B434" s="231"/>
      <c r="C434" s="43"/>
      <c r="D434" s="232"/>
      <c r="E434" s="45"/>
      <c r="F434" s="45"/>
      <c r="G434" s="46" t="s">
        <v>115</v>
      </c>
      <c r="H434" s="47" t="s">
        <v>20</v>
      </c>
      <c r="I434" s="67"/>
      <c r="J434" s="67"/>
      <c r="K434" s="233"/>
      <c r="L434" s="53"/>
      <c r="M434" s="54">
        <v>0</v>
      </c>
      <c r="N434" s="53"/>
    </row>
    <row r="435" spans="1:14" ht="21.75" customHeight="1" x14ac:dyDescent="0.4">
      <c r="A435" s="55"/>
      <c r="B435" s="56"/>
      <c r="C435" s="43" t="s">
        <v>17</v>
      </c>
      <c r="D435" s="57" t="s">
        <v>25</v>
      </c>
      <c r="E435" s="58"/>
      <c r="F435" s="58"/>
      <c r="G435" s="59"/>
      <c r="H435" s="60"/>
      <c r="I435" s="48"/>
      <c r="J435" s="48"/>
      <c r="K435" s="49"/>
      <c r="L435" s="61"/>
      <c r="M435" s="61"/>
      <c r="N435" s="61"/>
    </row>
    <row r="436" spans="1:14" ht="21.75" customHeight="1" x14ac:dyDescent="0.4">
      <c r="A436" s="55"/>
      <c r="B436" s="56"/>
      <c r="C436" s="56"/>
      <c r="D436" s="62">
        <v>1</v>
      </c>
      <c r="E436" s="63" t="s">
        <v>26</v>
      </c>
      <c r="F436" s="64"/>
      <c r="G436" s="65"/>
      <c r="H436" s="66"/>
      <c r="I436" s="67"/>
      <c r="J436" s="68">
        <v>0</v>
      </c>
      <c r="K436" s="49"/>
      <c r="L436" s="61"/>
      <c r="M436" s="61"/>
      <c r="N436" s="61"/>
    </row>
    <row r="437" spans="1:14" ht="21.75" customHeight="1" x14ac:dyDescent="0.4">
      <c r="A437" s="55"/>
      <c r="B437" s="56"/>
      <c r="C437" s="56"/>
      <c r="D437" s="69">
        <v>2</v>
      </c>
      <c r="E437" s="70" t="s">
        <v>27</v>
      </c>
      <c r="F437" s="71"/>
      <c r="G437" s="72"/>
      <c r="H437" s="66"/>
      <c r="I437" s="67"/>
      <c r="J437" s="68">
        <v>1</v>
      </c>
      <c r="K437" s="49"/>
      <c r="L437" s="61" t="s">
        <v>21</v>
      </c>
      <c r="M437" s="61" t="s">
        <v>21</v>
      </c>
      <c r="N437" s="61"/>
    </row>
    <row r="438" spans="1:14" ht="21.75" customHeight="1" x14ac:dyDescent="0.4">
      <c r="A438" s="55"/>
      <c r="B438" s="56"/>
      <c r="C438" s="56"/>
      <c r="D438" s="73"/>
      <c r="E438" s="74" t="s">
        <v>28</v>
      </c>
      <c r="F438" s="75"/>
      <c r="G438" s="76"/>
      <c r="H438" s="66"/>
      <c r="I438" s="67"/>
      <c r="J438" s="68">
        <v>1</v>
      </c>
      <c r="K438" s="49"/>
      <c r="L438" s="61"/>
      <c r="M438" s="61"/>
      <c r="N438" s="61"/>
    </row>
    <row r="439" spans="1:14" ht="21.75" customHeight="1" x14ac:dyDescent="0.4">
      <c r="A439" s="55"/>
      <c r="B439" s="56"/>
      <c r="C439" s="56"/>
      <c r="D439" s="73"/>
      <c r="E439" s="74" t="s">
        <v>29</v>
      </c>
      <c r="F439" s="75"/>
      <c r="G439" s="76"/>
      <c r="H439" s="66"/>
      <c r="I439" s="67"/>
      <c r="J439" s="68">
        <v>1</v>
      </c>
      <c r="K439" s="49"/>
      <c r="L439" s="61"/>
      <c r="M439" s="61"/>
      <c r="N439" s="61"/>
    </row>
    <row r="440" spans="1:14" ht="21.75" customHeight="1" x14ac:dyDescent="0.4">
      <c r="A440" s="55"/>
      <c r="B440" s="56"/>
      <c r="C440" s="56"/>
      <c r="D440" s="73"/>
      <c r="E440" s="77"/>
      <c r="F440" s="75"/>
      <c r="G440" s="99" t="s">
        <v>183</v>
      </c>
      <c r="H440" s="66" t="s">
        <v>16</v>
      </c>
      <c r="I440" s="200">
        <f ca="1">IFERROR(__xludf.DUMMYFUNCTION("IMPORTRANGE(""https://docs.google.com/spreadsheets/d/1C3CXT74ZlgGe6_JY_1olB1XN4rF0dxEuIIF-xsYjHgg/edit?usp=sharing"",""งบกองทุน!dq29"")"),22)</f>
        <v>22</v>
      </c>
      <c r="J440" s="68">
        <v>22</v>
      </c>
      <c r="K440" s="49">
        <f t="shared" ref="K440:K441" ca="1" si="97">IF(I440&gt;0,J440*100/I440,0)</f>
        <v>100</v>
      </c>
      <c r="L440" s="61"/>
      <c r="M440" s="61"/>
      <c r="N440" s="61"/>
    </row>
    <row r="441" spans="1:14" ht="21.75" hidden="1" customHeight="1" x14ac:dyDescent="0.4">
      <c r="A441" s="55"/>
      <c r="B441" s="56"/>
      <c r="C441" s="56"/>
      <c r="D441" s="73"/>
      <c r="E441" s="77"/>
      <c r="F441" s="75"/>
      <c r="G441" s="99" t="s">
        <v>184</v>
      </c>
      <c r="H441" s="66" t="s">
        <v>16</v>
      </c>
      <c r="I441" s="200">
        <f ca="1">IFERROR(__xludf.DUMMYFUNCTION("IMPORTRANGE(""https://docs.google.com/spreadsheets/d/1C3CXT74ZlgGe6_JY_1olB1XN4rF0dxEuIIF-xsYjHgg/edit?usp=sharing"",""งบกองทุน!dr29"")"),22)</f>
        <v>22</v>
      </c>
      <c r="J441" s="68">
        <v>0</v>
      </c>
      <c r="K441" s="49">
        <f t="shared" ca="1" si="97"/>
        <v>0</v>
      </c>
      <c r="L441" s="61"/>
      <c r="M441" s="61"/>
      <c r="N441" s="61"/>
    </row>
    <row r="442" spans="1:14" ht="21.75" customHeight="1" x14ac:dyDescent="0.4">
      <c r="A442" s="55"/>
      <c r="B442" s="56"/>
      <c r="C442" s="56"/>
      <c r="D442" s="73"/>
      <c r="E442" s="74" t="s">
        <v>35</v>
      </c>
      <c r="F442" s="75"/>
      <c r="G442" s="76"/>
      <c r="H442" s="66"/>
      <c r="I442" s="67"/>
      <c r="J442" s="68">
        <v>0</v>
      </c>
      <c r="K442" s="49"/>
      <c r="L442" s="61"/>
      <c r="M442" s="61"/>
      <c r="N442" s="61"/>
    </row>
    <row r="443" spans="1:14" ht="21.75" customHeight="1" x14ac:dyDescent="0.4">
      <c r="A443" s="292"/>
      <c r="B443" s="293"/>
      <c r="C443" s="293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309"/>
      <c r="L443" s="300"/>
      <c r="M443" s="300"/>
      <c r="N443" s="300"/>
    </row>
    <row r="444" spans="1:14" ht="21.75" customHeight="1" x14ac:dyDescent="0.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8">SUM(I453,I455)</f>
        <v>0</v>
      </c>
      <c r="J444" s="257">
        <f t="shared" si="98"/>
        <v>0</v>
      </c>
      <c r="K444" s="258">
        <f ca="1">IF(I444&gt;0,J444*100/I444,0)</f>
        <v>0</v>
      </c>
      <c r="L444" s="259">
        <f t="shared" ref="L444:M444" ca="1" si="99">SUM(L445:L446)</f>
        <v>0</v>
      </c>
      <c r="M444" s="259">
        <f t="shared" si="99"/>
        <v>0</v>
      </c>
      <c r="N444" s="259">
        <f t="shared" ref="N444:N448" ca="1" si="100">+IF(L444&gt;0,M444*100/L444,0)</f>
        <v>0</v>
      </c>
    </row>
    <row r="445" spans="1:14" ht="21.75" customHeight="1" x14ac:dyDescent="0.4">
      <c r="A445" s="42"/>
      <c r="B445" s="43"/>
      <c r="C445" s="43" t="s">
        <v>17</v>
      </c>
      <c r="D445" s="44" t="s">
        <v>18</v>
      </c>
      <c r="E445" s="45"/>
      <c r="F445" s="45"/>
      <c r="G445" s="46" t="s">
        <v>19</v>
      </c>
      <c r="H445" s="47" t="s">
        <v>20</v>
      </c>
      <c r="I445" s="48" t="s">
        <v>21</v>
      </c>
      <c r="J445" s="48"/>
      <c r="K445" s="49"/>
      <c r="L445" s="50">
        <v>0</v>
      </c>
      <c r="M445" s="53">
        <v>0</v>
      </c>
      <c r="N445" s="53">
        <f t="shared" si="100"/>
        <v>0</v>
      </c>
    </row>
    <row r="446" spans="1:14" ht="21.75" customHeight="1" x14ac:dyDescent="0.4">
      <c r="A446" s="42"/>
      <c r="B446" s="43"/>
      <c r="C446" s="43"/>
      <c r="D446" s="51"/>
      <c r="E446" s="45"/>
      <c r="F446" s="45" t="s">
        <v>21</v>
      </c>
      <c r="G446" s="46" t="s">
        <v>22</v>
      </c>
      <c r="H446" s="47" t="s">
        <v>20</v>
      </c>
      <c r="I446" s="48"/>
      <c r="J446" s="48"/>
      <c r="K446" s="49"/>
      <c r="L446" s="50">
        <f t="shared" ref="L446:M446" ca="1" si="101">SUM(L447:L448)</f>
        <v>0</v>
      </c>
      <c r="M446" s="53">
        <f t="shared" si="101"/>
        <v>0</v>
      </c>
      <c r="N446" s="53">
        <f t="shared" ca="1" si="100"/>
        <v>0</v>
      </c>
    </row>
    <row r="447" spans="1:14" ht="21.75" customHeight="1" x14ac:dyDescent="0.4">
      <c r="A447" s="42"/>
      <c r="B447" s="43"/>
      <c r="C447" s="43"/>
      <c r="D447" s="51"/>
      <c r="E447" s="45"/>
      <c r="F447" s="45"/>
      <c r="G447" s="52" t="s">
        <v>110</v>
      </c>
      <c r="H447" s="47" t="s">
        <v>20</v>
      </c>
      <c r="I447" s="48"/>
      <c r="J447" s="48"/>
      <c r="K447" s="49"/>
      <c r="L447" s="53">
        <f ca="1">IFERROR(__xludf.DUMMYFUNCTION("IMPORTRANGE(""https://docs.google.com/spreadsheets/d/1C3CXT74ZlgGe6_JY_1olB1XN4rF0dxEuIIF-xsYjHgg/edit?usp=sharing"",""งบกองทุน!dt29"")"),0)</f>
        <v>0</v>
      </c>
      <c r="M447" s="53">
        <v>0</v>
      </c>
      <c r="N447" s="53">
        <f t="shared" ca="1" si="100"/>
        <v>0</v>
      </c>
    </row>
    <row r="448" spans="1:14" ht="21.75" customHeight="1" x14ac:dyDescent="0.4">
      <c r="A448" s="42"/>
      <c r="B448" s="43"/>
      <c r="C448" s="43"/>
      <c r="D448" s="51"/>
      <c r="E448" s="45"/>
      <c r="F448" s="45"/>
      <c r="G448" s="52" t="s">
        <v>111</v>
      </c>
      <c r="H448" s="47" t="s">
        <v>20</v>
      </c>
      <c r="I448" s="48"/>
      <c r="J448" s="48"/>
      <c r="K448" s="49"/>
      <c r="L448" s="53">
        <f ca="1">IFERROR(__xludf.DUMMYFUNCTION("IMPORTRANGE(""https://docs.google.com/spreadsheets/d/1C3CXT74ZlgGe6_JY_1olB1XN4rF0dxEuIIF-xsYjHgg/edit?usp=sharing"",""งบกองทุน!du29"")"),0)</f>
        <v>0</v>
      </c>
      <c r="M448" s="53">
        <f>SUM(M449:M452)</f>
        <v>0</v>
      </c>
      <c r="N448" s="53">
        <f t="shared" ca="1" si="100"/>
        <v>0</v>
      </c>
    </row>
    <row r="449" spans="1:14" ht="21.75" customHeight="1" x14ac:dyDescent="0.4">
      <c r="A449" s="230"/>
      <c r="B449" s="231"/>
      <c r="C449" s="43"/>
      <c r="D449" s="232"/>
      <c r="E449" s="45"/>
      <c r="F449" s="45"/>
      <c r="G449" s="46" t="s">
        <v>112</v>
      </c>
      <c r="H449" s="47" t="s">
        <v>20</v>
      </c>
      <c r="I449" s="67"/>
      <c r="J449" s="67"/>
      <c r="K449" s="233"/>
      <c r="L449" s="53"/>
      <c r="M449" s="53">
        <v>0</v>
      </c>
      <c r="N449" s="53"/>
    </row>
    <row r="450" spans="1:14" ht="21.75" customHeight="1" x14ac:dyDescent="0.4">
      <c r="A450" s="230"/>
      <c r="B450" s="231"/>
      <c r="C450" s="43"/>
      <c r="D450" s="232"/>
      <c r="E450" s="45"/>
      <c r="F450" s="45"/>
      <c r="G450" s="46" t="s">
        <v>113</v>
      </c>
      <c r="H450" s="47" t="s">
        <v>20</v>
      </c>
      <c r="I450" s="67"/>
      <c r="J450" s="67"/>
      <c r="K450" s="233"/>
      <c r="L450" s="53"/>
      <c r="M450" s="53">
        <v>0</v>
      </c>
      <c r="N450" s="53"/>
    </row>
    <row r="451" spans="1:14" ht="21.75" customHeight="1" x14ac:dyDescent="0.4">
      <c r="A451" s="230"/>
      <c r="B451" s="231"/>
      <c r="C451" s="43"/>
      <c r="D451" s="232"/>
      <c r="E451" s="45"/>
      <c r="F451" s="45"/>
      <c r="G451" s="46" t="s">
        <v>114</v>
      </c>
      <c r="H451" s="47" t="s">
        <v>20</v>
      </c>
      <c r="I451" s="67"/>
      <c r="J451" s="67"/>
      <c r="K451" s="233"/>
      <c r="L451" s="53"/>
      <c r="M451" s="53">
        <v>0</v>
      </c>
      <c r="N451" s="53"/>
    </row>
    <row r="452" spans="1:14" ht="21.75" customHeight="1" x14ac:dyDescent="0.4">
      <c r="A452" s="230"/>
      <c r="B452" s="231"/>
      <c r="C452" s="43"/>
      <c r="D452" s="232"/>
      <c r="E452" s="45"/>
      <c r="F452" s="45"/>
      <c r="G452" s="46" t="s">
        <v>115</v>
      </c>
      <c r="H452" s="47" t="s">
        <v>20</v>
      </c>
      <c r="I452" s="67"/>
      <c r="J452" s="67"/>
      <c r="K452" s="233"/>
      <c r="L452" s="53"/>
      <c r="M452" s="53">
        <v>0</v>
      </c>
      <c r="N452" s="53"/>
    </row>
    <row r="453" spans="1:14" ht="21.75" customHeight="1" x14ac:dyDescent="0.4">
      <c r="A453" s="55"/>
      <c r="B453" s="56"/>
      <c r="C453" s="56"/>
      <c r="D453" s="73"/>
      <c r="E453" s="75"/>
      <c r="F453" s="75" t="s">
        <v>186</v>
      </c>
      <c r="G453" s="76"/>
      <c r="H453" s="315" t="s">
        <v>103</v>
      </c>
      <c r="I453" s="48">
        <f ca="1">IFERROR(__xludf.DUMMYFUNCTION("IMPORTRANGE(""https://docs.google.com/spreadsheets/d/1C3CXT74ZlgGe6_JY_1olB1XN4rF0dxEuIIF-xsYjHgg/edit?usp=sharing"",""งบกองทุน!dw29"")"),0)</f>
        <v>0</v>
      </c>
      <c r="J453" s="67">
        <v>0</v>
      </c>
      <c r="K453" s="233">
        <f t="shared" ref="K453:K457" ca="1" si="102">IF(I453&gt;0,J453*100/I453,0)</f>
        <v>0</v>
      </c>
      <c r="L453" s="53"/>
      <c r="M453" s="53"/>
      <c r="N453" s="61"/>
    </row>
    <row r="454" spans="1:14" ht="21.75" customHeight="1" x14ac:dyDescent="0.4">
      <c r="A454" s="55"/>
      <c r="B454" s="56"/>
      <c r="C454" s="56"/>
      <c r="D454" s="73"/>
      <c r="E454" s="75"/>
      <c r="F454" s="75"/>
      <c r="G454" s="76"/>
      <c r="H454" s="315" t="s">
        <v>15</v>
      </c>
      <c r="I454" s="48">
        <f ca="1">IFERROR(__xludf.DUMMYFUNCTION("IMPORTRANGE(""https://docs.google.com/spreadsheets/d/1C3CXT74ZlgGe6_JY_1olB1XN4rF0dxEuIIF-xsYjHgg/edit?usp=sharing"",""งบกองทุน!dx29"")"),0)</f>
        <v>0</v>
      </c>
      <c r="J454" s="67">
        <v>0</v>
      </c>
      <c r="K454" s="233">
        <f t="shared" ca="1" si="102"/>
        <v>0</v>
      </c>
      <c r="L454" s="53"/>
      <c r="M454" s="53"/>
      <c r="N454" s="61"/>
    </row>
    <row r="455" spans="1:14" ht="21.75" customHeight="1" x14ac:dyDescent="0.4">
      <c r="A455" s="55"/>
      <c r="B455" s="56"/>
      <c r="C455" s="56"/>
      <c r="D455" s="73"/>
      <c r="E455" s="75"/>
      <c r="F455" s="75" t="s">
        <v>187</v>
      </c>
      <c r="G455" s="76"/>
      <c r="H455" s="315" t="s">
        <v>103</v>
      </c>
      <c r="I455" s="48">
        <f ca="1">IFERROR(__xludf.DUMMYFUNCTION("IMPORTRANGE(""https://docs.google.com/spreadsheets/d/1C3CXT74ZlgGe6_JY_1olB1XN4rF0dxEuIIF-xsYjHgg/edit?usp=sharing"",""งบกองทุน!dy29"")"),0)</f>
        <v>0</v>
      </c>
      <c r="J455" s="67">
        <v>0</v>
      </c>
      <c r="K455" s="49">
        <f t="shared" ca="1" si="102"/>
        <v>0</v>
      </c>
      <c r="L455" s="61"/>
      <c r="M455" s="61"/>
      <c r="N455" s="61"/>
    </row>
    <row r="456" spans="1:14" ht="21.75" customHeight="1" x14ac:dyDescent="0.4">
      <c r="A456" s="55"/>
      <c r="B456" s="56"/>
      <c r="C456" s="56"/>
      <c r="D456" s="73"/>
      <c r="E456" s="75"/>
      <c r="F456" s="75"/>
      <c r="G456" s="76"/>
      <c r="H456" s="315" t="s">
        <v>15</v>
      </c>
      <c r="I456" s="48">
        <f ca="1">IFERROR(__xludf.DUMMYFUNCTION("IMPORTRANGE(""https://docs.google.com/spreadsheets/d/1C3CXT74ZlgGe6_JY_1olB1XN4rF0dxEuIIF-xsYjHgg/edit?usp=sharing"",""งบกองทุน!dz29"")"),0)</f>
        <v>0</v>
      </c>
      <c r="J456" s="67">
        <v>0</v>
      </c>
      <c r="K456" s="49">
        <f t="shared" ca="1" si="102"/>
        <v>0</v>
      </c>
      <c r="L456" s="61"/>
      <c r="M456" s="61"/>
      <c r="N456" s="61"/>
    </row>
    <row r="457" spans="1:14" ht="21.75" customHeight="1" x14ac:dyDescent="0.4">
      <c r="A457" s="222"/>
      <c r="B457" s="223">
        <v>8</v>
      </c>
      <c r="C457" s="224" t="s">
        <v>188</v>
      </c>
      <c r="D457" s="224"/>
      <c r="E457" s="224"/>
      <c r="F457" s="224"/>
      <c r="G457" s="225"/>
      <c r="H457" s="226" t="s">
        <v>16</v>
      </c>
      <c r="I457" s="227">
        <f ca="1">I466</f>
        <v>3850</v>
      </c>
      <c r="J457" s="227">
        <f>+J466</f>
        <v>2236</v>
      </c>
      <c r="K457" s="228">
        <f t="shared" ca="1" si="102"/>
        <v>58.077922077922075</v>
      </c>
      <c r="L457" s="229">
        <f t="shared" ref="L457:M457" ca="1" si="103">SUM(L458:L459)</f>
        <v>157200</v>
      </c>
      <c r="M457" s="229">
        <f t="shared" si="103"/>
        <v>45207</v>
      </c>
      <c r="N457" s="229">
        <f t="shared" ref="N457:N461" ca="1" si="104">+IF(L457&gt;0,M457*100/L457,0)</f>
        <v>28.757633587786259</v>
      </c>
    </row>
    <row r="458" spans="1:14" ht="21.75" customHeight="1" x14ac:dyDescent="0.4">
      <c r="A458" s="42"/>
      <c r="B458" s="43"/>
      <c r="C458" s="43" t="s">
        <v>17</v>
      </c>
      <c r="D458" s="44" t="s">
        <v>18</v>
      </c>
      <c r="E458" s="45"/>
      <c r="F458" s="45"/>
      <c r="G458" s="46" t="s">
        <v>19</v>
      </c>
      <c r="H458" s="47" t="s">
        <v>20</v>
      </c>
      <c r="I458" s="48" t="s">
        <v>21</v>
      </c>
      <c r="J458" s="48"/>
      <c r="K458" s="49"/>
      <c r="L458" s="50">
        <v>0</v>
      </c>
      <c r="M458" s="53">
        <v>0</v>
      </c>
      <c r="N458" s="53">
        <f t="shared" si="104"/>
        <v>0</v>
      </c>
    </row>
    <row r="459" spans="1:14" ht="21.75" customHeight="1" x14ac:dyDescent="0.4">
      <c r="A459" s="42"/>
      <c r="B459" s="43"/>
      <c r="C459" s="43"/>
      <c r="D459" s="51"/>
      <c r="E459" s="45"/>
      <c r="F459" s="45" t="s">
        <v>21</v>
      </c>
      <c r="G459" s="46" t="s">
        <v>22</v>
      </c>
      <c r="H459" s="47" t="s">
        <v>20</v>
      </c>
      <c r="I459" s="48"/>
      <c r="J459" s="48"/>
      <c r="K459" s="49"/>
      <c r="L459" s="50">
        <f t="shared" ref="L459:M459" ca="1" si="105">SUM(L460:L461)</f>
        <v>157200</v>
      </c>
      <c r="M459" s="53">
        <f t="shared" si="105"/>
        <v>45207</v>
      </c>
      <c r="N459" s="53">
        <f t="shared" ca="1" si="104"/>
        <v>28.757633587786259</v>
      </c>
    </row>
    <row r="460" spans="1:14" ht="21.75" customHeight="1" x14ac:dyDescent="0.4">
      <c r="A460" s="42"/>
      <c r="B460" s="43"/>
      <c r="C460" s="43"/>
      <c r="D460" s="51"/>
      <c r="E460" s="45"/>
      <c r="F460" s="45"/>
      <c r="G460" s="52" t="s">
        <v>110</v>
      </c>
      <c r="H460" s="47" t="s">
        <v>20</v>
      </c>
      <c r="I460" s="48"/>
      <c r="J460" s="48"/>
      <c r="K460" s="49"/>
      <c r="L460" s="53">
        <f ca="1">IFERROR(__xludf.DUMMYFUNCTION("IMPORTRANGE(""https://docs.google.com/spreadsheets/d/1C3CXT74ZlgGe6_JY_1olB1XN4rF0dxEuIIF-xsYjHgg/edit?usp=sharing"",""งบกองทุน!Eb29"")"),0)</f>
        <v>0</v>
      </c>
      <c r="M460" s="53">
        <v>0</v>
      </c>
      <c r="N460" s="53">
        <f t="shared" ca="1" si="104"/>
        <v>0</v>
      </c>
    </row>
    <row r="461" spans="1:14" ht="21.75" customHeight="1" x14ac:dyDescent="0.4">
      <c r="A461" s="42"/>
      <c r="B461" s="43"/>
      <c r="C461" s="43"/>
      <c r="D461" s="51"/>
      <c r="E461" s="45"/>
      <c r="F461" s="45"/>
      <c r="G461" s="52" t="s">
        <v>111</v>
      </c>
      <c r="H461" s="47" t="s">
        <v>20</v>
      </c>
      <c r="I461" s="48"/>
      <c r="J461" s="48"/>
      <c r="K461" s="49"/>
      <c r="L461" s="53">
        <f ca="1">IFERROR(__xludf.DUMMYFUNCTION("IMPORTRANGE(""https://docs.google.com/spreadsheets/d/1C3CXT74ZlgGe6_JY_1olB1XN4rF0dxEuIIF-xsYjHgg/edit?usp=sharing"",""งบกองทุน!Ec29"")"),157200)</f>
        <v>157200</v>
      </c>
      <c r="M461" s="53">
        <f>SUM(M462:M465)</f>
        <v>45207</v>
      </c>
      <c r="N461" s="53">
        <f t="shared" ca="1" si="104"/>
        <v>28.757633587786259</v>
      </c>
    </row>
    <row r="462" spans="1:14" ht="21.75" customHeight="1" x14ac:dyDescent="0.4">
      <c r="A462" s="230"/>
      <c r="B462" s="231"/>
      <c r="C462" s="43"/>
      <c r="D462" s="232"/>
      <c r="E462" s="45"/>
      <c r="F462" s="45"/>
      <c r="G462" s="46" t="s">
        <v>112</v>
      </c>
      <c r="H462" s="47" t="s">
        <v>20</v>
      </c>
      <c r="I462" s="67"/>
      <c r="J462" s="67"/>
      <c r="K462" s="233"/>
      <c r="L462" s="53"/>
      <c r="M462" s="53">
        <v>0</v>
      </c>
      <c r="N462" s="53"/>
    </row>
    <row r="463" spans="1:14" ht="21.75" customHeight="1" x14ac:dyDescent="0.4">
      <c r="A463" s="230"/>
      <c r="B463" s="231"/>
      <c r="C463" s="43"/>
      <c r="D463" s="232"/>
      <c r="E463" s="45"/>
      <c r="F463" s="45"/>
      <c r="G463" s="46" t="s">
        <v>113</v>
      </c>
      <c r="H463" s="47" t="s">
        <v>20</v>
      </c>
      <c r="I463" s="67"/>
      <c r="J463" s="67"/>
      <c r="K463" s="233"/>
      <c r="L463" s="53"/>
      <c r="M463" s="53">
        <v>0</v>
      </c>
      <c r="N463" s="53"/>
    </row>
    <row r="464" spans="1:14" ht="21.75" customHeight="1" x14ac:dyDescent="0.4">
      <c r="A464" s="230"/>
      <c r="B464" s="231"/>
      <c r="C464" s="43"/>
      <c r="D464" s="232"/>
      <c r="E464" s="45"/>
      <c r="F464" s="45"/>
      <c r="G464" s="46" t="s">
        <v>114</v>
      </c>
      <c r="H464" s="47" t="s">
        <v>20</v>
      </c>
      <c r="I464" s="67"/>
      <c r="J464" s="67"/>
      <c r="K464" s="233"/>
      <c r="L464" s="53"/>
      <c r="M464" s="54">
        <f>21248+11000</f>
        <v>32248</v>
      </c>
      <c r="N464" s="53"/>
    </row>
    <row r="465" spans="1:14" ht="21.75" customHeight="1" x14ac:dyDescent="0.4">
      <c r="A465" s="230"/>
      <c r="B465" s="231"/>
      <c r="C465" s="43"/>
      <c r="D465" s="232"/>
      <c r="E465" s="45"/>
      <c r="F465" s="45"/>
      <c r="G465" s="46" t="s">
        <v>115</v>
      </c>
      <c r="H465" s="47" t="s">
        <v>20</v>
      </c>
      <c r="I465" s="67"/>
      <c r="J465" s="67"/>
      <c r="K465" s="233"/>
      <c r="L465" s="53"/>
      <c r="M465" s="54">
        <f>6899+1780+4280</f>
        <v>12959</v>
      </c>
      <c r="N465" s="53"/>
    </row>
    <row r="466" spans="1:14" ht="21.75" customHeight="1" x14ac:dyDescent="0.4">
      <c r="A466" s="55"/>
      <c r="B466" s="56"/>
      <c r="C466" s="56"/>
      <c r="D466" s="75"/>
      <c r="E466" s="74" t="s">
        <v>21</v>
      </c>
      <c r="F466" s="260" t="s">
        <v>189</v>
      </c>
      <c r="G466" s="240"/>
      <c r="H466" s="314" t="s">
        <v>16</v>
      </c>
      <c r="I466" s="265">
        <f ca="1">IFERROR(__xludf.DUMMYFUNCTION("IMPORTRANGE(""https://docs.google.com/spreadsheets/d/1C3CXT74ZlgGe6_JY_1olB1XN4rF0dxEuIIF-xsYjHgg/edit?usp=sharing"",""งบกองทุน!Ed29"")"),3850)</f>
        <v>3850</v>
      </c>
      <c r="J466" s="265">
        <f>+J469+J470+J471+J472</f>
        <v>2236</v>
      </c>
      <c r="K466" s="80">
        <f ca="1">IF(I466&gt;0,J466*100/I466,0)</f>
        <v>58.077922077922075</v>
      </c>
      <c r="L466" s="61"/>
      <c r="M466" s="61"/>
      <c r="N466" s="61"/>
    </row>
    <row r="467" spans="1:14" ht="21.75" customHeight="1" x14ac:dyDescent="0.4">
      <c r="A467" s="55"/>
      <c r="B467" s="56"/>
      <c r="C467" s="56"/>
      <c r="D467" s="75"/>
      <c r="E467" s="75"/>
      <c r="F467" s="74" t="s">
        <v>190</v>
      </c>
      <c r="G467" s="76"/>
      <c r="H467" s="315"/>
      <c r="I467" s="48"/>
      <c r="J467" s="48"/>
      <c r="K467" s="49"/>
      <c r="L467" s="61"/>
      <c r="M467" s="61"/>
      <c r="N467" s="61"/>
    </row>
    <row r="468" spans="1:14" ht="21.75" customHeight="1" x14ac:dyDescent="0.4">
      <c r="A468" s="55"/>
      <c r="B468" s="56"/>
      <c r="C468" s="56"/>
      <c r="D468" s="75"/>
      <c r="E468" s="74" t="s">
        <v>21</v>
      </c>
      <c r="F468" s="74" t="s">
        <v>191</v>
      </c>
      <c r="G468" s="76"/>
      <c r="H468" s="315" t="s">
        <v>57</v>
      </c>
      <c r="I468" s="48">
        <v>0</v>
      </c>
      <c r="J468" s="68">
        <v>3</v>
      </c>
      <c r="K468" s="49">
        <f t="shared" ref="K468:K472" si="106">IF(I468&gt;0,J468*100/I468,0)</f>
        <v>0</v>
      </c>
      <c r="L468" s="61"/>
      <c r="M468" s="61"/>
      <c r="N468" s="61"/>
    </row>
    <row r="469" spans="1:14" ht="21.75" customHeight="1" x14ac:dyDescent="0.4">
      <c r="A469" s="55"/>
      <c r="B469" s="56"/>
      <c r="C469" s="56"/>
      <c r="D469" s="75"/>
      <c r="E469" s="75"/>
      <c r="F469" s="74" t="s">
        <v>192</v>
      </c>
      <c r="G469" s="76"/>
      <c r="H469" s="315" t="s">
        <v>16</v>
      </c>
      <c r="I469" s="48">
        <v>0</v>
      </c>
      <c r="J469" s="68">
        <v>377</v>
      </c>
      <c r="K469" s="49">
        <f t="shared" si="106"/>
        <v>0</v>
      </c>
      <c r="L469" s="61"/>
      <c r="M469" s="61"/>
      <c r="N469" s="61"/>
    </row>
    <row r="470" spans="1:14" ht="21.75" customHeight="1" x14ac:dyDescent="0.4">
      <c r="A470" s="55"/>
      <c r="B470" s="56"/>
      <c r="C470" s="56"/>
      <c r="D470" s="75"/>
      <c r="E470" s="75"/>
      <c r="F470" s="74" t="s">
        <v>193</v>
      </c>
      <c r="G470" s="76"/>
      <c r="H470" s="315" t="s">
        <v>16</v>
      </c>
      <c r="I470" s="48">
        <v>0</v>
      </c>
      <c r="J470" s="68">
        <v>1838</v>
      </c>
      <c r="K470" s="49">
        <f t="shared" si="106"/>
        <v>0</v>
      </c>
      <c r="L470" s="61"/>
      <c r="M470" s="61"/>
      <c r="N470" s="61"/>
    </row>
    <row r="471" spans="1:14" ht="21.75" customHeight="1" x14ac:dyDescent="0.4">
      <c r="A471" s="55"/>
      <c r="B471" s="56"/>
      <c r="C471" s="56"/>
      <c r="D471" s="75"/>
      <c r="E471" s="75"/>
      <c r="F471" s="74" t="s">
        <v>194</v>
      </c>
      <c r="G471" s="266"/>
      <c r="H471" s="315" t="s">
        <v>16</v>
      </c>
      <c r="I471" s="48">
        <v>0</v>
      </c>
      <c r="J471" s="68">
        <v>2</v>
      </c>
      <c r="K471" s="49">
        <f t="shared" si="106"/>
        <v>0</v>
      </c>
      <c r="L471" s="61"/>
      <c r="M471" s="61"/>
      <c r="N471" s="61"/>
    </row>
    <row r="472" spans="1:14" ht="21.75" customHeight="1" x14ac:dyDescent="0.4">
      <c r="A472" s="55"/>
      <c r="B472" s="56"/>
      <c r="C472" s="56"/>
      <c r="D472" s="75"/>
      <c r="E472" s="75"/>
      <c r="F472" s="74" t="s">
        <v>195</v>
      </c>
      <c r="G472" s="266"/>
      <c r="H472" s="315" t="s">
        <v>16</v>
      </c>
      <c r="I472" s="48">
        <v>0</v>
      </c>
      <c r="J472" s="68">
        <v>19</v>
      </c>
      <c r="K472" s="49">
        <f t="shared" si="106"/>
        <v>0</v>
      </c>
      <c r="L472" s="61"/>
      <c r="M472" s="61"/>
      <c r="N472" s="61"/>
    </row>
    <row r="473" spans="1:14" ht="21.75" customHeight="1" x14ac:dyDescent="0.4">
      <c r="A473" s="222"/>
      <c r="B473" s="223">
        <v>9</v>
      </c>
      <c r="C473" s="224" t="s">
        <v>196</v>
      </c>
      <c r="D473" s="224"/>
      <c r="E473" s="224"/>
      <c r="F473" s="224"/>
      <c r="G473" s="225"/>
      <c r="H473" s="226" t="s">
        <v>16</v>
      </c>
      <c r="I473" s="227">
        <f ca="1">I484</f>
        <v>300</v>
      </c>
      <c r="J473" s="227">
        <f ca="1">J488</f>
        <v>0</v>
      </c>
      <c r="K473" s="228">
        <f ca="1">IF(I473&gt;0,J473*100/I473,0)</f>
        <v>0</v>
      </c>
      <c r="L473" s="229">
        <f ca="1">SUM(L474,L475)</f>
        <v>346950</v>
      </c>
      <c r="M473" s="229">
        <f>SUM(M474:M475)</f>
        <v>53286</v>
      </c>
      <c r="N473" s="229">
        <f t="shared" ref="N473:N477" ca="1" si="107">+IF(L473&gt;0,M473*100/L473,0)</f>
        <v>15.358408992650238</v>
      </c>
    </row>
    <row r="474" spans="1:14" ht="21.75" customHeight="1" x14ac:dyDescent="0.4">
      <c r="A474" s="42"/>
      <c r="B474" s="43"/>
      <c r="C474" s="43" t="s">
        <v>17</v>
      </c>
      <c r="D474" s="44" t="s">
        <v>18</v>
      </c>
      <c r="E474" s="45"/>
      <c r="F474" s="45"/>
      <c r="G474" s="46" t="s">
        <v>19</v>
      </c>
      <c r="H474" s="47" t="s">
        <v>20</v>
      </c>
      <c r="I474" s="48" t="s">
        <v>21</v>
      </c>
      <c r="J474" s="48"/>
      <c r="K474" s="49"/>
      <c r="L474" s="50">
        <v>0</v>
      </c>
      <c r="M474" s="53">
        <v>0</v>
      </c>
      <c r="N474" s="53">
        <f t="shared" si="107"/>
        <v>0</v>
      </c>
    </row>
    <row r="475" spans="1:14" ht="21.75" customHeight="1" x14ac:dyDescent="0.4">
      <c r="A475" s="42"/>
      <c r="B475" s="43"/>
      <c r="C475" s="43"/>
      <c r="D475" s="51"/>
      <c r="E475" s="45"/>
      <c r="F475" s="45" t="s">
        <v>21</v>
      </c>
      <c r="G475" s="46" t="s">
        <v>22</v>
      </c>
      <c r="H475" s="47" t="s">
        <v>20</v>
      </c>
      <c r="I475" s="48"/>
      <c r="J475" s="48"/>
      <c r="K475" s="49"/>
      <c r="L475" s="50">
        <f t="shared" ref="L475:M475" ca="1" si="108">SUM(L476:L477)</f>
        <v>346950</v>
      </c>
      <c r="M475" s="53">
        <f t="shared" si="108"/>
        <v>53286</v>
      </c>
      <c r="N475" s="53">
        <f t="shared" ca="1" si="107"/>
        <v>15.358408992650238</v>
      </c>
    </row>
    <row r="476" spans="1:14" ht="21.75" customHeight="1" x14ac:dyDescent="0.4">
      <c r="A476" s="42"/>
      <c r="B476" s="43"/>
      <c r="C476" s="43"/>
      <c r="D476" s="51"/>
      <c r="E476" s="45"/>
      <c r="F476" s="45"/>
      <c r="G476" s="52" t="s">
        <v>110</v>
      </c>
      <c r="H476" s="47" t="s">
        <v>20</v>
      </c>
      <c r="I476" s="48"/>
      <c r="J476" s="48"/>
      <c r="K476" s="49"/>
      <c r="L476" s="53">
        <f ca="1">IFERROR(__xludf.DUMMYFUNCTION("IMPORTRANGE(""https://docs.google.com/spreadsheets/d/1C3CXT74ZlgGe6_JY_1olB1XN4rF0dxEuIIF-xsYjHgg/edit?usp=sharing"",""งบกองทุน!Ek29"")"),0)</f>
        <v>0</v>
      </c>
      <c r="M476" s="53">
        <v>0</v>
      </c>
      <c r="N476" s="53">
        <f t="shared" ca="1" si="107"/>
        <v>0</v>
      </c>
    </row>
    <row r="477" spans="1:14" ht="21.75" customHeight="1" x14ac:dyDescent="0.4">
      <c r="A477" s="42"/>
      <c r="B477" s="43"/>
      <c r="C477" s="43"/>
      <c r="D477" s="51"/>
      <c r="E477" s="45"/>
      <c r="F477" s="45"/>
      <c r="G477" s="52" t="s">
        <v>111</v>
      </c>
      <c r="H477" s="47" t="s">
        <v>20</v>
      </c>
      <c r="I477" s="48"/>
      <c r="J477" s="48"/>
      <c r="K477" s="49"/>
      <c r="L477" s="53">
        <f ca="1">IFERROR(__xludf.DUMMYFUNCTION("IMPORTRANGE(""https://docs.google.com/spreadsheets/d/1C3CXT74ZlgGe6_JY_1olB1XN4rF0dxEuIIF-xsYjHgg/edit?usp=sharing"",""งบกองทุน!El29"")"),346950)</f>
        <v>346950</v>
      </c>
      <c r="M477" s="53">
        <f>SUM(M478:M481)</f>
        <v>53286</v>
      </c>
      <c r="N477" s="53">
        <f t="shared" ca="1" si="107"/>
        <v>15.358408992650238</v>
      </c>
    </row>
    <row r="478" spans="1:14" ht="21.75" customHeight="1" x14ac:dyDescent="0.4">
      <c r="A478" s="230"/>
      <c r="B478" s="231"/>
      <c r="C478" s="43"/>
      <c r="D478" s="232"/>
      <c r="E478" s="45"/>
      <c r="F478" s="45"/>
      <c r="G478" s="46" t="s">
        <v>112</v>
      </c>
      <c r="H478" s="47" t="s">
        <v>20</v>
      </c>
      <c r="I478" s="67"/>
      <c r="J478" s="67"/>
      <c r="K478" s="233"/>
      <c r="L478" s="53"/>
      <c r="M478" s="53">
        <v>0</v>
      </c>
      <c r="N478" s="53"/>
    </row>
    <row r="479" spans="1:14" ht="21.75" customHeight="1" x14ac:dyDescent="0.4">
      <c r="A479" s="230"/>
      <c r="B479" s="231"/>
      <c r="C479" s="43"/>
      <c r="D479" s="232"/>
      <c r="E479" s="45"/>
      <c r="F479" s="45"/>
      <c r="G479" s="46" t="s">
        <v>113</v>
      </c>
      <c r="H479" s="47" t="s">
        <v>20</v>
      </c>
      <c r="I479" s="67"/>
      <c r="J479" s="67"/>
      <c r="K479" s="233"/>
      <c r="L479" s="53"/>
      <c r="M479" s="53">
        <v>0</v>
      </c>
      <c r="N479" s="53"/>
    </row>
    <row r="480" spans="1:14" ht="21.75" customHeight="1" x14ac:dyDescent="0.4">
      <c r="A480" s="230"/>
      <c r="B480" s="231"/>
      <c r="C480" s="43"/>
      <c r="D480" s="232"/>
      <c r="E480" s="45"/>
      <c r="F480" s="45"/>
      <c r="G480" s="46" t="s">
        <v>114</v>
      </c>
      <c r="H480" s="47" t="s">
        <v>20</v>
      </c>
      <c r="I480" s="67"/>
      <c r="J480" s="67"/>
      <c r="K480" s="233"/>
      <c r="L480" s="53"/>
      <c r="M480" s="54">
        <f>15026+11000</f>
        <v>26026</v>
      </c>
      <c r="N480" s="53"/>
    </row>
    <row r="481" spans="1:14" ht="21.75" customHeight="1" x14ac:dyDescent="0.4">
      <c r="A481" s="230"/>
      <c r="B481" s="231"/>
      <c r="C481" s="43"/>
      <c r="D481" s="232"/>
      <c r="E481" s="45"/>
      <c r="F481" s="45"/>
      <c r="G481" s="46" t="s">
        <v>115</v>
      </c>
      <c r="H481" s="47" t="s">
        <v>20</v>
      </c>
      <c r="I481" s="67"/>
      <c r="J481" s="67"/>
      <c r="K481" s="233"/>
      <c r="L481" s="53"/>
      <c r="M481" s="54">
        <v>27260</v>
      </c>
      <c r="N481" s="53"/>
    </row>
    <row r="482" spans="1:14" ht="21.75" customHeight="1" x14ac:dyDescent="0.4">
      <c r="A482" s="316"/>
      <c r="B482" s="51"/>
      <c r="C482" s="43"/>
      <c r="D482" s="155"/>
      <c r="E482" s="74" t="s">
        <v>197</v>
      </c>
      <c r="F482" s="75"/>
      <c r="G482" s="76"/>
      <c r="H482" s="60" t="s">
        <v>15</v>
      </c>
      <c r="I482" s="200">
        <f ca="1">IFERROR(__xludf.DUMMYFUNCTION("IMPORTRANGE(""https://docs.google.com/spreadsheets/d/1C3CXT74ZlgGe6_JY_1olB1XN4rF0dxEuIIF-xsYjHgg/edit?usp=sharing"",""งบกองทุน!Em29"")"),300)</f>
        <v>300</v>
      </c>
      <c r="J482" s="67">
        <f ca="1">IFERROR(__xludf.DUMMYFUNCTION("IMPORTRANGE(""https://docs.google.com/spreadsheets/d/1AGHcLOeeYFL3K4b9R1dSzyJy00PE_ra89DNTVfnxSWM/edit?usp=sharing"",""รวมที่ชุมชน!G18"")"),0)</f>
        <v>0</v>
      </c>
      <c r="K482" s="49">
        <f t="shared" ref="K482:K489" ca="1" si="109">IF(I482&gt;0,J482*100/I482,0)</f>
        <v>0</v>
      </c>
      <c r="L482" s="61"/>
      <c r="M482" s="61"/>
      <c r="N482" s="61"/>
    </row>
    <row r="483" spans="1:14" ht="21.75" customHeight="1" x14ac:dyDescent="0.4">
      <c r="A483" s="316"/>
      <c r="B483" s="51"/>
      <c r="C483" s="43"/>
      <c r="D483" s="155"/>
      <c r="E483" s="75"/>
      <c r="F483" s="75"/>
      <c r="G483" s="76"/>
      <c r="H483" s="60" t="s">
        <v>103</v>
      </c>
      <c r="I483" s="200">
        <f ca="1">IFERROR(__xludf.DUMMYFUNCTION("IMPORTRANGE(""https://docs.google.com/spreadsheets/d/1C3CXT74ZlgGe6_JY_1olB1XN4rF0dxEuIIF-xsYjHgg/edit?usp=sharing"",""งบกองทุน!En29"")"),0)</f>
        <v>0</v>
      </c>
      <c r="J483" s="67">
        <f ca="1">IFERROR(__xludf.DUMMYFUNCTION("IMPORTRANGE(""https://docs.google.com/spreadsheets/d/1AGHcLOeeYFL3K4b9R1dSzyJy00PE_ra89DNTVfnxSWM/edit?usp=sharing"",""รวมที่ชุมชน!H18"")"),0)</f>
        <v>0</v>
      </c>
      <c r="K483" s="49">
        <f t="shared" ca="1" si="109"/>
        <v>0</v>
      </c>
      <c r="L483" s="61"/>
      <c r="M483" s="61"/>
      <c r="N483" s="61"/>
    </row>
    <row r="484" spans="1:14" ht="21.75" customHeight="1" x14ac:dyDescent="0.4">
      <c r="A484" s="316"/>
      <c r="B484" s="51"/>
      <c r="C484" s="43"/>
      <c r="D484" s="155"/>
      <c r="E484" s="74" t="s">
        <v>104</v>
      </c>
      <c r="F484" s="75"/>
      <c r="G484" s="76"/>
      <c r="H484" s="60" t="s">
        <v>16</v>
      </c>
      <c r="I484" s="200">
        <f ca="1">IFERROR(__xludf.DUMMYFUNCTION("IMPORTRANGE(""https://docs.google.com/spreadsheets/d/1C3CXT74ZlgGe6_JY_1olB1XN4rF0dxEuIIF-xsYjHgg/edit?usp=sharing"",""งบกองทุน!Eo29"")"),300)</f>
        <v>300</v>
      </c>
      <c r="J484" s="67">
        <f ca="1">IFERROR(__xludf.DUMMYFUNCTION("IMPORTRANGE(""https://docs.google.com/spreadsheets/d/1AGHcLOeeYFL3K4b9R1dSzyJy00PE_ra89DNTVfnxSWM/edit?usp=sharing"",""รวมที่ชุมชน!J18"")"),0)</f>
        <v>0</v>
      </c>
      <c r="K484" s="49">
        <f t="shared" ca="1" si="109"/>
        <v>0</v>
      </c>
      <c r="L484" s="61"/>
      <c r="M484" s="61"/>
      <c r="N484" s="61"/>
    </row>
    <row r="485" spans="1:14" ht="21.75" customHeight="1" x14ac:dyDescent="0.4">
      <c r="A485" s="316"/>
      <c r="B485" s="51"/>
      <c r="C485" s="43"/>
      <c r="D485" s="155"/>
      <c r="E485" s="75"/>
      <c r="F485" s="75"/>
      <c r="G485" s="76"/>
      <c r="H485" s="60" t="s">
        <v>103</v>
      </c>
      <c r="I485" s="200">
        <f ca="1">IFERROR(__xludf.DUMMYFUNCTION("IMPORTRANGE(""https://docs.google.com/spreadsheets/d/1C3CXT74ZlgGe6_JY_1olB1XN4rF0dxEuIIF-xsYjHgg/edit?usp=sharing"",""งบกองทุน!Ep29"")"),0)</f>
        <v>0</v>
      </c>
      <c r="J485" s="67">
        <f ca="1">IFERROR(__xludf.DUMMYFUNCTION("IMPORTRANGE(""https://docs.google.com/spreadsheets/d/1AGHcLOeeYFL3K4b9R1dSzyJy00PE_ra89DNTVfnxSWM/edit?usp=sharing"",""รวมที่ชุมชน!L18"")"),0)</f>
        <v>0</v>
      </c>
      <c r="K485" s="49">
        <f t="shared" ca="1" si="109"/>
        <v>0</v>
      </c>
      <c r="L485" s="61"/>
      <c r="M485" s="61"/>
      <c r="N485" s="61"/>
    </row>
    <row r="486" spans="1:14" ht="21.75" customHeight="1" x14ac:dyDescent="0.4">
      <c r="A486" s="316"/>
      <c r="B486" s="51"/>
      <c r="C486" s="43"/>
      <c r="D486" s="155"/>
      <c r="E486" s="74" t="s">
        <v>105</v>
      </c>
      <c r="F486" s="75"/>
      <c r="G486" s="76"/>
      <c r="H486" s="60" t="s">
        <v>16</v>
      </c>
      <c r="I486" s="200">
        <f ca="1">IFERROR(__xludf.DUMMYFUNCTION("IMPORTRANGE(""https://docs.google.com/spreadsheets/d/1C3CXT74ZlgGe6_JY_1olB1XN4rF0dxEuIIF-xsYjHgg/edit?usp=sharing"",""งบกองทุน!Eq29"")"),300)</f>
        <v>300</v>
      </c>
      <c r="J486" s="67">
        <f ca="1">IFERROR(__xludf.DUMMYFUNCTION("IMPORTRANGE(""https://docs.google.com/spreadsheets/d/1AGHcLOeeYFL3K4b9R1dSzyJy00PE_ra89DNTVfnxSWM/edit?usp=sharing"",""รวมที่ชุมชน!S18"")"),0)</f>
        <v>0</v>
      </c>
      <c r="K486" s="49">
        <f t="shared" ca="1" si="109"/>
        <v>0</v>
      </c>
      <c r="L486" s="61"/>
      <c r="M486" s="61"/>
      <c r="N486" s="61"/>
    </row>
    <row r="487" spans="1:14" ht="21.75" customHeight="1" x14ac:dyDescent="0.4">
      <c r="A487" s="316"/>
      <c r="B487" s="51"/>
      <c r="C487" s="43"/>
      <c r="D487" s="155"/>
      <c r="E487" s="75"/>
      <c r="F487" s="75"/>
      <c r="G487" s="76"/>
      <c r="H487" s="60" t="s">
        <v>103</v>
      </c>
      <c r="I487" s="200">
        <f ca="1">IFERROR(__xludf.DUMMYFUNCTION("IMPORTRANGE(""https://docs.google.com/spreadsheets/d/1C3CXT74ZlgGe6_JY_1olB1XN4rF0dxEuIIF-xsYjHgg/edit?usp=sharing"",""งบกองทุน!Er29"")"),0)</f>
        <v>0</v>
      </c>
      <c r="J487" s="67">
        <f ca="1">IFERROR(__xludf.DUMMYFUNCTION("IMPORTRANGE(""https://docs.google.com/spreadsheets/d/1AGHcLOeeYFL3K4b9R1dSzyJy00PE_ra89DNTVfnxSWM/edit?usp=sharing"",""รวมที่ชุมชน!U18"")"),0)</f>
        <v>0</v>
      </c>
      <c r="K487" s="49">
        <f t="shared" ca="1" si="109"/>
        <v>0</v>
      </c>
      <c r="L487" s="61"/>
      <c r="M487" s="61"/>
      <c r="N487" s="61"/>
    </row>
    <row r="488" spans="1:14" ht="21.75" customHeight="1" x14ac:dyDescent="0.4">
      <c r="A488" s="316"/>
      <c r="B488" s="51"/>
      <c r="C488" s="43"/>
      <c r="D488" s="155"/>
      <c r="E488" s="74" t="s">
        <v>106</v>
      </c>
      <c r="F488" s="75"/>
      <c r="G488" s="76"/>
      <c r="H488" s="60" t="s">
        <v>16</v>
      </c>
      <c r="I488" s="200">
        <f ca="1">IFERROR(__xludf.DUMMYFUNCTION("IMPORTRANGE(""https://docs.google.com/spreadsheets/d/1C3CXT74ZlgGe6_JY_1olB1XN4rF0dxEuIIF-xsYjHgg/edit?usp=sharing"",""งบกองทุน!Es29"")"),300)</f>
        <v>300</v>
      </c>
      <c r="J488" s="67">
        <f ca="1">IFERROR(__xludf.DUMMYFUNCTION("IMPORTRANGE(""https://docs.google.com/spreadsheets/d/1AGHcLOeeYFL3K4b9R1dSzyJy00PE_ra89DNTVfnxSWM/edit?usp=sharing"",""รวมที่ชุมชน!V18"")"),0)</f>
        <v>0</v>
      </c>
      <c r="K488" s="49">
        <f t="shared" ca="1" si="109"/>
        <v>0</v>
      </c>
      <c r="L488" s="61"/>
      <c r="M488" s="61"/>
      <c r="N488" s="61"/>
    </row>
    <row r="489" spans="1:14" ht="21.75" customHeight="1" x14ac:dyDescent="0.4">
      <c r="A489" s="317"/>
      <c r="B489" s="318"/>
      <c r="C489" s="319"/>
      <c r="D489" s="320"/>
      <c r="E489" s="295"/>
      <c r="F489" s="295"/>
      <c r="G489" s="296"/>
      <c r="H489" s="321" t="s">
        <v>103</v>
      </c>
      <c r="I489" s="322">
        <f ca="1">IFERROR(__xludf.DUMMYFUNCTION("IMPORTRANGE(""https://docs.google.com/spreadsheets/d/1C3CXT74ZlgGe6_JY_1olB1XN4rF0dxEuIIF-xsYjHgg/edit?usp=sharing"",""งบกองทุน!Et29"")"),0)</f>
        <v>0</v>
      </c>
      <c r="J489" s="112">
        <f ca="1">IFERROR(__xludf.DUMMYFUNCTION("IMPORTRANGE(""https://docs.google.com/spreadsheets/d/1AGHcLOeeYFL3K4b9R1dSzyJy00PE_ra89DNTVfnxSWM/edit?usp=sharing"",""รวมที่ชุมชน!X18"")"),0)</f>
        <v>0</v>
      </c>
      <c r="K489" s="114">
        <f t="shared" ca="1" si="109"/>
        <v>0</v>
      </c>
      <c r="L489" s="300"/>
      <c r="M489" s="300"/>
      <c r="N489" s="300"/>
    </row>
    <row r="490" spans="1:14" ht="21.75" customHeight="1" x14ac:dyDescent="0.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10">I504</f>
        <v>100</v>
      </c>
      <c r="J490" s="375">
        <f t="shared" si="110"/>
        <v>0</v>
      </c>
      <c r="K490" s="301">
        <f ca="1">IF(I490&gt;0,J490*100/I490,0)</f>
        <v>0</v>
      </c>
      <c r="L490" s="259">
        <f ca="1">SUM(L491,L492)</f>
        <v>7300</v>
      </c>
      <c r="M490" s="259">
        <f>SUM(M491:M492)</f>
        <v>0</v>
      </c>
      <c r="N490" s="259">
        <f t="shared" ref="N490:N494" ca="1" si="111">+IF(L490&gt;0,M490*100/L490,0)</f>
        <v>0</v>
      </c>
    </row>
    <row r="491" spans="1:14" ht="21.75" customHeight="1" x14ac:dyDescent="0.4">
      <c r="A491" s="42"/>
      <c r="B491" s="43"/>
      <c r="C491" s="43" t="s">
        <v>17</v>
      </c>
      <c r="D491" s="44" t="s">
        <v>18</v>
      </c>
      <c r="E491" s="45"/>
      <c r="F491" s="45"/>
      <c r="G491" s="46" t="s">
        <v>19</v>
      </c>
      <c r="H491" s="47" t="s">
        <v>20</v>
      </c>
      <c r="I491" s="48" t="s">
        <v>21</v>
      </c>
      <c r="J491" s="48"/>
      <c r="K491" s="49"/>
      <c r="L491" s="50">
        <v>0</v>
      </c>
      <c r="M491" s="53">
        <v>0</v>
      </c>
      <c r="N491" s="53">
        <f t="shared" si="111"/>
        <v>0</v>
      </c>
    </row>
    <row r="492" spans="1:14" ht="21.75" customHeight="1" x14ac:dyDescent="0.4">
      <c r="A492" s="42"/>
      <c r="B492" s="43"/>
      <c r="C492" s="43"/>
      <c r="D492" s="51"/>
      <c r="E492" s="45"/>
      <c r="F492" s="45" t="s">
        <v>21</v>
      </c>
      <c r="G492" s="46" t="s">
        <v>22</v>
      </c>
      <c r="H492" s="47" t="s">
        <v>20</v>
      </c>
      <c r="I492" s="48"/>
      <c r="J492" s="48"/>
      <c r="K492" s="49"/>
      <c r="L492" s="50">
        <f t="shared" ref="L492:M492" ca="1" si="112">SUM(L493:L494)</f>
        <v>7300</v>
      </c>
      <c r="M492" s="53">
        <f t="shared" si="112"/>
        <v>0</v>
      </c>
      <c r="N492" s="53">
        <f t="shared" ca="1" si="111"/>
        <v>0</v>
      </c>
    </row>
    <row r="493" spans="1:14" ht="21.75" customHeight="1" x14ac:dyDescent="0.4">
      <c r="A493" s="42"/>
      <c r="B493" s="43"/>
      <c r="C493" s="43"/>
      <c r="D493" s="51"/>
      <c r="E493" s="45"/>
      <c r="F493" s="45"/>
      <c r="G493" s="52" t="s">
        <v>110</v>
      </c>
      <c r="H493" s="47" t="s">
        <v>20</v>
      </c>
      <c r="I493" s="48"/>
      <c r="J493" s="48"/>
      <c r="K493" s="49"/>
      <c r="L493" s="53">
        <f ca="1">IFERROR(__xludf.DUMMYFUNCTION("IMPORTRANGE(""https://docs.google.com/spreadsheets/d/1C3CXT74ZlgGe6_JY_1olB1XN4rF0dxEuIIF-xsYjHgg/edit?usp=sharing"",""งบกองทุน!Ev29"")"),0)</f>
        <v>0</v>
      </c>
      <c r="M493" s="53">
        <v>0</v>
      </c>
      <c r="N493" s="53">
        <f t="shared" ca="1" si="111"/>
        <v>0</v>
      </c>
    </row>
    <row r="494" spans="1:14" ht="21.75" customHeight="1" x14ac:dyDescent="0.4">
      <c r="A494" s="42"/>
      <c r="B494" s="43"/>
      <c r="C494" s="43"/>
      <c r="D494" s="51"/>
      <c r="E494" s="45"/>
      <c r="F494" s="45"/>
      <c r="G494" s="52" t="s">
        <v>111</v>
      </c>
      <c r="H494" s="47" t="s">
        <v>20</v>
      </c>
      <c r="I494" s="48"/>
      <c r="J494" s="48"/>
      <c r="K494" s="49"/>
      <c r="L494" s="53">
        <f ca="1">IFERROR(__xludf.DUMMYFUNCTION("IMPORTRANGE(""https://docs.google.com/spreadsheets/d/1C3CXT74ZlgGe6_JY_1olB1XN4rF0dxEuIIF-xsYjHgg/edit?usp=sharing"",""งบกองทุน!Ew29"")"),7300)</f>
        <v>7300</v>
      </c>
      <c r="M494" s="53">
        <f>SUM(M495:M498)</f>
        <v>0</v>
      </c>
      <c r="N494" s="53">
        <f t="shared" ca="1" si="111"/>
        <v>0</v>
      </c>
    </row>
    <row r="495" spans="1:14" ht="21.75" customHeight="1" x14ac:dyDescent="0.4">
      <c r="A495" s="230"/>
      <c r="B495" s="231"/>
      <c r="C495" s="43"/>
      <c r="D495" s="232"/>
      <c r="E495" s="45"/>
      <c r="F495" s="45"/>
      <c r="G495" s="46" t="s">
        <v>112</v>
      </c>
      <c r="H495" s="47" t="s">
        <v>20</v>
      </c>
      <c r="I495" s="67"/>
      <c r="J495" s="67"/>
      <c r="K495" s="233"/>
      <c r="L495" s="53"/>
      <c r="M495" s="53">
        <v>0</v>
      </c>
      <c r="N495" s="53"/>
    </row>
    <row r="496" spans="1:14" ht="21.75" customHeight="1" x14ac:dyDescent="0.4">
      <c r="A496" s="230"/>
      <c r="B496" s="231"/>
      <c r="C496" s="43"/>
      <c r="D496" s="232"/>
      <c r="E496" s="45"/>
      <c r="F496" s="45"/>
      <c r="G496" s="46" t="s">
        <v>113</v>
      </c>
      <c r="H496" s="47" t="s">
        <v>20</v>
      </c>
      <c r="I496" s="67"/>
      <c r="J496" s="67"/>
      <c r="K496" s="233"/>
      <c r="L496" s="53"/>
      <c r="M496" s="53">
        <v>0</v>
      </c>
      <c r="N496" s="53"/>
    </row>
    <row r="497" spans="1:14" ht="21.75" customHeight="1" x14ac:dyDescent="0.4">
      <c r="A497" s="230"/>
      <c r="B497" s="231"/>
      <c r="C497" s="43"/>
      <c r="D497" s="232"/>
      <c r="E497" s="45"/>
      <c r="F497" s="45"/>
      <c r="G497" s="46" t="s">
        <v>114</v>
      </c>
      <c r="H497" s="47" t="s">
        <v>20</v>
      </c>
      <c r="I497" s="67"/>
      <c r="J497" s="67"/>
      <c r="K497" s="233"/>
      <c r="L497" s="53"/>
      <c r="M497" s="54">
        <v>0</v>
      </c>
      <c r="N497" s="53"/>
    </row>
    <row r="498" spans="1:14" ht="21.75" customHeight="1" x14ac:dyDescent="0.4">
      <c r="A498" s="230"/>
      <c r="B498" s="231"/>
      <c r="C498" s="43"/>
      <c r="D498" s="232"/>
      <c r="E498" s="45"/>
      <c r="F498" s="45"/>
      <c r="G498" s="46" t="s">
        <v>115</v>
      </c>
      <c r="H498" s="47" t="s">
        <v>20</v>
      </c>
      <c r="I498" s="67"/>
      <c r="J498" s="67"/>
      <c r="K498" s="233"/>
      <c r="L498" s="53"/>
      <c r="M498" s="54">
        <v>0</v>
      </c>
      <c r="N498" s="53"/>
    </row>
    <row r="499" spans="1:14" ht="21.75" customHeight="1" x14ac:dyDescent="0.4">
      <c r="A499" s="55"/>
      <c r="B499" s="56"/>
      <c r="C499" s="43" t="s">
        <v>17</v>
      </c>
      <c r="D499" s="57" t="s">
        <v>25</v>
      </c>
      <c r="E499" s="58"/>
      <c r="F499" s="58"/>
      <c r="G499" s="59"/>
      <c r="H499" s="60"/>
      <c r="I499" s="48"/>
      <c r="J499" s="48"/>
      <c r="K499" s="49"/>
      <c r="L499" s="61"/>
      <c r="M499" s="61"/>
      <c r="N499" s="61"/>
    </row>
    <row r="500" spans="1:14" ht="21.75" customHeight="1" x14ac:dyDescent="0.4">
      <c r="A500" s="55"/>
      <c r="B500" s="56"/>
      <c r="C500" s="56"/>
      <c r="D500" s="62">
        <v>1</v>
      </c>
      <c r="E500" s="63" t="s">
        <v>26</v>
      </c>
      <c r="F500" s="64"/>
      <c r="G500" s="65"/>
      <c r="H500" s="66"/>
      <c r="I500" s="67"/>
      <c r="J500" s="68"/>
      <c r="K500" s="49"/>
      <c r="L500" s="61"/>
      <c r="M500" s="61"/>
      <c r="N500" s="61"/>
    </row>
    <row r="501" spans="1:14" ht="21.75" customHeight="1" x14ac:dyDescent="0.4">
      <c r="A501" s="55"/>
      <c r="B501" s="56"/>
      <c r="C501" s="56"/>
      <c r="D501" s="69">
        <v>2</v>
      </c>
      <c r="E501" s="70" t="s">
        <v>27</v>
      </c>
      <c r="F501" s="71"/>
      <c r="G501" s="72"/>
      <c r="H501" s="66"/>
      <c r="I501" s="67"/>
      <c r="J501" s="68">
        <v>1</v>
      </c>
      <c r="K501" s="49"/>
      <c r="L501" s="61" t="s">
        <v>21</v>
      </c>
      <c r="M501" s="61" t="s">
        <v>21</v>
      </c>
      <c r="N501" s="61"/>
    </row>
    <row r="502" spans="1:14" ht="21.75" hidden="1" customHeight="1" x14ac:dyDescent="0.4">
      <c r="A502" s="376"/>
      <c r="B502" s="377"/>
      <c r="C502" s="377"/>
      <c r="D502" s="378"/>
      <c r="E502" s="379" t="s">
        <v>28</v>
      </c>
      <c r="F502" s="380"/>
      <c r="G502" s="381"/>
      <c r="H502" s="330"/>
      <c r="I502" s="331"/>
      <c r="J502" s="331">
        <v>0</v>
      </c>
      <c r="K502" s="382"/>
      <c r="L502" s="383"/>
      <c r="M502" s="383"/>
      <c r="N502" s="383"/>
    </row>
    <row r="503" spans="1:14" ht="21.75" hidden="1" customHeight="1" x14ac:dyDescent="0.4">
      <c r="A503" s="376"/>
      <c r="B503" s="377"/>
      <c r="C503" s="377"/>
      <c r="D503" s="378"/>
      <c r="E503" s="379" t="s">
        <v>29</v>
      </c>
      <c r="F503" s="380"/>
      <c r="G503" s="381"/>
      <c r="H503" s="330"/>
      <c r="I503" s="331"/>
      <c r="J503" s="331">
        <v>0</v>
      </c>
      <c r="K503" s="382"/>
      <c r="L503" s="383"/>
      <c r="M503" s="383"/>
      <c r="N503" s="383"/>
    </row>
    <row r="504" spans="1:14" ht="21.75" customHeight="1" x14ac:dyDescent="0.4">
      <c r="A504" s="55"/>
      <c r="B504" s="56"/>
      <c r="C504" s="56"/>
      <c r="D504" s="73"/>
      <c r="E504" s="75"/>
      <c r="F504" s="75" t="s">
        <v>199</v>
      </c>
      <c r="G504" s="76"/>
      <c r="H504" s="60" t="s">
        <v>103</v>
      </c>
      <c r="I504" s="67">
        <f ca="1">IFERROR(__xludf.DUMMYFUNCTION("IMPORTRANGE(""https://docs.google.com/spreadsheets/d/1C3CXT74ZlgGe6_JY_1olB1XN4rF0dxEuIIF-xsYjHgg/edit?usp=sharing"",""งบกองทุน!EZ29"")"),100)</f>
        <v>100</v>
      </c>
      <c r="J504" s="48">
        <f>+J510</f>
        <v>0</v>
      </c>
      <c r="K504" s="49">
        <f t="shared" ref="K504:K512" ca="1" si="113">IF(I$504&gt;0,J504*100/I$504,0)</f>
        <v>0</v>
      </c>
      <c r="L504" s="61"/>
      <c r="M504" s="61"/>
      <c r="N504" s="61"/>
    </row>
    <row r="505" spans="1:14" ht="21.75" customHeight="1" x14ac:dyDescent="0.4">
      <c r="A505" s="55"/>
      <c r="B505" s="56"/>
      <c r="C505" s="56"/>
      <c r="D505" s="73"/>
      <c r="E505" s="77"/>
      <c r="F505" s="75"/>
      <c r="G505" s="99" t="s">
        <v>200</v>
      </c>
      <c r="H505" s="60" t="s">
        <v>103</v>
      </c>
      <c r="I505" s="67">
        <v>0</v>
      </c>
      <c r="J505" s="68">
        <v>0</v>
      </c>
      <c r="K505" s="49">
        <f t="shared" ca="1" si="113"/>
        <v>0</v>
      </c>
      <c r="L505" s="61"/>
      <c r="M505" s="61"/>
      <c r="N505" s="61"/>
    </row>
    <row r="506" spans="1:14" ht="21.75" customHeight="1" x14ac:dyDescent="0.4">
      <c r="A506" s="55"/>
      <c r="B506" s="56"/>
      <c r="C506" s="56"/>
      <c r="D506" s="73"/>
      <c r="E506" s="77"/>
      <c r="F506" s="75"/>
      <c r="G506" s="99" t="s">
        <v>201</v>
      </c>
      <c r="H506" s="60" t="s">
        <v>103</v>
      </c>
      <c r="I506" s="67">
        <v>0</v>
      </c>
      <c r="J506" s="68">
        <v>0</v>
      </c>
      <c r="K506" s="49">
        <f t="shared" ca="1" si="113"/>
        <v>0</v>
      </c>
      <c r="L506" s="61"/>
      <c r="M506" s="61"/>
      <c r="N506" s="61"/>
    </row>
    <row r="507" spans="1:14" ht="21.75" customHeight="1" x14ac:dyDescent="0.4">
      <c r="A507" s="55"/>
      <c r="B507" s="56"/>
      <c r="C507" s="56"/>
      <c r="D507" s="73"/>
      <c r="E507" s="77"/>
      <c r="F507" s="75"/>
      <c r="G507" s="99" t="s">
        <v>202</v>
      </c>
      <c r="H507" s="60" t="s">
        <v>103</v>
      </c>
      <c r="I507" s="67">
        <v>0</v>
      </c>
      <c r="J507" s="68">
        <v>0</v>
      </c>
      <c r="K507" s="49">
        <f t="shared" ca="1" si="113"/>
        <v>0</v>
      </c>
      <c r="L507" s="61"/>
      <c r="M507" s="61"/>
      <c r="N507" s="61"/>
    </row>
    <row r="508" spans="1:14" ht="21.75" customHeight="1" x14ac:dyDescent="0.4">
      <c r="A508" s="55"/>
      <c r="B508" s="56"/>
      <c r="C508" s="56"/>
      <c r="D508" s="73"/>
      <c r="E508" s="77"/>
      <c r="F508" s="75"/>
      <c r="G508" s="99" t="s">
        <v>203</v>
      </c>
      <c r="H508" s="60" t="s">
        <v>103</v>
      </c>
      <c r="I508" s="67">
        <v>0</v>
      </c>
      <c r="J508" s="68">
        <v>0</v>
      </c>
      <c r="K508" s="49">
        <f t="shared" ca="1" si="113"/>
        <v>0</v>
      </c>
      <c r="L508" s="61"/>
      <c r="M508" s="61"/>
      <c r="N508" s="61"/>
    </row>
    <row r="509" spans="1:14" ht="21.75" customHeight="1" x14ac:dyDescent="0.4">
      <c r="A509" s="55"/>
      <c r="B509" s="56"/>
      <c r="C509" s="56"/>
      <c r="D509" s="73"/>
      <c r="E509" s="77"/>
      <c r="F509" s="75"/>
      <c r="G509" s="74" t="s">
        <v>204</v>
      </c>
      <c r="H509" s="60" t="s">
        <v>103</v>
      </c>
      <c r="I509" s="67">
        <v>0</v>
      </c>
      <c r="J509" s="68">
        <v>0</v>
      </c>
      <c r="K509" s="49">
        <f t="shared" ca="1" si="113"/>
        <v>0</v>
      </c>
      <c r="L509" s="61"/>
      <c r="M509" s="61"/>
      <c r="N509" s="61"/>
    </row>
    <row r="510" spans="1:14" ht="21.75" customHeight="1" x14ac:dyDescent="0.4">
      <c r="A510" s="55"/>
      <c r="B510" s="56"/>
      <c r="C510" s="56"/>
      <c r="D510" s="73"/>
      <c r="E510" s="77"/>
      <c r="F510" s="75"/>
      <c r="G510" s="74" t="s">
        <v>205</v>
      </c>
      <c r="H510" s="60" t="s">
        <v>103</v>
      </c>
      <c r="I510" s="67">
        <f t="shared" ref="I510:J510" si="114">I511+I512</f>
        <v>0</v>
      </c>
      <c r="J510" s="67">
        <f t="shared" si="114"/>
        <v>0</v>
      </c>
      <c r="K510" s="49">
        <f t="shared" ca="1" si="113"/>
        <v>0</v>
      </c>
      <c r="L510" s="61"/>
      <c r="M510" s="61"/>
      <c r="N510" s="61"/>
    </row>
    <row r="511" spans="1:14" ht="21.75" customHeight="1" x14ac:dyDescent="0.4">
      <c r="A511" s="55"/>
      <c r="B511" s="56"/>
      <c r="C511" s="56"/>
      <c r="D511" s="73"/>
      <c r="E511" s="77"/>
      <c r="F511" s="75"/>
      <c r="G511" s="334" t="s">
        <v>206</v>
      </c>
      <c r="H511" s="60" t="s">
        <v>103</v>
      </c>
      <c r="I511" s="67">
        <v>0</v>
      </c>
      <c r="J511" s="68">
        <v>0</v>
      </c>
      <c r="K511" s="49">
        <f t="shared" ca="1" si="113"/>
        <v>0</v>
      </c>
      <c r="L511" s="61"/>
      <c r="M511" s="61"/>
      <c r="N511" s="61"/>
    </row>
    <row r="512" spans="1:14" ht="21.75" customHeight="1" x14ac:dyDescent="0.4">
      <c r="A512" s="55"/>
      <c r="B512" s="56"/>
      <c r="C512" s="56"/>
      <c r="D512" s="73"/>
      <c r="E512" s="77"/>
      <c r="F512" s="75"/>
      <c r="G512" s="334" t="s">
        <v>207</v>
      </c>
      <c r="H512" s="60" t="s">
        <v>103</v>
      </c>
      <c r="I512" s="67">
        <v>0</v>
      </c>
      <c r="J512" s="68">
        <v>0</v>
      </c>
      <c r="K512" s="49">
        <f t="shared" ca="1" si="113"/>
        <v>0</v>
      </c>
      <c r="L512" s="61"/>
      <c r="M512" s="61"/>
      <c r="N512" s="61"/>
    </row>
    <row r="513" spans="1:14" ht="21.75" customHeight="1" x14ac:dyDescent="0.4">
      <c r="A513" s="55"/>
      <c r="B513" s="56"/>
      <c r="C513" s="56"/>
      <c r="D513" s="73"/>
      <c r="E513" s="75"/>
      <c r="F513" s="74" t="s">
        <v>208</v>
      </c>
      <c r="G513" s="76"/>
      <c r="H513" s="60" t="s">
        <v>103</v>
      </c>
      <c r="I513" s="67">
        <f ca="1">IFERROR(__xludf.DUMMYFUNCTION("IMPORTRANGE(""https://docs.google.com/spreadsheets/d/1C3CXT74ZlgGe6_JY_1olB1XN4rF0dxEuIIF-xsYjHgg/edit?usp=sharing"",""งบกองทุน!ff29"")"),0)</f>
        <v>0</v>
      </c>
      <c r="J513" s="48">
        <f>J514</f>
        <v>0</v>
      </c>
      <c r="K513" s="49">
        <f t="shared" ref="K513:K519" ca="1" si="115">IF(I$513&gt;0,J513*100/I$513,0)</f>
        <v>0</v>
      </c>
      <c r="L513" s="61"/>
      <c r="M513" s="61"/>
      <c r="N513" s="61"/>
    </row>
    <row r="514" spans="1:14" ht="21.75" customHeight="1" x14ac:dyDescent="0.4">
      <c r="A514" s="55"/>
      <c r="B514" s="56"/>
      <c r="C514" s="56"/>
      <c r="D514" s="73"/>
      <c r="E514" s="77"/>
      <c r="F514" s="75"/>
      <c r="G514" s="99" t="s">
        <v>205</v>
      </c>
      <c r="H514" s="60" t="s">
        <v>103</v>
      </c>
      <c r="I514" s="48">
        <f t="shared" ref="I514:J514" si="116">I515+I516</f>
        <v>0</v>
      </c>
      <c r="J514" s="48">
        <f t="shared" si="116"/>
        <v>0</v>
      </c>
      <c r="K514" s="49">
        <f t="shared" ca="1" si="115"/>
        <v>0</v>
      </c>
      <c r="L514" s="61"/>
      <c r="M514" s="61"/>
      <c r="N514" s="61"/>
    </row>
    <row r="515" spans="1:14" ht="21.75" customHeight="1" x14ac:dyDescent="0.4">
      <c r="A515" s="55"/>
      <c r="B515" s="56"/>
      <c r="C515" s="56"/>
      <c r="D515" s="73"/>
      <c r="E515" s="77"/>
      <c r="F515" s="75"/>
      <c r="G515" s="334" t="s">
        <v>206</v>
      </c>
      <c r="H515" s="60" t="s">
        <v>103</v>
      </c>
      <c r="I515" s="67">
        <v>0</v>
      </c>
      <c r="J515" s="68">
        <v>0</v>
      </c>
      <c r="K515" s="49">
        <f t="shared" ca="1" si="115"/>
        <v>0</v>
      </c>
      <c r="L515" s="61"/>
      <c r="M515" s="61"/>
      <c r="N515" s="61"/>
    </row>
    <row r="516" spans="1:14" ht="21.75" customHeight="1" x14ac:dyDescent="0.4">
      <c r="A516" s="55"/>
      <c r="B516" s="56"/>
      <c r="C516" s="56"/>
      <c r="D516" s="73"/>
      <c r="E516" s="77"/>
      <c r="F516" s="75"/>
      <c r="G516" s="334" t="s">
        <v>207</v>
      </c>
      <c r="H516" s="60" t="s">
        <v>103</v>
      </c>
      <c r="I516" s="67">
        <v>0</v>
      </c>
      <c r="J516" s="68">
        <v>0</v>
      </c>
      <c r="K516" s="49">
        <f t="shared" ca="1" si="115"/>
        <v>0</v>
      </c>
      <c r="L516" s="61"/>
      <c r="M516" s="61"/>
      <c r="N516" s="61"/>
    </row>
    <row r="517" spans="1:14" ht="21.75" customHeight="1" x14ac:dyDescent="0.4">
      <c r="A517" s="55"/>
      <c r="B517" s="56"/>
      <c r="C517" s="56"/>
      <c r="D517" s="73"/>
      <c r="E517" s="77"/>
      <c r="F517" s="75"/>
      <c r="G517" s="99" t="s">
        <v>209</v>
      </c>
      <c r="H517" s="60" t="s">
        <v>103</v>
      </c>
      <c r="I517" s="67">
        <f t="shared" ref="I517:J517" si="117">SUM(I518:I519)</f>
        <v>0</v>
      </c>
      <c r="J517" s="67">
        <f t="shared" si="117"/>
        <v>0</v>
      </c>
      <c r="K517" s="49">
        <f t="shared" ca="1" si="115"/>
        <v>0</v>
      </c>
      <c r="L517" s="61"/>
      <c r="M517" s="61"/>
      <c r="N517" s="61"/>
    </row>
    <row r="518" spans="1:14" ht="21.75" customHeight="1" x14ac:dyDescent="0.4">
      <c r="A518" s="55"/>
      <c r="B518" s="56"/>
      <c r="C518" s="56"/>
      <c r="D518" s="73"/>
      <c r="E518" s="77"/>
      <c r="F518" s="75"/>
      <c r="G518" s="334" t="s">
        <v>210</v>
      </c>
      <c r="H518" s="60" t="s">
        <v>103</v>
      </c>
      <c r="I518" s="67">
        <v>0</v>
      </c>
      <c r="J518" s="68">
        <v>0</v>
      </c>
      <c r="K518" s="49">
        <f t="shared" ca="1" si="115"/>
        <v>0</v>
      </c>
      <c r="L518" s="61"/>
      <c r="M518" s="61"/>
      <c r="N518" s="61"/>
    </row>
    <row r="519" spans="1:14" ht="21.75" customHeight="1" x14ac:dyDescent="0.4">
      <c r="A519" s="55"/>
      <c r="B519" s="56"/>
      <c r="C519" s="56"/>
      <c r="D519" s="73"/>
      <c r="E519" s="77"/>
      <c r="F519" s="75"/>
      <c r="G519" s="334" t="s">
        <v>211</v>
      </c>
      <c r="H519" s="60" t="s">
        <v>103</v>
      </c>
      <c r="I519" s="67">
        <v>0</v>
      </c>
      <c r="J519" s="68">
        <v>0</v>
      </c>
      <c r="K519" s="49">
        <f t="shared" ca="1" si="115"/>
        <v>0</v>
      </c>
      <c r="L519" s="61"/>
      <c r="M519" s="61"/>
      <c r="N519" s="61"/>
    </row>
    <row r="520" spans="1:14" ht="21.75" customHeight="1" x14ac:dyDescent="0.4">
      <c r="A520" s="335" t="s">
        <v>212</v>
      </c>
      <c r="B520" s="336"/>
      <c r="C520" s="336"/>
      <c r="D520" s="336"/>
      <c r="E520" s="336"/>
      <c r="F520" s="336"/>
      <c r="G520" s="337"/>
      <c r="H520" s="338"/>
      <c r="I520" s="339"/>
      <c r="J520" s="339"/>
      <c r="K520" s="340"/>
      <c r="L520" s="340"/>
      <c r="M520" s="340"/>
      <c r="N520" s="341"/>
    </row>
    <row r="521" spans="1:14" ht="21.75" customHeight="1" x14ac:dyDescent="0.4">
      <c r="A521" s="316"/>
      <c r="B521" s="45" t="s">
        <v>213</v>
      </c>
      <c r="C521" s="43"/>
      <c r="D521" s="51"/>
      <c r="E521" s="45"/>
      <c r="F521" s="45"/>
      <c r="G521" s="46"/>
      <c r="H521" s="342" t="s">
        <v>20</v>
      </c>
      <c r="I521" s="200">
        <f ca="1">IFERROR(__xludf.DUMMYFUNCTION("IMPORTRANGE(""https://docs.google.com/spreadsheets/d/1muirlRDkqiswvy_NRZ3Yh955hx-PF6_HhssUYiSJj8o/edit?usp=sharing"",""กองทุน!D29"")"),20013464.24)</f>
        <v>20013464.239999998</v>
      </c>
      <c r="J521" s="200">
        <f ca="1">IFERROR(__xludf.DUMMYFUNCTION("IMPORTRANGE(""https://docs.google.com/spreadsheets/d/1muirlRDkqiswvy_NRZ3Yh955hx-PF6_HhssUYiSJj8o/edit?usp=sharing"",""กองทุน!F29"")"),46731.96)</f>
        <v>46731.96</v>
      </c>
      <c r="K521" s="201">
        <f t="shared" ref="K521:K528" ca="1" si="118">IF(I521&gt;0,J521*100/I521,0)</f>
        <v>0.23350260324546393</v>
      </c>
      <c r="L521" s="201"/>
      <c r="M521" s="201"/>
      <c r="N521" s="53"/>
    </row>
    <row r="522" spans="1:14" ht="21.75" customHeight="1" x14ac:dyDescent="0.4">
      <c r="A522" s="316"/>
      <c r="B522" s="43"/>
      <c r="C522" s="43"/>
      <c r="D522" s="51"/>
      <c r="E522" s="45"/>
      <c r="F522" s="45"/>
      <c r="G522" s="46"/>
      <c r="H522" s="342" t="s">
        <v>16</v>
      </c>
      <c r="I522" s="200">
        <f ca="1">IFERROR(__xludf.DUMMYFUNCTION("IMPORTRANGE(""https://docs.google.com/spreadsheets/d/1muirlRDkqiswvy_NRZ3Yh955hx-PF6_HhssUYiSJj8o/edit?usp=sharing"",""กองทุน!C29"")"),654)</f>
        <v>654</v>
      </c>
      <c r="J522" s="200">
        <f ca="1">IFERROR(__xludf.DUMMYFUNCTION("IMPORTRANGE(""https://docs.google.com/spreadsheets/d/1muirlRDkqiswvy_NRZ3Yh955hx-PF6_HhssUYiSJj8o/edit?usp=sharing"",""กองทุน!E29"")"),2)</f>
        <v>2</v>
      </c>
      <c r="K522" s="201">
        <f t="shared" ca="1" si="118"/>
        <v>0.3058103975535168</v>
      </c>
      <c r="L522" s="201"/>
      <c r="M522" s="201"/>
      <c r="N522" s="53"/>
    </row>
    <row r="523" spans="1:14" ht="21.75" customHeight="1" x14ac:dyDescent="0.4">
      <c r="A523" s="316"/>
      <c r="B523" s="45" t="s">
        <v>214</v>
      </c>
      <c r="C523" s="43"/>
      <c r="D523" s="51"/>
      <c r="E523" s="45"/>
      <c r="F523" s="45"/>
      <c r="G523" s="46"/>
      <c r="H523" s="342" t="s">
        <v>20</v>
      </c>
      <c r="I523" s="200">
        <f ca="1">IFERROR(__xludf.DUMMYFUNCTION("IMPORTRANGE(""https://docs.google.com/spreadsheets/d/1muirlRDkqiswvy_NRZ3Yh955hx-PF6_HhssUYiSJj8o/edit?usp=sharing"",""กองทุน!I29"")"),28025974.82)</f>
        <v>28025974.82</v>
      </c>
      <c r="J523" s="200">
        <f ca="1">IFERROR(__xludf.DUMMYFUNCTION("IMPORTRANGE(""https://docs.google.com/spreadsheets/d/1muirlRDkqiswvy_NRZ3Yh955hx-PF6_HhssUYiSJj8o/edit?usp=sharing"",""กองทุน!K29"")"),121909.74)</f>
        <v>121909.74</v>
      </c>
      <c r="K523" s="201">
        <f t="shared" ca="1" si="118"/>
        <v>0.43498840194847505</v>
      </c>
      <c r="L523" s="201"/>
      <c r="M523" s="201"/>
      <c r="N523" s="53"/>
    </row>
    <row r="524" spans="1:14" ht="21.75" customHeight="1" x14ac:dyDescent="0.4">
      <c r="A524" s="316"/>
      <c r="B524" s="43"/>
      <c r="C524" s="43"/>
      <c r="D524" s="51"/>
      <c r="E524" s="45"/>
      <c r="F524" s="45"/>
      <c r="G524" s="46"/>
      <c r="H524" s="342" t="s">
        <v>16</v>
      </c>
      <c r="I524" s="200">
        <f ca="1">IFERROR(__xludf.DUMMYFUNCTION("IMPORTRANGE(""https://docs.google.com/spreadsheets/d/1muirlRDkqiswvy_NRZ3Yh955hx-PF6_HhssUYiSJj8o/edit?usp=sharing"",""กองทุน!H29"")"),1029)</f>
        <v>1029</v>
      </c>
      <c r="J524" s="200">
        <f ca="1">IFERROR(__xludf.DUMMYFUNCTION("IMPORTRANGE(""https://docs.google.com/spreadsheets/d/1muirlRDkqiswvy_NRZ3Yh955hx-PF6_HhssUYiSJj8o/edit?usp=sharing"",""กองทุน!J29"")"),17)</f>
        <v>17</v>
      </c>
      <c r="K524" s="201">
        <f t="shared" ca="1" si="118"/>
        <v>1.652089407191448</v>
      </c>
      <c r="L524" s="201"/>
      <c r="M524" s="201"/>
      <c r="N524" s="53"/>
    </row>
    <row r="525" spans="1:14" ht="21.75" customHeight="1" x14ac:dyDescent="0.4">
      <c r="A525" s="316"/>
      <c r="B525" s="45" t="s">
        <v>215</v>
      </c>
      <c r="C525" s="43"/>
      <c r="D525" s="51"/>
      <c r="E525" s="45"/>
      <c r="F525" s="45"/>
      <c r="G525" s="46"/>
      <c r="H525" s="342" t="s">
        <v>20</v>
      </c>
      <c r="I525" s="200">
        <f ca="1">IFERROR(__xludf.DUMMYFUNCTION("IMPORTRANGE(""https://docs.google.com/spreadsheets/d/1muirlRDkqiswvy_NRZ3Yh955hx-PF6_HhssUYiSJj8o/edit?usp=sharing"",""กองทุน!N29"")"),2998238.99)</f>
        <v>2998238.99</v>
      </c>
      <c r="J525" s="200">
        <f ca="1">IFERROR(__xludf.DUMMYFUNCTION("IMPORTRANGE(""https://docs.google.com/spreadsheets/d/1muirlRDkqiswvy_NRZ3Yh955hx-PF6_HhssUYiSJj8o/edit?usp=sharing"",""กองทุน!P29"")"),5000)</f>
        <v>5000</v>
      </c>
      <c r="K525" s="201">
        <f t="shared" ca="1" si="118"/>
        <v>0.16676455801810514</v>
      </c>
      <c r="L525" s="201"/>
      <c r="M525" s="201"/>
      <c r="N525" s="53"/>
    </row>
    <row r="526" spans="1:14" ht="21.75" customHeight="1" x14ac:dyDescent="0.4">
      <c r="A526" s="316"/>
      <c r="B526" s="45"/>
      <c r="C526" s="43"/>
      <c r="D526" s="51"/>
      <c r="E526" s="45"/>
      <c r="F526" s="45"/>
      <c r="G526" s="46"/>
      <c r="H526" s="342" t="s">
        <v>16</v>
      </c>
      <c r="I526" s="200">
        <f ca="1">IFERROR(__xludf.DUMMYFUNCTION("IMPORTRANGE(""https://docs.google.com/spreadsheets/d/1muirlRDkqiswvy_NRZ3Yh955hx-PF6_HhssUYiSJj8o/edit?usp=sharing"",""กองทุน!M29"")"),117)</f>
        <v>117</v>
      </c>
      <c r="J526" s="200">
        <f ca="1">IFERROR(__xludf.DUMMYFUNCTION("IMPORTRANGE(""https://docs.google.com/spreadsheets/d/1muirlRDkqiswvy_NRZ3Yh955hx-PF6_HhssUYiSJj8o/edit?usp=sharing"",""กองทุน!O29"")"),1)</f>
        <v>1</v>
      </c>
      <c r="K526" s="201">
        <f t="shared" ca="1" si="118"/>
        <v>0.85470085470085466</v>
      </c>
      <c r="L526" s="201"/>
      <c r="M526" s="201"/>
      <c r="N526" s="53"/>
    </row>
    <row r="527" spans="1:14" ht="21.75" customHeight="1" x14ac:dyDescent="0.4">
      <c r="A527" s="316"/>
      <c r="B527" s="45" t="s">
        <v>216</v>
      </c>
      <c r="C527" s="43"/>
      <c r="D527" s="51"/>
      <c r="E527" s="45"/>
      <c r="F527" s="45"/>
      <c r="G527" s="46"/>
      <c r="H527" s="342" t="s">
        <v>20</v>
      </c>
      <c r="I527" s="200">
        <f ca="1">IFERROR(__xludf.DUMMYFUNCTION("IMPORTRANGE(""https://docs.google.com/spreadsheets/d/1muirlRDkqiswvy_NRZ3Yh955hx-PF6_HhssUYiSJj8o/edit?usp=sharing"",""กองทุน!S29"")"),12000000)</f>
        <v>12000000</v>
      </c>
      <c r="J527" s="200">
        <f ca="1">IFERROR(__xludf.DUMMYFUNCTION("IMPORTRANGE(""https://docs.google.com/spreadsheets/d/1muirlRDkqiswvy_NRZ3Yh955hx-PF6_HhssUYiSJj8o/edit?usp=sharing"",""กองทุน!U29"")"),0)</f>
        <v>0</v>
      </c>
      <c r="K527" s="201">
        <f t="shared" ca="1" si="118"/>
        <v>0</v>
      </c>
      <c r="L527" s="201"/>
      <c r="M527" s="201"/>
      <c r="N527" s="53"/>
    </row>
    <row r="528" spans="1:14" ht="21.75" customHeight="1" x14ac:dyDescent="0.4">
      <c r="A528" s="317"/>
      <c r="B528" s="319"/>
      <c r="C528" s="319"/>
      <c r="D528" s="318"/>
      <c r="E528" s="343"/>
      <c r="F528" s="343"/>
      <c r="G528" s="344"/>
      <c r="H528" s="345" t="s">
        <v>16</v>
      </c>
      <c r="I528" s="322">
        <f ca="1">IFERROR(__xludf.DUMMYFUNCTION("IMPORTRANGE(""https://docs.google.com/spreadsheets/d/1muirlRDkqiswvy_NRZ3Yh955hx-PF6_HhssUYiSJj8o/edit?usp=sharing"",""กองทุน!R29"")"),300)</f>
        <v>300</v>
      </c>
      <c r="J528" s="322">
        <f ca="1">IFERROR(__xludf.DUMMYFUNCTION("IMPORTRANGE(""https://docs.google.com/spreadsheets/d/1muirlRDkqiswvy_NRZ3Yh955hx-PF6_HhssUYiSJj8o/edit?usp=sharing"",""กองทุน!T29"")"),0)</f>
        <v>0</v>
      </c>
      <c r="K528" s="323">
        <f t="shared" ca="1" si="118"/>
        <v>0</v>
      </c>
      <c r="L528" s="323"/>
      <c r="M528" s="323"/>
      <c r="N528" s="346"/>
    </row>
    <row r="529" spans="1:14" ht="21.75" customHeight="1" x14ac:dyDescent="0.4">
      <c r="A529" s="347"/>
      <c r="B529" s="347"/>
      <c r="C529" s="347"/>
      <c r="D529" s="347"/>
      <c r="E529" s="348" t="s">
        <v>217</v>
      </c>
      <c r="F529" s="348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&amp;P/&amp;N&amp;R&amp;F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L18" sqref="L18"/>
      <selection pane="bottomLeft" activeCell="L18" sqref="L18"/>
    </sheetView>
  </sheetViews>
  <sheetFormatPr defaultColWidth="12.625" defaultRowHeight="15" customHeight="1" x14ac:dyDescent="0.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4">
      <c r="A1" s="403" t="s">
        <v>0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</row>
    <row r="2" spans="1:14" ht="18" customHeight="1" x14ac:dyDescent="0.4">
      <c r="A2" s="403" t="s">
        <v>240</v>
      </c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404"/>
    </row>
    <row r="3" spans="1:14" ht="18" customHeight="1" x14ac:dyDescent="0.4">
      <c r="A3" s="403" t="s">
        <v>249</v>
      </c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04"/>
    </row>
    <row r="4" spans="1:14" ht="33.75" customHeight="1" x14ac:dyDescent="0.4">
      <c r="A4" s="2"/>
      <c r="B4" s="2"/>
      <c r="C4" s="2"/>
      <c r="D4" s="2"/>
      <c r="E4" s="2"/>
      <c r="F4" s="2"/>
      <c r="G4" s="2"/>
      <c r="H4" s="2"/>
      <c r="I4" s="2"/>
      <c r="J4" s="354" t="s">
        <v>2</v>
      </c>
      <c r="K4" s="4"/>
      <c r="L4" s="5"/>
      <c r="M4" s="355" t="s">
        <v>3</v>
      </c>
      <c r="N4" s="2"/>
    </row>
    <row r="5" spans="1:14" ht="21.75" customHeight="1" x14ac:dyDescent="0.55000000000000004">
      <c r="A5" s="405" t="s">
        <v>4</v>
      </c>
      <c r="B5" s="406"/>
      <c r="C5" s="406"/>
      <c r="D5" s="406"/>
      <c r="E5" s="406"/>
      <c r="F5" s="406"/>
      <c r="G5" s="407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1552605</v>
      </c>
      <c r="M6" s="16">
        <f t="shared" si="0"/>
        <v>318199.56</v>
      </c>
      <c r="N6" s="17">
        <f ca="1">IF(L6&gt;0,M6*100/L6,0)</f>
        <v>20.494559788226884</v>
      </c>
    </row>
    <row r="7" spans="1:14" ht="21.75" customHeight="1" x14ac:dyDescent="0.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41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41">
        <f ca="1">IF(L9&gt;0,M9*100/L9,0)</f>
        <v>0</v>
      </c>
    </row>
    <row r="10" spans="1:14" ht="21.75" customHeight="1" x14ac:dyDescent="0.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41">
        <f t="shared" ca="1" si="2"/>
        <v>0</v>
      </c>
      <c r="L10" s="40"/>
      <c r="M10" s="40"/>
      <c r="N10" s="41"/>
    </row>
    <row r="11" spans="1:14" ht="21.75" customHeight="1" x14ac:dyDescent="0.4">
      <c r="A11" s="42"/>
      <c r="B11" s="43"/>
      <c r="C11" s="43" t="s">
        <v>17</v>
      </c>
      <c r="D11" s="44" t="s">
        <v>18</v>
      </c>
      <c r="E11" s="45"/>
      <c r="F11" s="45"/>
      <c r="G11" s="46" t="s">
        <v>19</v>
      </c>
      <c r="H11" s="47" t="s">
        <v>20</v>
      </c>
      <c r="I11" s="48" t="s">
        <v>21</v>
      </c>
      <c r="J11" s="48"/>
      <c r="K11" s="49"/>
      <c r="L11" s="50">
        <v>0</v>
      </c>
      <c r="M11" s="50">
        <v>0</v>
      </c>
      <c r="N11" s="50">
        <f t="shared" ref="N11:N14" si="4">+IF(L11&gt;0,M11*100/L11,0)</f>
        <v>0</v>
      </c>
    </row>
    <row r="12" spans="1:14" ht="21.75" customHeight="1" x14ac:dyDescent="0.4">
      <c r="A12" s="42"/>
      <c r="B12" s="43"/>
      <c r="C12" s="43"/>
      <c r="D12" s="51"/>
      <c r="E12" s="45"/>
      <c r="F12" s="45" t="s">
        <v>21</v>
      </c>
      <c r="G12" s="46" t="s">
        <v>22</v>
      </c>
      <c r="H12" s="47" t="s">
        <v>20</v>
      </c>
      <c r="I12" s="48"/>
      <c r="J12" s="48"/>
      <c r="K12" s="49"/>
      <c r="L12" s="53">
        <f ca="1">IFERROR(__xludf.DUMMYFUNCTION("IMPORTRANGE(""https://docs.google.com/spreadsheets/d/1C3CXT74ZlgGe6_JY_1olB1XN4rF0dxEuIIF-xsYjHgg/edit?usp=sharing"",""พรบ!C30"")"),0)</f>
        <v>0</v>
      </c>
      <c r="M12" s="50">
        <f>SUM(M13:M14)</f>
        <v>0</v>
      </c>
      <c r="N12" s="50">
        <f t="shared" ca="1" si="4"/>
        <v>0</v>
      </c>
    </row>
    <row r="13" spans="1:14" ht="21.75" customHeight="1" x14ac:dyDescent="0.4">
      <c r="A13" s="42"/>
      <c r="B13" s="43"/>
      <c r="C13" s="43"/>
      <c r="D13" s="51"/>
      <c r="E13" s="45"/>
      <c r="F13" s="45"/>
      <c r="G13" s="52" t="s">
        <v>23</v>
      </c>
      <c r="H13" s="47" t="s">
        <v>20</v>
      </c>
      <c r="I13" s="48"/>
      <c r="J13" s="67"/>
      <c r="K13" s="233"/>
      <c r="L13" s="53">
        <f ca="1">IFERROR(__xludf.DUMMYFUNCTION("IMPORTRANGE(""https://docs.google.com/spreadsheets/d/1C3CXT74ZlgGe6_JY_1olB1XN4rF0dxEuIIF-xsYjHgg/edit?usp=sharing"",""พรบ!D30"")"),0)</f>
        <v>0</v>
      </c>
      <c r="M13" s="53">
        <v>0</v>
      </c>
      <c r="N13" s="53">
        <f t="shared" ca="1" si="4"/>
        <v>0</v>
      </c>
    </row>
    <row r="14" spans="1:14" ht="21.75" customHeight="1" x14ac:dyDescent="0.4">
      <c r="A14" s="42"/>
      <c r="B14" s="43"/>
      <c r="C14" s="43"/>
      <c r="D14" s="51"/>
      <c r="E14" s="45"/>
      <c r="F14" s="45"/>
      <c r="G14" s="52" t="s">
        <v>24</v>
      </c>
      <c r="H14" s="47" t="s">
        <v>20</v>
      </c>
      <c r="I14" s="48"/>
      <c r="J14" s="67"/>
      <c r="K14" s="233"/>
      <c r="L14" s="53">
        <f ca="1">IFERROR(__xludf.DUMMYFUNCTION("IMPORTRANGE(""https://docs.google.com/spreadsheets/d/1C3CXT74ZlgGe6_JY_1olB1XN4rF0dxEuIIF-xsYjHgg/edit?usp=sharing"",""พรบ!E30"")"),0)</f>
        <v>0</v>
      </c>
      <c r="M14" s="53">
        <v>0</v>
      </c>
      <c r="N14" s="53">
        <f t="shared" ca="1" si="4"/>
        <v>0</v>
      </c>
    </row>
    <row r="15" spans="1:14" ht="21.75" customHeight="1" x14ac:dyDescent="0.4">
      <c r="A15" s="55"/>
      <c r="B15" s="56"/>
      <c r="C15" s="43" t="s">
        <v>17</v>
      </c>
      <c r="D15" s="57" t="s">
        <v>25</v>
      </c>
      <c r="E15" s="58"/>
      <c r="F15" s="58"/>
      <c r="G15" s="59"/>
      <c r="H15" s="60"/>
      <c r="I15" s="48"/>
      <c r="J15" s="67"/>
      <c r="K15" s="233"/>
      <c r="L15" s="53"/>
      <c r="M15" s="53"/>
      <c r="N15" s="61"/>
    </row>
    <row r="16" spans="1:14" ht="21.75" customHeight="1" x14ac:dyDescent="0.4">
      <c r="A16" s="55"/>
      <c r="B16" s="56"/>
      <c r="C16" s="56"/>
      <c r="D16" s="62">
        <v>1</v>
      </c>
      <c r="E16" s="63" t="s">
        <v>26</v>
      </c>
      <c r="F16" s="64"/>
      <c r="G16" s="65"/>
      <c r="H16" s="66"/>
      <c r="I16" s="67"/>
      <c r="J16" s="67">
        <v>0</v>
      </c>
      <c r="K16" s="233"/>
      <c r="L16" s="53"/>
      <c r="M16" s="53"/>
      <c r="N16" s="61"/>
    </row>
    <row r="17" spans="1:14" ht="21.75" customHeight="1" x14ac:dyDescent="0.4">
      <c r="A17" s="55"/>
      <c r="B17" s="56"/>
      <c r="C17" s="56"/>
      <c r="D17" s="69">
        <v>2</v>
      </c>
      <c r="E17" s="70" t="s">
        <v>27</v>
      </c>
      <c r="F17" s="71"/>
      <c r="G17" s="72"/>
      <c r="H17" s="66"/>
      <c r="I17" s="67"/>
      <c r="J17" s="67">
        <v>0</v>
      </c>
      <c r="K17" s="233"/>
      <c r="L17" s="53" t="s">
        <v>21</v>
      </c>
      <c r="M17" s="53" t="s">
        <v>21</v>
      </c>
      <c r="N17" s="61"/>
    </row>
    <row r="18" spans="1:14" ht="21.75" customHeight="1" x14ac:dyDescent="0.4">
      <c r="A18" s="55"/>
      <c r="B18" s="56"/>
      <c r="C18" s="56"/>
      <c r="D18" s="73"/>
      <c r="E18" s="74" t="s">
        <v>28</v>
      </c>
      <c r="F18" s="75"/>
      <c r="G18" s="76"/>
      <c r="H18" s="66"/>
      <c r="I18" s="67"/>
      <c r="J18" s="67">
        <v>0</v>
      </c>
      <c r="K18" s="233"/>
      <c r="L18" s="53"/>
      <c r="M18" s="53"/>
      <c r="N18" s="61"/>
    </row>
    <row r="19" spans="1:14" ht="21.75" customHeight="1" x14ac:dyDescent="0.4">
      <c r="A19" s="55"/>
      <c r="B19" s="56"/>
      <c r="C19" s="56"/>
      <c r="D19" s="73"/>
      <c r="E19" s="74" t="s">
        <v>29</v>
      </c>
      <c r="F19" s="75"/>
      <c r="G19" s="76"/>
      <c r="H19" s="66"/>
      <c r="I19" s="67"/>
      <c r="J19" s="67">
        <v>0</v>
      </c>
      <c r="K19" s="233"/>
      <c r="L19" s="53"/>
      <c r="M19" s="53"/>
      <c r="N19" s="61"/>
    </row>
    <row r="20" spans="1:14" ht="21.75" customHeight="1" x14ac:dyDescent="0.4">
      <c r="A20" s="55"/>
      <c r="B20" s="56"/>
      <c r="C20" s="56"/>
      <c r="D20" s="73"/>
      <c r="E20" s="77"/>
      <c r="F20" s="74" t="s">
        <v>30</v>
      </c>
      <c r="G20" s="75"/>
      <c r="H20" s="78" t="s">
        <v>15</v>
      </c>
      <c r="I20" s="79">
        <f t="shared" ref="I20:J20" ca="1" si="5">+I22+I24+I26</f>
        <v>0</v>
      </c>
      <c r="J20" s="79">
        <f t="shared" si="5"/>
        <v>0</v>
      </c>
      <c r="K20" s="362">
        <f t="shared" ref="K20:K28" ca="1" si="6">IF(I20&gt;0,J20*100/I20,0)</f>
        <v>0</v>
      </c>
      <c r="L20" s="53"/>
      <c r="M20" s="53"/>
      <c r="N20" s="61"/>
    </row>
    <row r="21" spans="1:14" ht="21.75" customHeight="1" x14ac:dyDescent="0.4">
      <c r="A21" s="55"/>
      <c r="B21" s="56"/>
      <c r="C21" s="56"/>
      <c r="D21" s="73"/>
      <c r="E21" s="77"/>
      <c r="F21" s="75"/>
      <c r="G21" s="76"/>
      <c r="H21" s="78" t="s">
        <v>16</v>
      </c>
      <c r="I21" s="79">
        <f t="shared" ref="I21:J21" ca="1" si="7">+I23+I25+I27</f>
        <v>0</v>
      </c>
      <c r="J21" s="79">
        <f t="shared" si="7"/>
        <v>0</v>
      </c>
      <c r="K21" s="362">
        <f t="shared" ca="1" si="6"/>
        <v>0</v>
      </c>
      <c r="L21" s="53"/>
      <c r="M21" s="53"/>
      <c r="N21" s="61"/>
    </row>
    <row r="22" spans="1:14" ht="21.75" customHeight="1" x14ac:dyDescent="0.4">
      <c r="A22" s="55"/>
      <c r="B22" s="56"/>
      <c r="C22" s="56"/>
      <c r="D22" s="73"/>
      <c r="E22" s="77"/>
      <c r="F22" s="75"/>
      <c r="G22" s="75" t="s">
        <v>31</v>
      </c>
      <c r="H22" s="60" t="s">
        <v>15</v>
      </c>
      <c r="I22" s="48">
        <f ca="1">IFERROR(__xludf.DUMMYFUNCTION("IMPORTRANGE(""https://docs.google.com/spreadsheets/d/1C3CXT74ZlgGe6_JY_1olB1XN4rF0dxEuIIF-xsYjHgg/edit?usp=sharing"",""พรบ!H30"")"),0)</f>
        <v>0</v>
      </c>
      <c r="J22" s="67">
        <v>0</v>
      </c>
      <c r="K22" s="233">
        <f t="shared" ca="1" si="6"/>
        <v>0</v>
      </c>
      <c r="L22" s="53"/>
      <c r="M22" s="53"/>
      <c r="N22" s="61"/>
    </row>
    <row r="23" spans="1:14" ht="21.75" customHeight="1" x14ac:dyDescent="0.4">
      <c r="A23" s="55"/>
      <c r="B23" s="56"/>
      <c r="C23" s="56"/>
      <c r="D23" s="73"/>
      <c r="E23" s="77"/>
      <c r="F23" s="75"/>
      <c r="G23" s="76"/>
      <c r="H23" s="60" t="s">
        <v>16</v>
      </c>
      <c r="I23" s="48">
        <f ca="1">IFERROR(__xludf.DUMMYFUNCTION("IMPORTRANGE(""https://docs.google.com/spreadsheets/d/1C3CXT74ZlgGe6_JY_1olB1XN4rF0dxEuIIF-xsYjHgg/edit?usp=sharing"",""พรบ!I30"")"),0)</f>
        <v>0</v>
      </c>
      <c r="J23" s="67">
        <v>0</v>
      </c>
      <c r="K23" s="233">
        <f t="shared" ca="1" si="6"/>
        <v>0</v>
      </c>
      <c r="L23" s="53"/>
      <c r="M23" s="53"/>
      <c r="N23" s="61"/>
    </row>
    <row r="24" spans="1:14" ht="21.75" customHeight="1" x14ac:dyDescent="0.4">
      <c r="A24" s="55"/>
      <c r="B24" s="56"/>
      <c r="C24" s="56"/>
      <c r="D24" s="73"/>
      <c r="E24" s="77"/>
      <c r="F24" s="75"/>
      <c r="G24" s="75" t="s">
        <v>32</v>
      </c>
      <c r="H24" s="60" t="s">
        <v>15</v>
      </c>
      <c r="I24" s="48">
        <f ca="1">IFERROR(__xludf.DUMMYFUNCTION("IMPORTRANGE(""https://docs.google.com/spreadsheets/d/1C3CXT74ZlgGe6_JY_1olB1XN4rF0dxEuIIF-xsYjHgg/edit?usp=sharing"",""พรบ!J30"")"),0)</f>
        <v>0</v>
      </c>
      <c r="J24" s="67">
        <v>0</v>
      </c>
      <c r="K24" s="233">
        <f t="shared" ca="1" si="6"/>
        <v>0</v>
      </c>
      <c r="L24" s="53"/>
      <c r="M24" s="53"/>
      <c r="N24" s="61"/>
    </row>
    <row r="25" spans="1:14" ht="21.75" customHeight="1" x14ac:dyDescent="0.4">
      <c r="A25" s="55"/>
      <c r="B25" s="56"/>
      <c r="C25" s="56"/>
      <c r="D25" s="73"/>
      <c r="E25" s="77"/>
      <c r="F25" s="75"/>
      <c r="G25" s="76"/>
      <c r="H25" s="60" t="s">
        <v>16</v>
      </c>
      <c r="I25" s="48">
        <f ca="1">IFERROR(__xludf.DUMMYFUNCTION("IMPORTRANGE(""https://docs.google.com/spreadsheets/d/1C3CXT74ZlgGe6_JY_1olB1XN4rF0dxEuIIF-xsYjHgg/edit?usp=sharing"",""พรบ!K30"")"),0)</f>
        <v>0</v>
      </c>
      <c r="J25" s="67">
        <v>0</v>
      </c>
      <c r="K25" s="233">
        <f t="shared" ca="1" si="6"/>
        <v>0</v>
      </c>
      <c r="L25" s="53"/>
      <c r="M25" s="53"/>
      <c r="N25" s="61"/>
    </row>
    <row r="26" spans="1:14" ht="21.75" customHeight="1" x14ac:dyDescent="0.4">
      <c r="A26" s="55"/>
      <c r="B26" s="56"/>
      <c r="C26" s="56"/>
      <c r="D26" s="73"/>
      <c r="E26" s="77"/>
      <c r="F26" s="75"/>
      <c r="G26" s="75" t="s">
        <v>33</v>
      </c>
      <c r="H26" s="60" t="s">
        <v>15</v>
      </c>
      <c r="I26" s="48">
        <f ca="1">IFERROR(__xludf.DUMMYFUNCTION("IMPORTRANGE(""https://docs.google.com/spreadsheets/d/1C3CXT74ZlgGe6_JY_1olB1XN4rF0dxEuIIF-xsYjHgg/edit?usp=sharing"",""พรบ!L30"")"),0)</f>
        <v>0</v>
      </c>
      <c r="J26" s="67">
        <v>0</v>
      </c>
      <c r="K26" s="233">
        <f t="shared" ca="1" si="6"/>
        <v>0</v>
      </c>
      <c r="L26" s="53"/>
      <c r="M26" s="53"/>
      <c r="N26" s="61"/>
    </row>
    <row r="27" spans="1:14" ht="21.75" customHeight="1" x14ac:dyDescent="0.4">
      <c r="A27" s="55"/>
      <c r="B27" s="56"/>
      <c r="C27" s="56"/>
      <c r="D27" s="73"/>
      <c r="E27" s="77"/>
      <c r="F27" s="75"/>
      <c r="G27" s="76"/>
      <c r="H27" s="60" t="s">
        <v>16</v>
      </c>
      <c r="I27" s="48">
        <f ca="1">IFERROR(__xludf.DUMMYFUNCTION("IMPORTRANGE(""https://docs.google.com/spreadsheets/d/1C3CXT74ZlgGe6_JY_1olB1XN4rF0dxEuIIF-xsYjHgg/edit?usp=sharing"",""พรบ!M30"")"),0)</f>
        <v>0</v>
      </c>
      <c r="J27" s="67">
        <v>0</v>
      </c>
      <c r="K27" s="233">
        <f t="shared" ca="1" si="6"/>
        <v>0</v>
      </c>
      <c r="L27" s="53"/>
      <c r="M27" s="53"/>
      <c r="N27" s="61"/>
    </row>
    <row r="28" spans="1:14" ht="21.75" customHeight="1" x14ac:dyDescent="0.4">
      <c r="A28" s="55"/>
      <c r="B28" s="56"/>
      <c r="C28" s="56"/>
      <c r="D28" s="73"/>
      <c r="E28" s="77"/>
      <c r="F28" s="74" t="s">
        <v>34</v>
      </c>
      <c r="G28" s="75"/>
      <c r="H28" s="60" t="s">
        <v>16</v>
      </c>
      <c r="I28" s="48">
        <f ca="1">IFERROR(__xludf.DUMMYFUNCTION("IMPORTRANGE(""https://docs.google.com/spreadsheets/d/1C3CXT74ZlgGe6_JY_1olB1XN4rF0dxEuIIF-xsYjHgg/edit?usp=sharing"",""พรบ!N30"")"),0)</f>
        <v>0</v>
      </c>
      <c r="J28" s="67">
        <v>0</v>
      </c>
      <c r="K28" s="233">
        <f t="shared" ca="1" si="6"/>
        <v>0</v>
      </c>
      <c r="L28" s="53"/>
      <c r="M28" s="53"/>
      <c r="N28" s="61"/>
    </row>
    <row r="29" spans="1:14" ht="21.75" customHeight="1" x14ac:dyDescent="0.4">
      <c r="A29" s="55"/>
      <c r="B29" s="56"/>
      <c r="C29" s="56"/>
      <c r="D29" s="73"/>
      <c r="E29" s="74" t="s">
        <v>35</v>
      </c>
      <c r="F29" s="75"/>
      <c r="G29" s="76"/>
      <c r="H29" s="66"/>
      <c r="I29" s="67"/>
      <c r="J29" s="67">
        <v>0</v>
      </c>
      <c r="K29" s="233"/>
      <c r="L29" s="53"/>
      <c r="M29" s="53"/>
      <c r="N29" s="61"/>
    </row>
    <row r="30" spans="1:14" ht="21.75" customHeight="1" x14ac:dyDescent="0.4">
      <c r="A30" s="55"/>
      <c r="B30" s="56"/>
      <c r="C30" s="56"/>
      <c r="D30" s="81">
        <v>3</v>
      </c>
      <c r="E30" s="82" t="s">
        <v>36</v>
      </c>
      <c r="F30" s="83"/>
      <c r="G30" s="84"/>
      <c r="H30" s="66"/>
      <c r="I30" s="67"/>
      <c r="J30" s="360">
        <v>0</v>
      </c>
      <c r="K30" s="233"/>
      <c r="L30" s="53"/>
      <c r="M30" s="53"/>
      <c r="N30" s="61"/>
    </row>
    <row r="31" spans="1:14" ht="21.75" customHeight="1" x14ac:dyDescent="0.4">
      <c r="A31" s="86" t="s">
        <v>37</v>
      </c>
      <c r="B31" s="87"/>
      <c r="C31" s="88"/>
      <c r="D31" s="87"/>
      <c r="E31" s="89"/>
      <c r="F31" s="89"/>
      <c r="G31" s="90"/>
      <c r="H31" s="91"/>
      <c r="I31" s="92"/>
      <c r="J31" s="92"/>
      <c r="K31" s="93"/>
      <c r="L31" s="94"/>
      <c r="M31" s="94"/>
      <c r="N31" s="95"/>
    </row>
    <row r="32" spans="1:14" ht="21.75" customHeight="1" x14ac:dyDescent="0.4">
      <c r="A32" s="34"/>
      <c r="B32" s="35" t="s">
        <v>38</v>
      </c>
      <c r="C32" s="35"/>
      <c r="D32" s="36"/>
      <c r="E32" s="35"/>
      <c r="F32" s="35"/>
      <c r="G32" s="96"/>
      <c r="H32" s="37" t="s">
        <v>16</v>
      </c>
      <c r="I32" s="38">
        <f t="shared" ref="I32:J32" ca="1" si="8">+I44</f>
        <v>7</v>
      </c>
      <c r="J32" s="38">
        <f t="shared" si="8"/>
        <v>0</v>
      </c>
      <c r="K32" s="41">
        <f t="shared" ref="K32:K33" ca="1" si="9">IF(I32&gt;0,J32*100/I32,0)</f>
        <v>0</v>
      </c>
      <c r="L32" s="97">
        <f ca="1">L34+L35</f>
        <v>134160</v>
      </c>
      <c r="M32" s="97">
        <f>SUM(M34:M35)</f>
        <v>39230</v>
      </c>
      <c r="N32" s="41">
        <f ca="1">IF(L32&gt;0,M32*100/L32,0)</f>
        <v>29.241204531902206</v>
      </c>
    </row>
    <row r="33" spans="1:14" ht="21.75" customHeight="1" x14ac:dyDescent="0.4">
      <c r="A33" s="34"/>
      <c r="B33" s="35"/>
      <c r="C33" s="35"/>
      <c r="D33" s="36" t="s">
        <v>39</v>
      </c>
      <c r="E33" s="35"/>
      <c r="F33" s="35"/>
      <c r="G33" s="96"/>
      <c r="H33" s="37" t="s">
        <v>40</v>
      </c>
      <c r="I33" s="38">
        <f ca="1">I48</f>
        <v>2</v>
      </c>
      <c r="J33" s="38">
        <f>+J48</f>
        <v>0</v>
      </c>
      <c r="K33" s="41">
        <f t="shared" ca="1" si="9"/>
        <v>0</v>
      </c>
      <c r="L33" s="97"/>
      <c r="M33" s="97"/>
      <c r="N33" s="41"/>
    </row>
    <row r="34" spans="1:14" ht="21.75" customHeight="1" x14ac:dyDescent="0.4">
      <c r="A34" s="42"/>
      <c r="B34" s="43"/>
      <c r="C34" s="43" t="s">
        <v>17</v>
      </c>
      <c r="D34" s="44" t="s">
        <v>18</v>
      </c>
      <c r="E34" s="45"/>
      <c r="F34" s="45"/>
      <c r="G34" s="46" t="s">
        <v>19</v>
      </c>
      <c r="H34" s="47" t="s">
        <v>20</v>
      </c>
      <c r="I34" s="48" t="s">
        <v>21</v>
      </c>
      <c r="J34" s="48"/>
      <c r="K34" s="49"/>
      <c r="L34" s="53">
        <v>0</v>
      </c>
      <c r="M34" s="50">
        <v>0</v>
      </c>
      <c r="N34" s="50">
        <f t="shared" ref="N34:N37" si="10">+IF(L34&gt;0,M34*100/L34,0)</f>
        <v>0</v>
      </c>
    </row>
    <row r="35" spans="1:14" ht="21.75" customHeight="1" x14ac:dyDescent="0.4">
      <c r="A35" s="42"/>
      <c r="B35" s="43"/>
      <c r="C35" s="43"/>
      <c r="D35" s="51"/>
      <c r="E35" s="45"/>
      <c r="F35" s="45" t="s">
        <v>21</v>
      </c>
      <c r="G35" s="46" t="s">
        <v>22</v>
      </c>
      <c r="H35" s="47" t="s">
        <v>20</v>
      </c>
      <c r="I35" s="48"/>
      <c r="J35" s="48"/>
      <c r="K35" s="49"/>
      <c r="L35" s="53">
        <f ca="1">IFERROR(__xludf.DUMMYFUNCTION("IMPORTRANGE(""https://docs.google.com/spreadsheets/d/1C3CXT74ZlgGe6_JY_1olB1XN4rF0dxEuIIF-xsYjHgg/edit?usp=sharing"",""พรบ!O30"")"),134160)</f>
        <v>134160</v>
      </c>
      <c r="M35" s="50">
        <f>SUM(M36:M37)</f>
        <v>39230</v>
      </c>
      <c r="N35" s="50">
        <f t="shared" ca="1" si="10"/>
        <v>29.241204531902206</v>
      </c>
    </row>
    <row r="36" spans="1:14" ht="21.75" customHeight="1" x14ac:dyDescent="0.4">
      <c r="A36" s="42"/>
      <c r="B36" s="43"/>
      <c r="C36" s="43"/>
      <c r="D36" s="51"/>
      <c r="E36" s="45"/>
      <c r="F36" s="45"/>
      <c r="G36" s="52" t="s">
        <v>23</v>
      </c>
      <c r="H36" s="47" t="s">
        <v>20</v>
      </c>
      <c r="I36" s="48"/>
      <c r="J36" s="48"/>
      <c r="K36" s="49"/>
      <c r="L36" s="53">
        <f ca="1">IFERROR(__xludf.DUMMYFUNCTION("IMPORTRANGE(""https://docs.google.com/spreadsheets/d/1C3CXT74ZlgGe6_JY_1olB1XN4rF0dxEuIIF-xsYjHgg/edit?usp=sharing"",""พรบ!P30"")"),0)</f>
        <v>0</v>
      </c>
      <c r="M36" s="53">
        <v>0</v>
      </c>
      <c r="N36" s="53">
        <f t="shared" ca="1" si="10"/>
        <v>0</v>
      </c>
    </row>
    <row r="37" spans="1:14" ht="21.75" customHeight="1" x14ac:dyDescent="0.4">
      <c r="A37" s="42"/>
      <c r="B37" s="43"/>
      <c r="C37" s="43"/>
      <c r="D37" s="51"/>
      <c r="E37" s="45"/>
      <c r="F37" s="45"/>
      <c r="G37" s="52" t="s">
        <v>24</v>
      </c>
      <c r="H37" s="47" t="s">
        <v>20</v>
      </c>
      <c r="I37" s="48"/>
      <c r="J37" s="48"/>
      <c r="K37" s="49"/>
      <c r="L37" s="53">
        <f ca="1">IFERROR(__xludf.DUMMYFUNCTION("IMPORTRANGE(""https://docs.google.com/spreadsheets/d/1C3CXT74ZlgGe6_JY_1olB1XN4rF0dxEuIIF-xsYjHgg/edit?usp=sharing"",""พรบ!Q30"")"),134160)</f>
        <v>134160</v>
      </c>
      <c r="M37" s="54">
        <v>39230</v>
      </c>
      <c r="N37" s="53">
        <f t="shared" ca="1" si="10"/>
        <v>29.241204531902206</v>
      </c>
    </row>
    <row r="38" spans="1:14" ht="21.75" customHeight="1" x14ac:dyDescent="0.4">
      <c r="A38" s="55"/>
      <c r="B38" s="56"/>
      <c r="C38" s="43" t="s">
        <v>17</v>
      </c>
      <c r="D38" s="57" t="s">
        <v>25</v>
      </c>
      <c r="E38" s="58"/>
      <c r="F38" s="58"/>
      <c r="G38" s="59"/>
      <c r="H38" s="60"/>
      <c r="I38" s="48"/>
      <c r="J38" s="48"/>
      <c r="K38" s="49"/>
      <c r="L38" s="61"/>
      <c r="M38" s="61"/>
      <c r="N38" s="61"/>
    </row>
    <row r="39" spans="1:14" ht="21.75" customHeight="1" x14ac:dyDescent="0.4">
      <c r="A39" s="55"/>
      <c r="B39" s="56"/>
      <c r="C39" s="56"/>
      <c r="D39" s="62">
        <v>1</v>
      </c>
      <c r="E39" s="63" t="s">
        <v>26</v>
      </c>
      <c r="F39" s="64"/>
      <c r="G39" s="65"/>
      <c r="H39" s="66"/>
      <c r="I39" s="67"/>
      <c r="J39" s="68">
        <v>0</v>
      </c>
      <c r="K39" s="49"/>
      <c r="L39" s="61"/>
      <c r="M39" s="61"/>
      <c r="N39" s="61"/>
    </row>
    <row r="40" spans="1:14" ht="21.75" customHeight="1" x14ac:dyDescent="0.4">
      <c r="A40" s="55"/>
      <c r="B40" s="56"/>
      <c r="C40" s="56"/>
      <c r="D40" s="69">
        <v>2</v>
      </c>
      <c r="E40" s="70" t="s">
        <v>27</v>
      </c>
      <c r="F40" s="71"/>
      <c r="G40" s="72"/>
      <c r="H40" s="66"/>
      <c r="I40" s="67"/>
      <c r="J40" s="68">
        <v>1</v>
      </c>
      <c r="K40" s="49"/>
      <c r="L40" s="61" t="s">
        <v>21</v>
      </c>
      <c r="M40" s="61" t="s">
        <v>21</v>
      </c>
      <c r="N40" s="61"/>
    </row>
    <row r="41" spans="1:14" ht="21.75" customHeight="1" x14ac:dyDescent="0.4">
      <c r="A41" s="55"/>
      <c r="B41" s="56"/>
      <c r="C41" s="56"/>
      <c r="D41" s="73"/>
      <c r="E41" s="74" t="s">
        <v>28</v>
      </c>
      <c r="F41" s="75"/>
      <c r="G41" s="76"/>
      <c r="H41" s="66"/>
      <c r="I41" s="67"/>
      <c r="J41" s="68">
        <v>1</v>
      </c>
      <c r="K41" s="49"/>
      <c r="L41" s="61"/>
      <c r="M41" s="61"/>
      <c r="N41" s="61"/>
    </row>
    <row r="42" spans="1:14" ht="21.75" customHeight="1" x14ac:dyDescent="0.4">
      <c r="A42" s="55"/>
      <c r="B42" s="56"/>
      <c r="C42" s="56"/>
      <c r="D42" s="73"/>
      <c r="E42" s="74" t="s">
        <v>29</v>
      </c>
      <c r="F42" s="75"/>
      <c r="G42" s="76"/>
      <c r="H42" s="66"/>
      <c r="I42" s="67"/>
      <c r="J42" s="68">
        <v>1</v>
      </c>
      <c r="K42" s="49"/>
      <c r="L42" s="61"/>
      <c r="M42" s="61"/>
      <c r="N42" s="61"/>
    </row>
    <row r="43" spans="1:14" ht="21.75" customHeight="1" x14ac:dyDescent="0.4">
      <c r="A43" s="55"/>
      <c r="B43" s="56"/>
      <c r="C43" s="56"/>
      <c r="D43" s="73"/>
      <c r="E43" s="75"/>
      <c r="F43" s="75" t="s">
        <v>41</v>
      </c>
      <c r="G43" s="75"/>
      <c r="H43" s="60" t="s">
        <v>42</v>
      </c>
      <c r="I43" s="48">
        <f ca="1">IFERROR(__xludf.DUMMYFUNCTION("IMPORTRANGE(""https://docs.google.com/spreadsheets/d/1C3CXT74ZlgGe6_JY_1olB1XN4rF0dxEuIIF-xsYjHgg/edit?usp=sharing"",""พรบ!R30"")"),1)</f>
        <v>1</v>
      </c>
      <c r="J43" s="68">
        <v>1</v>
      </c>
      <c r="K43" s="49">
        <f t="shared" ref="K43:K48" ca="1" si="11">IF(I43&gt;0,J43*100/I43,0)</f>
        <v>100</v>
      </c>
      <c r="L43" s="61"/>
      <c r="M43" s="61"/>
      <c r="N43" s="61"/>
    </row>
    <row r="44" spans="1:14" ht="21.75" customHeight="1" x14ac:dyDescent="0.4">
      <c r="A44" s="55"/>
      <c r="B44" s="56"/>
      <c r="C44" s="56"/>
      <c r="D44" s="73"/>
      <c r="E44" s="77"/>
      <c r="F44" s="74" t="s">
        <v>43</v>
      </c>
      <c r="G44" s="75"/>
      <c r="H44" s="60" t="s">
        <v>16</v>
      </c>
      <c r="I44" s="48">
        <f ca="1">IFERROR(__xludf.DUMMYFUNCTION("IMPORTRANGE(""https://docs.google.com/spreadsheets/d/1C3CXT74ZlgGe6_JY_1olB1XN4rF0dxEuIIF-xsYjHgg/edit?usp=sharing"",""พรบ!S30"")"),7)</f>
        <v>7</v>
      </c>
      <c r="J44" s="68">
        <v>0</v>
      </c>
      <c r="K44" s="49">
        <f t="shared" ca="1" si="11"/>
        <v>0</v>
      </c>
      <c r="L44" s="61"/>
      <c r="M44" s="61"/>
      <c r="N44" s="61"/>
    </row>
    <row r="45" spans="1:14" ht="21.75" customHeight="1" x14ac:dyDescent="0.4">
      <c r="A45" s="55"/>
      <c r="B45" s="56"/>
      <c r="C45" s="56"/>
      <c r="D45" s="73"/>
      <c r="E45" s="77"/>
      <c r="F45" s="75"/>
      <c r="G45" s="98" t="s">
        <v>44</v>
      </c>
      <c r="H45" s="60" t="s">
        <v>16</v>
      </c>
      <c r="I45" s="48">
        <f ca="1">IFERROR(__xludf.DUMMYFUNCTION("IMPORTRANGE(""https://docs.google.com/spreadsheets/d/1C3CXT74ZlgGe6_JY_1olB1XN4rF0dxEuIIF-xsYjHgg/edit?usp=sharing"",""พรบ!T30"")"),7)</f>
        <v>7</v>
      </c>
      <c r="J45" s="68">
        <v>0</v>
      </c>
      <c r="K45" s="49">
        <f t="shared" ca="1" si="11"/>
        <v>0</v>
      </c>
      <c r="L45" s="61"/>
      <c r="M45" s="61"/>
      <c r="N45" s="61"/>
    </row>
    <row r="46" spans="1:14" ht="21.75" customHeight="1" x14ac:dyDescent="0.4">
      <c r="A46" s="55"/>
      <c r="B46" s="56"/>
      <c r="C46" s="56"/>
      <c r="D46" s="73"/>
      <c r="E46" s="77"/>
      <c r="F46" s="75"/>
      <c r="G46" s="98" t="s">
        <v>45</v>
      </c>
      <c r="H46" s="60" t="s">
        <v>16</v>
      </c>
      <c r="I46" s="48">
        <f ca="1">IFERROR(__xludf.DUMMYFUNCTION("IMPORTRANGE(""https://docs.google.com/spreadsheets/d/1C3CXT74ZlgGe6_JY_1olB1XN4rF0dxEuIIF-xsYjHgg/edit?usp=sharing"",""พรบ!U30"")"),7)</f>
        <v>7</v>
      </c>
      <c r="J46" s="68">
        <v>0</v>
      </c>
      <c r="K46" s="49">
        <f t="shared" ca="1" si="11"/>
        <v>0</v>
      </c>
      <c r="L46" s="61"/>
      <c r="M46" s="61"/>
      <c r="N46" s="61"/>
    </row>
    <row r="47" spans="1:14" ht="21.75" customHeight="1" x14ac:dyDescent="0.4">
      <c r="A47" s="55"/>
      <c r="B47" s="56"/>
      <c r="C47" s="56"/>
      <c r="D47" s="73"/>
      <c r="E47" s="77"/>
      <c r="F47" s="75"/>
      <c r="G47" s="99" t="s">
        <v>46</v>
      </c>
      <c r="H47" s="60" t="s">
        <v>16</v>
      </c>
      <c r="I47" s="48">
        <f ca="1">IFERROR(__xludf.DUMMYFUNCTION("IMPORTRANGE(""https://docs.google.com/spreadsheets/d/1C3CXT74ZlgGe6_JY_1olB1XN4rF0dxEuIIF-xsYjHgg/edit?usp=sharing"",""พรบ!V30"")"),7)</f>
        <v>7</v>
      </c>
      <c r="J47" s="68">
        <v>0</v>
      </c>
      <c r="K47" s="49">
        <f t="shared" ca="1" si="11"/>
        <v>0</v>
      </c>
      <c r="L47" s="61"/>
      <c r="M47" s="61"/>
      <c r="N47" s="61"/>
    </row>
    <row r="48" spans="1:14" ht="21.75" customHeight="1" x14ac:dyDescent="0.4">
      <c r="A48" s="55"/>
      <c r="B48" s="56"/>
      <c r="C48" s="56"/>
      <c r="D48" s="73"/>
      <c r="E48" s="77"/>
      <c r="F48" s="75" t="s">
        <v>47</v>
      </c>
      <c r="G48" s="75"/>
      <c r="H48" s="60" t="s">
        <v>40</v>
      </c>
      <c r="I48" s="48">
        <f ca="1">IFERROR(__xludf.DUMMYFUNCTION("IMPORTRANGE(""https://docs.google.com/spreadsheets/d/1C3CXT74ZlgGe6_JY_1olB1XN4rF0dxEuIIF-xsYjHgg/edit?usp=sharing"",""พรบ!W30"")"),2)</f>
        <v>2</v>
      </c>
      <c r="J48" s="68">
        <v>0</v>
      </c>
      <c r="K48" s="49">
        <f t="shared" ca="1" si="11"/>
        <v>0</v>
      </c>
      <c r="L48" s="61"/>
      <c r="M48" s="61"/>
      <c r="N48" s="61"/>
    </row>
    <row r="49" spans="1:14" ht="21.75" customHeight="1" x14ac:dyDescent="0.4">
      <c r="A49" s="55"/>
      <c r="B49" s="56"/>
      <c r="C49" s="56"/>
      <c r="D49" s="73"/>
      <c r="E49" s="74" t="s">
        <v>35</v>
      </c>
      <c r="F49" s="75"/>
      <c r="G49" s="76"/>
      <c r="H49" s="66"/>
      <c r="I49" s="67"/>
      <c r="J49" s="68">
        <v>0</v>
      </c>
      <c r="K49" s="49"/>
      <c r="L49" s="61"/>
      <c r="M49" s="61"/>
      <c r="N49" s="61"/>
    </row>
    <row r="50" spans="1:14" ht="21.75" customHeight="1" x14ac:dyDescent="0.4">
      <c r="A50" s="55"/>
      <c r="B50" s="56"/>
      <c r="C50" s="56"/>
      <c r="D50" s="81">
        <v>3</v>
      </c>
      <c r="E50" s="82" t="s">
        <v>36</v>
      </c>
      <c r="F50" s="83"/>
      <c r="G50" s="84"/>
      <c r="H50" s="66"/>
      <c r="I50" s="67"/>
      <c r="J50" s="85">
        <v>0</v>
      </c>
      <c r="K50" s="49"/>
      <c r="L50" s="61"/>
      <c r="M50" s="61"/>
      <c r="N50" s="61"/>
    </row>
    <row r="51" spans="1:14" ht="21.75" customHeight="1" x14ac:dyDescent="0.4">
      <c r="A51" s="86" t="s">
        <v>48</v>
      </c>
      <c r="B51" s="100"/>
      <c r="C51" s="101"/>
      <c r="D51" s="100"/>
      <c r="E51" s="102"/>
      <c r="F51" s="102"/>
      <c r="G51" s="103"/>
      <c r="H51" s="91"/>
      <c r="I51" s="92"/>
      <c r="J51" s="92"/>
      <c r="K51" s="93"/>
      <c r="L51" s="94"/>
      <c r="M51" s="94"/>
      <c r="N51" s="95"/>
    </row>
    <row r="52" spans="1:14" ht="21.75" customHeight="1" x14ac:dyDescent="0.4">
      <c r="A52" s="34"/>
      <c r="B52" s="35" t="s">
        <v>49</v>
      </c>
      <c r="C52" s="104"/>
      <c r="D52" s="36"/>
      <c r="E52" s="35"/>
      <c r="F52" s="35"/>
      <c r="G52" s="96"/>
      <c r="H52" s="37" t="s">
        <v>16</v>
      </c>
      <c r="I52" s="38">
        <f ca="1">I62</f>
        <v>20</v>
      </c>
      <c r="J52" s="38">
        <f>+J62</f>
        <v>0</v>
      </c>
      <c r="K52" s="41">
        <f ca="1">IF(I52&gt;0,J52*100/I52,0)</f>
        <v>0</v>
      </c>
      <c r="L52" s="40">
        <f ca="1">L53+L54</f>
        <v>82440</v>
      </c>
      <c r="M52" s="40">
        <f>SUM(M53:M54)</f>
        <v>9680</v>
      </c>
      <c r="N52" s="41">
        <f ca="1">IF(L52&gt;0,M52*100/L52,0)</f>
        <v>11.741872877244056</v>
      </c>
    </row>
    <row r="53" spans="1:14" ht="21.75" customHeight="1" x14ac:dyDescent="0.4">
      <c r="A53" s="42"/>
      <c r="B53" s="43"/>
      <c r="C53" s="43" t="s">
        <v>17</v>
      </c>
      <c r="D53" s="44" t="s">
        <v>18</v>
      </c>
      <c r="E53" s="45"/>
      <c r="F53" s="45"/>
      <c r="G53" s="46" t="s">
        <v>19</v>
      </c>
      <c r="H53" s="47" t="s">
        <v>20</v>
      </c>
      <c r="I53" s="48" t="s">
        <v>21</v>
      </c>
      <c r="J53" s="48"/>
      <c r="K53" s="49"/>
      <c r="L53" s="50">
        <v>0</v>
      </c>
      <c r="M53" s="50">
        <v>0</v>
      </c>
      <c r="N53" s="50">
        <f t="shared" ref="N53:N56" si="12">+IF(L53&gt;0,M53*100/L53,0)</f>
        <v>0</v>
      </c>
    </row>
    <row r="54" spans="1:14" ht="21.75" customHeight="1" x14ac:dyDescent="0.4">
      <c r="A54" s="42"/>
      <c r="B54" s="43"/>
      <c r="C54" s="43"/>
      <c r="D54" s="51"/>
      <c r="E54" s="45"/>
      <c r="F54" s="45" t="s">
        <v>21</v>
      </c>
      <c r="G54" s="46" t="s">
        <v>22</v>
      </c>
      <c r="H54" s="47" t="s">
        <v>20</v>
      </c>
      <c r="I54" s="48"/>
      <c r="J54" s="48"/>
      <c r="K54" s="49"/>
      <c r="L54" s="50">
        <f t="shared" ref="L54:M54" ca="1" si="13">SUM(L55:L56)</f>
        <v>82440</v>
      </c>
      <c r="M54" s="50">
        <f t="shared" si="13"/>
        <v>9680</v>
      </c>
      <c r="N54" s="50">
        <f t="shared" ca="1" si="12"/>
        <v>11.741872877244056</v>
      </c>
    </row>
    <row r="55" spans="1:14" ht="21.75" customHeight="1" x14ac:dyDescent="0.4">
      <c r="A55" s="42"/>
      <c r="B55" s="43"/>
      <c r="C55" s="43"/>
      <c r="D55" s="51"/>
      <c r="E55" s="45"/>
      <c r="F55" s="45"/>
      <c r="G55" s="52" t="s">
        <v>23</v>
      </c>
      <c r="H55" s="47" t="s">
        <v>20</v>
      </c>
      <c r="I55" s="48"/>
      <c r="J55" s="48"/>
      <c r="K55" s="49"/>
      <c r="L55" s="53">
        <f ca="1">IFERROR(__xludf.DUMMYFUNCTION("IMPORTRANGE(""https://docs.google.com/spreadsheets/d/1C3CXT74ZlgGe6_JY_1olB1XN4rF0dxEuIIF-xsYjHgg/edit?usp=sharing"",""พรบ!Y30"")"),0)</f>
        <v>0</v>
      </c>
      <c r="M55" s="53">
        <v>0</v>
      </c>
      <c r="N55" s="53">
        <f t="shared" ca="1" si="12"/>
        <v>0</v>
      </c>
    </row>
    <row r="56" spans="1:14" ht="21.75" customHeight="1" x14ac:dyDescent="0.4">
      <c r="A56" s="42"/>
      <c r="B56" s="43"/>
      <c r="C56" s="43"/>
      <c r="D56" s="51"/>
      <c r="E56" s="45"/>
      <c r="F56" s="45"/>
      <c r="G56" s="52" t="s">
        <v>24</v>
      </c>
      <c r="H56" s="47" t="s">
        <v>20</v>
      </c>
      <c r="I56" s="48"/>
      <c r="J56" s="48"/>
      <c r="K56" s="49"/>
      <c r="L56" s="53">
        <f ca="1">IFERROR(__xludf.DUMMYFUNCTION("IMPORTRANGE(""https://docs.google.com/spreadsheets/d/1C3CXT74ZlgGe6_JY_1olB1XN4rF0dxEuIIF-xsYjHgg/edit?usp=sharing"",""พรบ!Z30"")"),82440)</f>
        <v>82440</v>
      </c>
      <c r="M56" s="54">
        <v>9680</v>
      </c>
      <c r="N56" s="53">
        <f t="shared" ca="1" si="12"/>
        <v>11.741872877244056</v>
      </c>
    </row>
    <row r="57" spans="1:14" ht="21.75" customHeight="1" x14ac:dyDescent="0.4">
      <c r="A57" s="55"/>
      <c r="B57" s="56"/>
      <c r="C57" s="43" t="s">
        <v>17</v>
      </c>
      <c r="D57" s="57" t="s">
        <v>250</v>
      </c>
      <c r="E57" s="58"/>
      <c r="F57" s="58"/>
      <c r="G57" s="59"/>
      <c r="H57" s="60"/>
      <c r="I57" s="48"/>
      <c r="J57" s="48"/>
      <c r="K57" s="49"/>
      <c r="L57" s="61"/>
      <c r="M57" s="61"/>
      <c r="N57" s="61"/>
    </row>
    <row r="58" spans="1:14" ht="21.75" customHeight="1" x14ac:dyDescent="0.4">
      <c r="A58" s="55"/>
      <c r="B58" s="56"/>
      <c r="C58" s="56"/>
      <c r="D58" s="62">
        <v>1</v>
      </c>
      <c r="E58" s="63" t="s">
        <v>26</v>
      </c>
      <c r="F58" s="64"/>
      <c r="G58" s="65"/>
      <c r="H58" s="66"/>
      <c r="I58" s="67"/>
      <c r="J58" s="68">
        <v>0</v>
      </c>
      <c r="K58" s="49"/>
      <c r="L58" s="61"/>
      <c r="M58" s="61"/>
      <c r="N58" s="61"/>
    </row>
    <row r="59" spans="1:14" ht="21.75" customHeight="1" x14ac:dyDescent="0.4">
      <c r="A59" s="55"/>
      <c r="B59" s="56"/>
      <c r="C59" s="56"/>
      <c r="D59" s="69">
        <v>2</v>
      </c>
      <c r="E59" s="70" t="s">
        <v>27</v>
      </c>
      <c r="F59" s="71"/>
      <c r="G59" s="72"/>
      <c r="H59" s="66"/>
      <c r="I59" s="67"/>
      <c r="J59" s="68">
        <v>1</v>
      </c>
      <c r="K59" s="49"/>
      <c r="L59" s="61" t="s">
        <v>21</v>
      </c>
      <c r="M59" s="61" t="s">
        <v>21</v>
      </c>
      <c r="N59" s="61"/>
    </row>
    <row r="60" spans="1:14" ht="21.75" customHeight="1" x14ac:dyDescent="0.4">
      <c r="A60" s="55"/>
      <c r="B60" s="56"/>
      <c r="C60" s="56"/>
      <c r="D60" s="73"/>
      <c r="E60" s="74" t="s">
        <v>28</v>
      </c>
      <c r="F60" s="75"/>
      <c r="G60" s="76"/>
      <c r="H60" s="66"/>
      <c r="I60" s="67"/>
      <c r="J60" s="68">
        <v>1</v>
      </c>
      <c r="K60" s="49"/>
      <c r="L60" s="61"/>
      <c r="M60" s="61"/>
      <c r="N60" s="61"/>
    </row>
    <row r="61" spans="1:14" ht="21.75" customHeight="1" x14ac:dyDescent="0.4">
      <c r="A61" s="55"/>
      <c r="B61" s="56"/>
      <c r="C61" s="56"/>
      <c r="D61" s="73"/>
      <c r="E61" s="74" t="s">
        <v>29</v>
      </c>
      <c r="F61" s="75"/>
      <c r="G61" s="76"/>
      <c r="H61" s="66"/>
      <c r="I61" s="67"/>
      <c r="J61" s="68">
        <v>1</v>
      </c>
      <c r="K61" s="49"/>
      <c r="L61" s="61"/>
      <c r="M61" s="61"/>
      <c r="N61" s="61"/>
    </row>
    <row r="62" spans="1:14" ht="21.75" customHeight="1" x14ac:dyDescent="0.4">
      <c r="A62" s="55"/>
      <c r="B62" s="56"/>
      <c r="C62" s="56"/>
      <c r="D62" s="73"/>
      <c r="E62" s="77"/>
      <c r="F62" s="74" t="s">
        <v>50</v>
      </c>
      <c r="G62" s="76"/>
      <c r="H62" s="60" t="s">
        <v>16</v>
      </c>
      <c r="I62" s="67">
        <f ca="1">IFERROR(__xludf.DUMMYFUNCTION("IMPORTRANGE(""https://docs.google.com/spreadsheets/d/1C3CXT74ZlgGe6_JY_1olB1XN4rF0dxEuIIF-xsYjHgg/edit?usp=sharing"",""พรบ!AA30"")"),20)</f>
        <v>20</v>
      </c>
      <c r="J62" s="68">
        <v>0</v>
      </c>
      <c r="K62" s="49">
        <f t="shared" ref="K62:K63" ca="1" si="14">IF(I62&gt;0,J62*100/I62,0)</f>
        <v>0</v>
      </c>
      <c r="L62" s="61"/>
      <c r="M62" s="61"/>
      <c r="N62" s="61"/>
    </row>
    <row r="63" spans="1:14" ht="21.75" customHeight="1" x14ac:dyDescent="0.4">
      <c r="A63" s="55"/>
      <c r="B63" s="56"/>
      <c r="C63" s="56"/>
      <c r="D63" s="73"/>
      <c r="E63" s="77"/>
      <c r="F63" s="74" t="s">
        <v>51</v>
      </c>
      <c r="G63" s="76"/>
      <c r="H63" s="60" t="s">
        <v>16</v>
      </c>
      <c r="I63" s="67">
        <f ca="1">I62</f>
        <v>20</v>
      </c>
      <c r="J63" s="68">
        <v>0</v>
      </c>
      <c r="K63" s="49">
        <f t="shared" ca="1" si="14"/>
        <v>0</v>
      </c>
      <c r="L63" s="61"/>
      <c r="M63" s="61"/>
      <c r="N63" s="61"/>
    </row>
    <row r="64" spans="1:14" ht="21.75" customHeight="1" x14ac:dyDescent="0.4">
      <c r="A64" s="55"/>
      <c r="B64" s="56"/>
      <c r="C64" s="56"/>
      <c r="D64" s="73"/>
      <c r="E64" s="74" t="s">
        <v>35</v>
      </c>
      <c r="F64" s="75"/>
      <c r="G64" s="76"/>
      <c r="H64" s="66"/>
      <c r="I64" s="67"/>
      <c r="J64" s="68">
        <v>0</v>
      </c>
      <c r="K64" s="49"/>
      <c r="L64" s="61"/>
      <c r="M64" s="61"/>
      <c r="N64" s="61"/>
    </row>
    <row r="65" spans="1:14" ht="21.75" customHeight="1" x14ac:dyDescent="0.4">
      <c r="A65" s="105"/>
      <c r="B65" s="106"/>
      <c r="C65" s="106"/>
      <c r="D65" s="107">
        <v>3</v>
      </c>
      <c r="E65" s="108" t="s">
        <v>36</v>
      </c>
      <c r="F65" s="109"/>
      <c r="G65" s="110"/>
      <c r="H65" s="111"/>
      <c r="I65" s="112"/>
      <c r="J65" s="113">
        <v>0</v>
      </c>
      <c r="K65" s="114"/>
      <c r="L65" s="115"/>
      <c r="M65" s="115"/>
      <c r="N65" s="115"/>
    </row>
    <row r="66" spans="1:14" ht="21.75" customHeight="1" x14ac:dyDescent="0.4">
      <c r="A66" s="116" t="s">
        <v>52</v>
      </c>
      <c r="B66" s="117"/>
      <c r="C66" s="117"/>
      <c r="D66" s="117"/>
      <c r="E66" s="118"/>
      <c r="F66" s="118"/>
      <c r="G66" s="119"/>
      <c r="H66" s="120"/>
      <c r="I66" s="121"/>
      <c r="J66" s="121"/>
      <c r="K66" s="122"/>
      <c r="L66" s="123"/>
      <c r="M66" s="123"/>
      <c r="N66" s="123"/>
    </row>
    <row r="67" spans="1:14" ht="21.75" customHeight="1" x14ac:dyDescent="0.4">
      <c r="A67" s="124" t="s">
        <v>53</v>
      </c>
      <c r="B67" s="125"/>
      <c r="C67" s="125"/>
      <c r="D67" s="126"/>
      <c r="E67" s="126"/>
      <c r="F67" s="126"/>
      <c r="G67" s="127"/>
      <c r="H67" s="128"/>
      <c r="I67" s="129"/>
      <c r="J67" s="129"/>
      <c r="K67" s="130"/>
      <c r="L67" s="130"/>
      <c r="M67" s="130"/>
      <c r="N67" s="131"/>
    </row>
    <row r="68" spans="1:14" ht="21.75" customHeight="1" x14ac:dyDescent="0.4">
      <c r="A68" s="132"/>
      <c r="B68" s="133" t="s">
        <v>54</v>
      </c>
      <c r="C68" s="134"/>
      <c r="D68" s="133"/>
      <c r="E68" s="133"/>
      <c r="F68" s="133"/>
      <c r="G68" s="135"/>
      <c r="H68" s="136" t="s">
        <v>16</v>
      </c>
      <c r="I68" s="137">
        <f t="shared" ref="I68:J68" ca="1" si="15">I126+I129</f>
        <v>0</v>
      </c>
      <c r="J68" s="137">
        <f t="shared" si="15"/>
        <v>0</v>
      </c>
      <c r="K68" s="138">
        <f ca="1">IF(I68&gt;0,J68*100/I68,0)</f>
        <v>0</v>
      </c>
      <c r="L68" s="139">
        <f t="shared" ref="L68:M68" ca="1" si="16">SUM(L70:L71)</f>
        <v>69000</v>
      </c>
      <c r="M68" s="139">
        <f t="shared" si="16"/>
        <v>0</v>
      </c>
      <c r="N68" s="138">
        <f ca="1">IF(L68&gt;0,M68*100/L68,0)</f>
        <v>0</v>
      </c>
    </row>
    <row r="69" spans="1:14" ht="21.75" customHeight="1" x14ac:dyDescent="0.4">
      <c r="A69" s="132"/>
      <c r="B69" s="133" t="s">
        <v>55</v>
      </c>
      <c r="C69" s="134"/>
      <c r="D69" s="133"/>
      <c r="E69" s="133"/>
      <c r="F69" s="133"/>
      <c r="G69" s="135"/>
      <c r="H69" s="136"/>
      <c r="I69" s="137"/>
      <c r="J69" s="137"/>
      <c r="K69" s="138"/>
      <c r="L69" s="139"/>
      <c r="M69" s="139"/>
      <c r="N69" s="138"/>
    </row>
    <row r="70" spans="1:14" ht="21.75" customHeight="1" x14ac:dyDescent="0.4">
      <c r="A70" s="42"/>
      <c r="B70" s="43"/>
      <c r="C70" s="43" t="s">
        <v>17</v>
      </c>
      <c r="D70" s="44" t="s">
        <v>18</v>
      </c>
      <c r="E70" s="45"/>
      <c r="F70" s="45"/>
      <c r="G70" s="46" t="s">
        <v>19</v>
      </c>
      <c r="H70" s="47" t="s">
        <v>20</v>
      </c>
      <c r="I70" s="48" t="s">
        <v>21</v>
      </c>
      <c r="J70" s="48"/>
      <c r="K70" s="49"/>
      <c r="L70" s="50">
        <v>0</v>
      </c>
      <c r="M70" s="50">
        <v>0</v>
      </c>
      <c r="N70" s="50">
        <f t="shared" ref="N70:N77" si="17">+IF(L70&gt;0,M70*100/L70,0)</f>
        <v>0</v>
      </c>
    </row>
    <row r="71" spans="1:14" ht="21.75" customHeight="1" x14ac:dyDescent="0.4">
      <c r="A71" s="42"/>
      <c r="B71" s="43"/>
      <c r="C71" s="43"/>
      <c r="D71" s="51"/>
      <c r="E71" s="45"/>
      <c r="F71" s="45" t="s">
        <v>21</v>
      </c>
      <c r="G71" s="46" t="s">
        <v>22</v>
      </c>
      <c r="H71" s="47" t="s">
        <v>20</v>
      </c>
      <c r="I71" s="48"/>
      <c r="J71" s="48"/>
      <c r="K71" s="49"/>
      <c r="L71" s="50">
        <f ca="1">L72+L73</f>
        <v>69000</v>
      </c>
      <c r="M71" s="140">
        <f>SUM(M72:M73)</f>
        <v>0</v>
      </c>
      <c r="N71" s="50">
        <f t="shared" ca="1" si="17"/>
        <v>0</v>
      </c>
    </row>
    <row r="72" spans="1:14" ht="21.75" customHeight="1" x14ac:dyDescent="0.4">
      <c r="A72" s="42"/>
      <c r="B72" s="43"/>
      <c r="C72" s="43"/>
      <c r="D72" s="51"/>
      <c r="E72" s="45"/>
      <c r="F72" s="45"/>
      <c r="G72" s="52" t="s">
        <v>23</v>
      </c>
      <c r="H72" s="47" t="s">
        <v>20</v>
      </c>
      <c r="I72" s="48"/>
      <c r="J72" s="48"/>
      <c r="K72" s="49"/>
      <c r="L72" s="53">
        <f ca="1">IFERROR(__xludf.DUMMYFUNCTION("IMPORTRANGE(""https://docs.google.com/spreadsheets/d/1C3CXT74ZlgGe6_JY_1olB1XN4rF0dxEuIIF-xsYjHgg/edit?usp=sharing"",""พรบ!AD30"")"),0)</f>
        <v>0</v>
      </c>
      <c r="M72" s="54">
        <v>0</v>
      </c>
      <c r="N72" s="53">
        <f t="shared" ca="1" si="17"/>
        <v>0</v>
      </c>
    </row>
    <row r="73" spans="1:14" ht="21.75" customHeight="1" x14ac:dyDescent="0.4">
      <c r="A73" s="42"/>
      <c r="B73" s="43"/>
      <c r="C73" s="43"/>
      <c r="D73" s="51"/>
      <c r="E73" s="45"/>
      <c r="F73" s="45"/>
      <c r="G73" s="52" t="s">
        <v>24</v>
      </c>
      <c r="H73" s="47" t="s">
        <v>20</v>
      </c>
      <c r="I73" s="48"/>
      <c r="J73" s="48"/>
      <c r="K73" s="49"/>
      <c r="L73" s="53">
        <f t="shared" ref="L73:M73" ca="1" si="18">L77+L92+L104+L117+L132</f>
        <v>69000</v>
      </c>
      <c r="M73" s="53">
        <f t="shared" si="18"/>
        <v>0</v>
      </c>
      <c r="N73" s="53">
        <f t="shared" ca="1" si="17"/>
        <v>0</v>
      </c>
    </row>
    <row r="74" spans="1:14" ht="21.75" customHeight="1" x14ac:dyDescent="0.4">
      <c r="A74" s="141"/>
      <c r="B74" s="142"/>
      <c r="C74" s="143" t="s">
        <v>56</v>
      </c>
      <c r="D74" s="143"/>
      <c r="E74" s="143"/>
      <c r="F74" s="143"/>
      <c r="G74" s="144"/>
      <c r="H74" s="145" t="s">
        <v>57</v>
      </c>
      <c r="I74" s="146">
        <f t="shared" ref="I74:J74" ca="1" si="19">I83</f>
        <v>4</v>
      </c>
      <c r="J74" s="146">
        <f t="shared" si="19"/>
        <v>0</v>
      </c>
      <c r="K74" s="147">
        <f ca="1">IF(I74&gt;0,J74*100/I74,0)</f>
        <v>0</v>
      </c>
      <c r="L74" s="148">
        <f ca="1">L75+L76</f>
        <v>7500</v>
      </c>
      <c r="M74" s="148">
        <f>SUM(M75:M76)</f>
        <v>0</v>
      </c>
      <c r="N74" s="148">
        <f t="shared" ca="1" si="17"/>
        <v>0</v>
      </c>
    </row>
    <row r="75" spans="1:14" ht="21.75" customHeight="1" x14ac:dyDescent="0.4">
      <c r="A75" s="42"/>
      <c r="B75" s="43"/>
      <c r="C75" s="43" t="s">
        <v>17</v>
      </c>
      <c r="D75" s="44" t="s">
        <v>18</v>
      </c>
      <c r="E75" s="45"/>
      <c r="F75" s="45"/>
      <c r="G75" s="46" t="s">
        <v>19</v>
      </c>
      <c r="H75" s="47" t="s">
        <v>20</v>
      </c>
      <c r="I75" s="48" t="s">
        <v>21</v>
      </c>
      <c r="J75" s="48"/>
      <c r="K75" s="49"/>
      <c r="L75" s="50">
        <v>0</v>
      </c>
      <c r="M75" s="50">
        <v>0</v>
      </c>
      <c r="N75" s="50">
        <f t="shared" si="17"/>
        <v>0</v>
      </c>
    </row>
    <row r="76" spans="1:14" ht="21.75" customHeight="1" x14ac:dyDescent="0.4">
      <c r="A76" s="42"/>
      <c r="B76" s="43"/>
      <c r="C76" s="43"/>
      <c r="D76" s="51"/>
      <c r="E76" s="45"/>
      <c r="F76" s="45" t="s">
        <v>21</v>
      </c>
      <c r="G76" s="46" t="s">
        <v>22</v>
      </c>
      <c r="H76" s="47" t="s">
        <v>20</v>
      </c>
      <c r="I76" s="48"/>
      <c r="J76" s="48"/>
      <c r="K76" s="49"/>
      <c r="L76" s="50">
        <f t="shared" ref="L76:M76" ca="1" si="20">L77</f>
        <v>7500</v>
      </c>
      <c r="M76" s="50">
        <f t="shared" si="20"/>
        <v>0</v>
      </c>
      <c r="N76" s="50">
        <f t="shared" ca="1" si="17"/>
        <v>0</v>
      </c>
    </row>
    <row r="77" spans="1:14" ht="21.75" customHeight="1" x14ac:dyDescent="0.4">
      <c r="A77" s="42"/>
      <c r="B77" s="43"/>
      <c r="C77" s="43"/>
      <c r="D77" s="51"/>
      <c r="E77" s="45"/>
      <c r="F77" s="45"/>
      <c r="G77" s="52" t="s">
        <v>24</v>
      </c>
      <c r="H77" s="47" t="s">
        <v>20</v>
      </c>
      <c r="I77" s="48"/>
      <c r="J77" s="48"/>
      <c r="K77" s="49"/>
      <c r="L77" s="53">
        <f ca="1">IFERROR(__xludf.DUMMYFUNCTION("IMPORTRANGE(""https://docs.google.com/spreadsheets/d/1C3CXT74ZlgGe6_JY_1olB1XN4rF0dxEuIIF-xsYjHgg/edit?usp=sharing"",""พรบ!AF30"")"),7500)</f>
        <v>7500</v>
      </c>
      <c r="M77" s="54">
        <v>0</v>
      </c>
      <c r="N77" s="53">
        <f t="shared" ca="1" si="17"/>
        <v>0</v>
      </c>
    </row>
    <row r="78" spans="1:14" ht="21.75" customHeight="1" x14ac:dyDescent="0.4">
      <c r="A78" s="55"/>
      <c r="B78" s="56"/>
      <c r="C78" s="43" t="s">
        <v>17</v>
      </c>
      <c r="D78" s="57" t="s">
        <v>25</v>
      </c>
      <c r="E78" s="58"/>
      <c r="F78" s="58"/>
      <c r="G78" s="59"/>
      <c r="H78" s="60"/>
      <c r="I78" s="48"/>
      <c r="J78" s="48"/>
      <c r="K78" s="49"/>
      <c r="L78" s="61"/>
      <c r="M78" s="61"/>
      <c r="N78" s="61"/>
    </row>
    <row r="79" spans="1:14" ht="21.75" customHeight="1" x14ac:dyDescent="0.4">
      <c r="A79" s="55"/>
      <c r="B79" s="56"/>
      <c r="C79" s="56"/>
      <c r="D79" s="62">
        <v>1</v>
      </c>
      <c r="E79" s="63" t="s">
        <v>26</v>
      </c>
      <c r="F79" s="64"/>
      <c r="G79" s="65"/>
      <c r="H79" s="66"/>
      <c r="I79" s="67"/>
      <c r="J79" s="68">
        <v>0</v>
      </c>
      <c r="K79" s="49"/>
      <c r="L79" s="61"/>
      <c r="M79" s="61"/>
      <c r="N79" s="61"/>
    </row>
    <row r="80" spans="1:14" ht="21.75" customHeight="1" x14ac:dyDescent="0.4">
      <c r="A80" s="55"/>
      <c r="B80" s="56"/>
      <c r="C80" s="56"/>
      <c r="D80" s="69">
        <v>2</v>
      </c>
      <c r="E80" s="70" t="s">
        <v>27</v>
      </c>
      <c r="F80" s="71"/>
      <c r="G80" s="72"/>
      <c r="H80" s="66"/>
      <c r="I80" s="67"/>
      <c r="J80" s="68">
        <v>1</v>
      </c>
      <c r="K80" s="49"/>
      <c r="L80" s="61" t="s">
        <v>21</v>
      </c>
      <c r="M80" s="61" t="s">
        <v>21</v>
      </c>
      <c r="N80" s="61"/>
    </row>
    <row r="81" spans="1:14" ht="21.75" customHeight="1" x14ac:dyDescent="0.4">
      <c r="A81" s="55"/>
      <c r="B81" s="56"/>
      <c r="C81" s="56"/>
      <c r="D81" s="73"/>
      <c r="E81" s="74" t="s">
        <v>28</v>
      </c>
      <c r="F81" s="75"/>
      <c r="G81" s="76"/>
      <c r="H81" s="66"/>
      <c r="I81" s="67"/>
      <c r="J81" s="68">
        <v>1</v>
      </c>
      <c r="K81" s="49"/>
      <c r="L81" s="61"/>
      <c r="M81" s="61"/>
      <c r="N81" s="61"/>
    </row>
    <row r="82" spans="1:14" ht="21.75" customHeight="1" x14ac:dyDescent="0.4">
      <c r="A82" s="55"/>
      <c r="B82" s="56"/>
      <c r="C82" s="56"/>
      <c r="D82" s="73"/>
      <c r="E82" s="74" t="s">
        <v>29</v>
      </c>
      <c r="F82" s="75"/>
      <c r="G82" s="76"/>
      <c r="H82" s="66"/>
      <c r="I82" s="67"/>
      <c r="J82" s="68">
        <v>1</v>
      </c>
      <c r="K82" s="49"/>
      <c r="L82" s="61"/>
      <c r="M82" s="61"/>
      <c r="N82" s="61"/>
    </row>
    <row r="83" spans="1:14" ht="21.75" customHeight="1" x14ac:dyDescent="0.4">
      <c r="A83" s="55"/>
      <c r="B83" s="56"/>
      <c r="C83" s="56"/>
      <c r="D83" s="73"/>
      <c r="E83" s="77"/>
      <c r="F83" s="74" t="s">
        <v>58</v>
      </c>
      <c r="G83" s="76"/>
      <c r="H83" s="60" t="s">
        <v>57</v>
      </c>
      <c r="I83" s="67">
        <f ca="1">IFERROR(__xludf.DUMMYFUNCTION("IMPORTRANGE(""https://docs.google.com/spreadsheets/d/1C3CXT74ZlgGe6_JY_1olB1XN4rF0dxEuIIF-xsYjHgg/edit?usp=sharing"",""พรบ!AG30"")"),4)</f>
        <v>4</v>
      </c>
      <c r="J83" s="68">
        <v>0</v>
      </c>
      <c r="K83" s="49">
        <f ca="1">IF(I83&gt;0,J83*100/I83,0)</f>
        <v>0</v>
      </c>
      <c r="L83" s="61"/>
      <c r="M83" s="61"/>
      <c r="N83" s="61"/>
    </row>
    <row r="84" spans="1:14" ht="21.75" customHeight="1" x14ac:dyDescent="0.4">
      <c r="A84" s="55"/>
      <c r="B84" s="56"/>
      <c r="C84" s="56"/>
      <c r="D84" s="73"/>
      <c r="E84" s="75"/>
      <c r="F84" s="75" t="s">
        <v>59</v>
      </c>
      <c r="G84" s="76"/>
      <c r="H84" s="66" t="s">
        <v>16</v>
      </c>
      <c r="I84" s="67"/>
      <c r="J84" s="67">
        <f>J85+J86</f>
        <v>0</v>
      </c>
      <c r="K84" s="49"/>
      <c r="L84" s="61"/>
      <c r="M84" s="61"/>
      <c r="N84" s="61"/>
    </row>
    <row r="85" spans="1:14" ht="21.75" customHeight="1" x14ac:dyDescent="0.4">
      <c r="A85" s="55"/>
      <c r="B85" s="56"/>
      <c r="C85" s="56"/>
      <c r="D85" s="73"/>
      <c r="E85" s="75"/>
      <c r="F85" s="75"/>
      <c r="G85" s="76" t="s">
        <v>60</v>
      </c>
      <c r="H85" s="66" t="s">
        <v>16</v>
      </c>
      <c r="I85" s="67"/>
      <c r="J85" s="68">
        <v>0</v>
      </c>
      <c r="K85" s="49"/>
      <c r="L85" s="61"/>
      <c r="M85" s="61"/>
      <c r="N85" s="61"/>
    </row>
    <row r="86" spans="1:14" ht="21.75" customHeight="1" x14ac:dyDescent="0.4">
      <c r="A86" s="55"/>
      <c r="B86" s="56"/>
      <c r="C86" s="56"/>
      <c r="D86" s="73"/>
      <c r="E86" s="75"/>
      <c r="F86" s="75"/>
      <c r="G86" s="76" t="s">
        <v>61</v>
      </c>
      <c r="H86" s="66" t="s">
        <v>16</v>
      </c>
      <c r="I86" s="67"/>
      <c r="J86" s="68">
        <v>0</v>
      </c>
      <c r="K86" s="49"/>
      <c r="L86" s="61"/>
      <c r="M86" s="61"/>
      <c r="N86" s="61"/>
    </row>
    <row r="87" spans="1:14" ht="21.75" customHeight="1" x14ac:dyDescent="0.4">
      <c r="A87" s="55"/>
      <c r="B87" s="56"/>
      <c r="C87" s="56"/>
      <c r="D87" s="73"/>
      <c r="E87" s="74" t="s">
        <v>35</v>
      </c>
      <c r="F87" s="75"/>
      <c r="G87" s="76"/>
      <c r="H87" s="66"/>
      <c r="I87" s="67"/>
      <c r="J87" s="68">
        <v>0</v>
      </c>
      <c r="K87" s="49"/>
      <c r="L87" s="61"/>
      <c r="M87" s="61"/>
      <c r="N87" s="61"/>
    </row>
    <row r="88" spans="1:14" ht="21.75" customHeight="1" x14ac:dyDescent="0.4">
      <c r="A88" s="55"/>
      <c r="B88" s="56"/>
      <c r="C88" s="56"/>
      <c r="D88" s="81">
        <v>3</v>
      </c>
      <c r="E88" s="82" t="s">
        <v>36</v>
      </c>
      <c r="F88" s="83"/>
      <c r="G88" s="84"/>
      <c r="H88" s="66"/>
      <c r="I88" s="67"/>
      <c r="J88" s="85">
        <v>0</v>
      </c>
      <c r="K88" s="49"/>
      <c r="L88" s="61"/>
      <c r="M88" s="61"/>
      <c r="N88" s="61"/>
    </row>
    <row r="89" spans="1:14" ht="21.75" customHeight="1" x14ac:dyDescent="0.4">
      <c r="A89" s="141"/>
      <c r="B89" s="142"/>
      <c r="C89" s="143" t="s">
        <v>62</v>
      </c>
      <c r="D89" s="143"/>
      <c r="E89" s="143"/>
      <c r="F89" s="143"/>
      <c r="G89" s="144"/>
      <c r="H89" s="149" t="s">
        <v>63</v>
      </c>
      <c r="I89" s="150">
        <f t="shared" ref="I89:J89" ca="1" si="21">I98</f>
        <v>3</v>
      </c>
      <c r="J89" s="150">
        <f t="shared" si="21"/>
        <v>0</v>
      </c>
      <c r="K89" s="151">
        <f ca="1">IF(I89&gt;0,J89*100/I89,0)</f>
        <v>0</v>
      </c>
      <c r="L89" s="148">
        <f ca="1">L90+L91</f>
        <v>42000</v>
      </c>
      <c r="M89" s="148">
        <f>SUM(M90:M91)</f>
        <v>0</v>
      </c>
      <c r="N89" s="148">
        <f t="shared" ref="N89:N92" ca="1" si="22">+IF(L89&gt;0,M89*100/L89,0)</f>
        <v>0</v>
      </c>
    </row>
    <row r="90" spans="1:14" ht="21.75" customHeight="1" x14ac:dyDescent="0.4">
      <c r="A90" s="42"/>
      <c r="B90" s="43"/>
      <c r="C90" s="43" t="s">
        <v>17</v>
      </c>
      <c r="D90" s="44" t="s">
        <v>18</v>
      </c>
      <c r="E90" s="45"/>
      <c r="F90" s="45"/>
      <c r="G90" s="46" t="s">
        <v>19</v>
      </c>
      <c r="H90" s="47" t="s">
        <v>20</v>
      </c>
      <c r="I90" s="48" t="s">
        <v>21</v>
      </c>
      <c r="J90" s="48"/>
      <c r="K90" s="49"/>
      <c r="L90" s="50">
        <v>0</v>
      </c>
      <c r="M90" s="50">
        <v>0</v>
      </c>
      <c r="N90" s="50">
        <f t="shared" si="22"/>
        <v>0</v>
      </c>
    </row>
    <row r="91" spans="1:14" ht="21.75" customHeight="1" x14ac:dyDescent="0.4">
      <c r="A91" s="42"/>
      <c r="B91" s="43"/>
      <c r="C91" s="43"/>
      <c r="D91" s="51"/>
      <c r="E91" s="45"/>
      <c r="F91" s="45" t="s">
        <v>21</v>
      </c>
      <c r="G91" s="46" t="s">
        <v>22</v>
      </c>
      <c r="H91" s="47" t="s">
        <v>20</v>
      </c>
      <c r="I91" s="48"/>
      <c r="J91" s="48"/>
      <c r="K91" s="49"/>
      <c r="L91" s="50">
        <f t="shared" ref="L91:M91" ca="1" si="23">L92</f>
        <v>42000</v>
      </c>
      <c r="M91" s="50">
        <f t="shared" si="23"/>
        <v>0</v>
      </c>
      <c r="N91" s="50">
        <f t="shared" ca="1" si="22"/>
        <v>0</v>
      </c>
    </row>
    <row r="92" spans="1:14" ht="21.75" customHeight="1" x14ac:dyDescent="0.4">
      <c r="A92" s="42"/>
      <c r="B92" s="43"/>
      <c r="C92" s="43"/>
      <c r="D92" s="51"/>
      <c r="E92" s="45"/>
      <c r="F92" s="45"/>
      <c r="G92" s="52" t="s">
        <v>24</v>
      </c>
      <c r="H92" s="47" t="s">
        <v>20</v>
      </c>
      <c r="I92" s="48"/>
      <c r="J92" s="48"/>
      <c r="K92" s="49"/>
      <c r="L92" s="53">
        <f ca="1">IFERROR(__xludf.DUMMYFUNCTION("IMPORTRANGE(""https://docs.google.com/spreadsheets/d/1C3CXT74ZlgGe6_JY_1olB1XN4rF0dxEuIIF-xsYjHgg/edit?usp=sharing"",""พรบ!AH30"")"),42000)</f>
        <v>42000</v>
      </c>
      <c r="M92" s="54">
        <v>0</v>
      </c>
      <c r="N92" s="53">
        <f t="shared" ca="1" si="22"/>
        <v>0</v>
      </c>
    </row>
    <row r="93" spans="1:14" ht="21.75" customHeight="1" x14ac:dyDescent="0.4">
      <c r="A93" s="55"/>
      <c r="B93" s="56"/>
      <c r="C93" s="43" t="s">
        <v>17</v>
      </c>
      <c r="D93" s="57" t="s">
        <v>25</v>
      </c>
      <c r="E93" s="58"/>
      <c r="F93" s="58"/>
      <c r="G93" s="59"/>
      <c r="H93" s="60"/>
      <c r="I93" s="48"/>
      <c r="J93" s="48"/>
      <c r="K93" s="49"/>
      <c r="L93" s="61"/>
      <c r="M93" s="61"/>
      <c r="N93" s="61"/>
    </row>
    <row r="94" spans="1:14" ht="21.75" customHeight="1" x14ac:dyDescent="0.4">
      <c r="A94" s="55"/>
      <c r="B94" s="56"/>
      <c r="C94" s="56"/>
      <c r="D94" s="62">
        <v>1</v>
      </c>
      <c r="E94" s="63" t="s">
        <v>26</v>
      </c>
      <c r="F94" s="64"/>
      <c r="G94" s="65"/>
      <c r="H94" s="66"/>
      <c r="I94" s="67"/>
      <c r="J94" s="68">
        <v>0</v>
      </c>
      <c r="K94" s="49"/>
      <c r="L94" s="61"/>
      <c r="M94" s="61"/>
      <c r="N94" s="61"/>
    </row>
    <row r="95" spans="1:14" ht="21.75" customHeight="1" x14ac:dyDescent="0.4">
      <c r="A95" s="55"/>
      <c r="B95" s="56"/>
      <c r="C95" s="56"/>
      <c r="D95" s="69">
        <v>2</v>
      </c>
      <c r="E95" s="70" t="s">
        <v>27</v>
      </c>
      <c r="F95" s="71"/>
      <c r="G95" s="72"/>
      <c r="H95" s="66"/>
      <c r="I95" s="67"/>
      <c r="J95" s="68">
        <v>1</v>
      </c>
      <c r="K95" s="49"/>
      <c r="L95" s="61" t="s">
        <v>21</v>
      </c>
      <c r="M95" s="61" t="s">
        <v>21</v>
      </c>
      <c r="N95" s="61"/>
    </row>
    <row r="96" spans="1:14" ht="21.75" customHeight="1" x14ac:dyDescent="0.4">
      <c r="A96" s="55"/>
      <c r="B96" s="56"/>
      <c r="C96" s="56"/>
      <c r="D96" s="73"/>
      <c r="E96" s="74" t="s">
        <v>28</v>
      </c>
      <c r="F96" s="75"/>
      <c r="G96" s="76"/>
      <c r="H96" s="66"/>
      <c r="I96" s="67"/>
      <c r="J96" s="68">
        <v>1</v>
      </c>
      <c r="K96" s="49"/>
      <c r="L96" s="61"/>
      <c r="M96" s="61"/>
      <c r="N96" s="61"/>
    </row>
    <row r="97" spans="1:14" ht="21.75" customHeight="1" x14ac:dyDescent="0.4">
      <c r="A97" s="55"/>
      <c r="B97" s="56"/>
      <c r="C97" s="56"/>
      <c r="D97" s="73"/>
      <c r="E97" s="74" t="s">
        <v>29</v>
      </c>
      <c r="F97" s="75"/>
      <c r="G97" s="76"/>
      <c r="H97" s="66"/>
      <c r="I97" s="67"/>
      <c r="J97" s="68">
        <v>1</v>
      </c>
      <c r="K97" s="49"/>
      <c r="L97" s="61"/>
      <c r="M97" s="61"/>
      <c r="N97" s="61"/>
    </row>
    <row r="98" spans="1:14" ht="21.75" customHeight="1" x14ac:dyDescent="0.4">
      <c r="A98" s="55"/>
      <c r="B98" s="56"/>
      <c r="C98" s="56"/>
      <c r="D98" s="73"/>
      <c r="E98" s="77"/>
      <c r="F98" s="74" t="s">
        <v>64</v>
      </c>
      <c r="G98" s="76"/>
      <c r="H98" s="60" t="s">
        <v>63</v>
      </c>
      <c r="I98" s="67">
        <f ca="1">IFERROR(__xludf.DUMMYFUNCTION("IMPORTRANGE(""https://docs.google.com/spreadsheets/d/1C3CXT74ZlgGe6_JY_1olB1XN4rF0dxEuIIF-xsYjHgg/edit?usp=sharing"",""พรบ!AI30"")"),3)</f>
        <v>3</v>
      </c>
      <c r="J98" s="68">
        <v>0</v>
      </c>
      <c r="K98" s="49">
        <f ca="1">IF(I98&gt;0,J98*100/I98,0)</f>
        <v>0</v>
      </c>
      <c r="L98" s="53">
        <f ca="1">IFERROR(__xludf.DUMMYFUNCTION("IMPORTRANGE(""https://docs.google.com/spreadsheets/d/1C3CXT74ZlgGe6_JY_1olB1XN4rF0dxEuIIF-xsYjHgg/edit?usp=sharing"",""กปร!C30"")"),36000)</f>
        <v>36000</v>
      </c>
      <c r="M98" s="359">
        <v>0</v>
      </c>
      <c r="N98" s="53">
        <f ca="1">+IF(L98&gt;0,M98*100/L98,0)</f>
        <v>0</v>
      </c>
    </row>
    <row r="99" spans="1:14" ht="21.75" customHeight="1" x14ac:dyDescent="0.4">
      <c r="A99" s="55"/>
      <c r="B99" s="56"/>
      <c r="C99" s="56"/>
      <c r="D99" s="73"/>
      <c r="E99" s="74" t="s">
        <v>35</v>
      </c>
      <c r="F99" s="75"/>
      <c r="G99" s="76"/>
      <c r="H99" s="66"/>
      <c r="I99" s="67"/>
      <c r="J99" s="68">
        <v>0</v>
      </c>
      <c r="K99" s="49"/>
      <c r="L99" s="61"/>
      <c r="M99" s="61"/>
      <c r="N99" s="61"/>
    </row>
    <row r="100" spans="1:14" ht="21.75" customHeight="1" x14ac:dyDescent="0.4">
      <c r="A100" s="55"/>
      <c r="B100" s="56"/>
      <c r="C100" s="56"/>
      <c r="D100" s="81">
        <v>3</v>
      </c>
      <c r="E100" s="82" t="s">
        <v>36</v>
      </c>
      <c r="F100" s="83"/>
      <c r="G100" s="84"/>
      <c r="H100" s="66"/>
      <c r="I100" s="67"/>
      <c r="J100" s="85">
        <v>0</v>
      </c>
      <c r="K100" s="49"/>
      <c r="L100" s="61"/>
      <c r="M100" s="61"/>
      <c r="N100" s="61"/>
    </row>
    <row r="101" spans="1:14" ht="21.75" customHeight="1" x14ac:dyDescent="0.4">
      <c r="A101" s="141"/>
      <c r="B101" s="142"/>
      <c r="C101" s="143" t="s">
        <v>65</v>
      </c>
      <c r="D101" s="143"/>
      <c r="E101" s="143"/>
      <c r="F101" s="143"/>
      <c r="G101" s="144"/>
      <c r="H101" s="149" t="s">
        <v>63</v>
      </c>
      <c r="I101" s="150">
        <f t="shared" ref="I101:J101" ca="1" si="24">I111</f>
        <v>0</v>
      </c>
      <c r="J101" s="150">
        <f t="shared" si="24"/>
        <v>0</v>
      </c>
      <c r="K101" s="151">
        <f ca="1">IF(I101&gt;0,J101*100/I101,0)</f>
        <v>0</v>
      </c>
      <c r="L101" s="148">
        <f ca="1">L102+L103</f>
        <v>0</v>
      </c>
      <c r="M101" s="148">
        <f>SUM(M102:M103)</f>
        <v>0</v>
      </c>
      <c r="N101" s="148">
        <f t="shared" ref="N101:N104" ca="1" si="25">+IF(L101&gt;0,M101*100/L101,0)</f>
        <v>0</v>
      </c>
    </row>
    <row r="102" spans="1:14" ht="21.75" customHeight="1" x14ac:dyDescent="0.4">
      <c r="A102" s="42"/>
      <c r="B102" s="43"/>
      <c r="C102" s="43" t="s">
        <v>17</v>
      </c>
      <c r="D102" s="44" t="s">
        <v>18</v>
      </c>
      <c r="E102" s="45"/>
      <c r="F102" s="45"/>
      <c r="G102" s="46" t="s">
        <v>19</v>
      </c>
      <c r="H102" s="47" t="s">
        <v>20</v>
      </c>
      <c r="I102" s="48" t="s">
        <v>21</v>
      </c>
      <c r="J102" s="48"/>
      <c r="K102" s="49"/>
      <c r="L102" s="50">
        <v>0</v>
      </c>
      <c r="M102" s="50">
        <v>0</v>
      </c>
      <c r="N102" s="50">
        <f t="shared" si="25"/>
        <v>0</v>
      </c>
    </row>
    <row r="103" spans="1:14" ht="21.75" customHeight="1" x14ac:dyDescent="0.4">
      <c r="A103" s="42"/>
      <c r="B103" s="43"/>
      <c r="C103" s="43"/>
      <c r="D103" s="51"/>
      <c r="E103" s="45"/>
      <c r="F103" s="45" t="s">
        <v>21</v>
      </c>
      <c r="G103" s="46" t="s">
        <v>22</v>
      </c>
      <c r="H103" s="47" t="s">
        <v>20</v>
      </c>
      <c r="I103" s="48"/>
      <c r="J103" s="67"/>
      <c r="K103" s="233"/>
      <c r="L103" s="50">
        <f ca="1">SUM(L104)</f>
        <v>0</v>
      </c>
      <c r="M103" s="50">
        <f>M104</f>
        <v>0</v>
      </c>
      <c r="N103" s="50">
        <f t="shared" ca="1" si="25"/>
        <v>0</v>
      </c>
    </row>
    <row r="104" spans="1:14" ht="21.75" customHeight="1" x14ac:dyDescent="0.4">
      <c r="A104" s="42"/>
      <c r="B104" s="43"/>
      <c r="C104" s="43"/>
      <c r="D104" s="51"/>
      <c r="E104" s="45"/>
      <c r="F104" s="45"/>
      <c r="G104" s="52" t="s">
        <v>24</v>
      </c>
      <c r="H104" s="47" t="s">
        <v>20</v>
      </c>
      <c r="I104" s="48"/>
      <c r="J104" s="67"/>
      <c r="K104" s="233"/>
      <c r="L104" s="53">
        <f ca="1">IFERROR(__xludf.DUMMYFUNCTION("IMPORTRANGE(""https://docs.google.com/spreadsheets/d/1C3CXT74ZlgGe6_JY_1olB1XN4rF0dxEuIIF-xsYjHgg/edit?usp=sharing"",""พรบ!AJ30"")"),0)</f>
        <v>0</v>
      </c>
      <c r="M104" s="53">
        <v>0</v>
      </c>
      <c r="N104" s="53">
        <f t="shared" ca="1" si="25"/>
        <v>0</v>
      </c>
    </row>
    <row r="105" spans="1:14" ht="21.75" customHeight="1" x14ac:dyDescent="0.4">
      <c r="A105" s="55"/>
      <c r="B105" s="56"/>
      <c r="C105" s="43" t="s">
        <v>17</v>
      </c>
      <c r="D105" s="57" t="s">
        <v>25</v>
      </c>
      <c r="E105" s="58"/>
      <c r="F105" s="58"/>
      <c r="G105" s="59"/>
      <c r="H105" s="60"/>
      <c r="I105" s="48"/>
      <c r="J105" s="67"/>
      <c r="K105" s="233"/>
      <c r="L105" s="53"/>
      <c r="M105" s="53"/>
      <c r="N105" s="61"/>
    </row>
    <row r="106" spans="1:14" ht="21.75" customHeight="1" x14ac:dyDescent="0.4">
      <c r="A106" s="55"/>
      <c r="B106" s="56"/>
      <c r="C106" s="56"/>
      <c r="D106" s="62">
        <v>1</v>
      </c>
      <c r="E106" s="63" t="s">
        <v>26</v>
      </c>
      <c r="F106" s="64"/>
      <c r="G106" s="65"/>
      <c r="H106" s="66"/>
      <c r="I106" s="67"/>
      <c r="J106" s="67">
        <v>0</v>
      </c>
      <c r="K106" s="233"/>
      <c r="L106" s="53"/>
      <c r="M106" s="53"/>
      <c r="N106" s="61"/>
    </row>
    <row r="107" spans="1:14" ht="21.75" customHeight="1" x14ac:dyDescent="0.4">
      <c r="A107" s="55"/>
      <c r="B107" s="56"/>
      <c r="C107" s="56"/>
      <c r="D107" s="69">
        <v>2</v>
      </c>
      <c r="E107" s="70" t="s">
        <v>27</v>
      </c>
      <c r="F107" s="71"/>
      <c r="G107" s="72"/>
      <c r="H107" s="66"/>
      <c r="I107" s="67"/>
      <c r="J107" s="67">
        <v>0</v>
      </c>
      <c r="K107" s="233"/>
      <c r="L107" s="53" t="s">
        <v>21</v>
      </c>
      <c r="M107" s="53" t="s">
        <v>21</v>
      </c>
      <c r="N107" s="61"/>
    </row>
    <row r="108" spans="1:14" ht="21.75" customHeight="1" x14ac:dyDescent="0.4">
      <c r="A108" s="55"/>
      <c r="B108" s="56"/>
      <c r="C108" s="56"/>
      <c r="D108" s="73"/>
      <c r="E108" s="74" t="s">
        <v>28</v>
      </c>
      <c r="F108" s="75"/>
      <c r="G108" s="76"/>
      <c r="H108" s="66"/>
      <c r="I108" s="67"/>
      <c r="J108" s="67">
        <v>0</v>
      </c>
      <c r="K108" s="233"/>
      <c r="L108" s="53"/>
      <c r="M108" s="53"/>
      <c r="N108" s="61"/>
    </row>
    <row r="109" spans="1:14" ht="21.75" customHeight="1" x14ac:dyDescent="0.4">
      <c r="A109" s="55"/>
      <c r="B109" s="56"/>
      <c r="C109" s="56"/>
      <c r="D109" s="73"/>
      <c r="E109" s="74" t="s">
        <v>29</v>
      </c>
      <c r="F109" s="75"/>
      <c r="G109" s="76"/>
      <c r="H109" s="66"/>
      <c r="I109" s="67"/>
      <c r="J109" s="67">
        <v>0</v>
      </c>
      <c r="K109" s="233"/>
      <c r="L109" s="53"/>
      <c r="M109" s="53"/>
      <c r="N109" s="61"/>
    </row>
    <row r="110" spans="1:14" ht="21.75" customHeight="1" x14ac:dyDescent="0.4">
      <c r="A110" s="55"/>
      <c r="B110" s="56"/>
      <c r="C110" s="56"/>
      <c r="D110" s="73"/>
      <c r="E110" s="77"/>
      <c r="F110" s="74" t="s">
        <v>66</v>
      </c>
      <c r="G110" s="76"/>
      <c r="H110" s="60" t="s">
        <v>63</v>
      </c>
      <c r="I110" s="67">
        <f ca="1">IFERROR(__xludf.DUMMYFUNCTION("IMPORTRANGE(""https://docs.google.com/spreadsheets/d/1C3CXT74ZlgGe6_JY_1olB1XN4rF0dxEuIIF-xsYjHgg/edit?usp=sharing"",""พรบ!AK30"")"),0)</f>
        <v>0</v>
      </c>
      <c r="J110" s="67">
        <v>0</v>
      </c>
      <c r="K110" s="233">
        <f t="shared" ref="K110:K111" ca="1" si="26">IF(I110&gt;0,J110*100/I110,0)</f>
        <v>0</v>
      </c>
      <c r="L110" s="53">
        <f ca="1">IFERROR(__xludf.DUMMYFUNCTION("IMPORTRANGE(""https://docs.google.com/spreadsheets/d/1C3CXT74ZlgGe6_JY_1olB1XN4rF0dxEuIIF-xsYjHgg/edit?usp=sharing"",""กปร!D30"")"),0)</f>
        <v>0</v>
      </c>
      <c r="M110" s="53">
        <v>0</v>
      </c>
      <c r="N110" s="53">
        <f t="shared" ref="N110:N111" ca="1" si="27">+IF(L110&gt;0,M110*100/L110,0)</f>
        <v>0</v>
      </c>
    </row>
    <row r="111" spans="1:14" ht="21.75" customHeight="1" x14ac:dyDescent="0.4">
      <c r="A111" s="55"/>
      <c r="B111" s="56"/>
      <c r="C111" s="56"/>
      <c r="D111" s="73"/>
      <c r="E111" s="77"/>
      <c r="F111" s="74" t="s">
        <v>67</v>
      </c>
      <c r="G111" s="76"/>
      <c r="H111" s="60" t="s">
        <v>63</v>
      </c>
      <c r="I111" s="67">
        <f ca="1">IFERROR(__xludf.DUMMYFUNCTION("IMPORTRANGE(""https://docs.google.com/spreadsheets/d/1C3CXT74ZlgGe6_JY_1olB1XN4rF0dxEuIIF-xsYjHgg/edit?usp=sharing"",""พรบ!AL30"")"),0)</f>
        <v>0</v>
      </c>
      <c r="J111" s="67">
        <v>0</v>
      </c>
      <c r="K111" s="233">
        <f t="shared" ca="1" si="26"/>
        <v>0</v>
      </c>
      <c r="L111" s="53">
        <f ca="1">IFERROR(__xludf.DUMMYFUNCTION("IMPORTRANGE(""https://docs.google.com/spreadsheets/d/1C3CXT74ZlgGe6_JY_1olB1XN4rF0dxEuIIF-xsYjHgg/edit?usp=sharing"",""กปร!E30"")"),0)</f>
        <v>0</v>
      </c>
      <c r="M111" s="53">
        <v>0</v>
      </c>
      <c r="N111" s="53">
        <f t="shared" ca="1" si="27"/>
        <v>0</v>
      </c>
    </row>
    <row r="112" spans="1:14" ht="21.75" customHeight="1" x14ac:dyDescent="0.4">
      <c r="A112" s="55"/>
      <c r="B112" s="56"/>
      <c r="C112" s="56"/>
      <c r="D112" s="73"/>
      <c r="E112" s="74" t="s">
        <v>35</v>
      </c>
      <c r="F112" s="75"/>
      <c r="G112" s="76"/>
      <c r="H112" s="66"/>
      <c r="I112" s="67"/>
      <c r="J112" s="67">
        <v>0</v>
      </c>
      <c r="K112" s="233"/>
      <c r="L112" s="53"/>
      <c r="M112" s="53"/>
      <c r="N112" s="61"/>
    </row>
    <row r="113" spans="1:14" ht="21.75" customHeight="1" x14ac:dyDescent="0.4">
      <c r="A113" s="55"/>
      <c r="B113" s="56"/>
      <c r="C113" s="56"/>
      <c r="D113" s="81">
        <v>3</v>
      </c>
      <c r="E113" s="82" t="s">
        <v>36</v>
      </c>
      <c r="F113" s="83"/>
      <c r="G113" s="84"/>
      <c r="H113" s="66"/>
      <c r="I113" s="67"/>
      <c r="J113" s="360">
        <v>0</v>
      </c>
      <c r="K113" s="233"/>
      <c r="L113" s="53"/>
      <c r="M113" s="53"/>
      <c r="N113" s="61"/>
    </row>
    <row r="114" spans="1:14" ht="21.75" customHeight="1" x14ac:dyDescent="0.4">
      <c r="A114" s="141"/>
      <c r="B114" s="142"/>
      <c r="C114" s="143" t="s">
        <v>68</v>
      </c>
      <c r="D114" s="143"/>
      <c r="E114" s="143"/>
      <c r="F114" s="143"/>
      <c r="G114" s="144"/>
      <c r="H114" s="152" t="s">
        <v>69</v>
      </c>
      <c r="I114" s="150">
        <f t="shared" ref="I114:J114" ca="1" si="28">I125</f>
        <v>50000</v>
      </c>
      <c r="J114" s="150">
        <f t="shared" si="28"/>
        <v>0</v>
      </c>
      <c r="K114" s="151">
        <f ca="1">IF(I114&gt;0,J114*100/I114,0)</f>
        <v>0</v>
      </c>
      <c r="L114" s="148">
        <f ca="1">L115+L116</f>
        <v>19500</v>
      </c>
      <c r="M114" s="148">
        <f>SUM(M115:M116)</f>
        <v>0</v>
      </c>
      <c r="N114" s="148">
        <f t="shared" ref="N114:N117" ca="1" si="29">+IF(L114&gt;0,M114*100/L114,0)</f>
        <v>0</v>
      </c>
    </row>
    <row r="115" spans="1:14" ht="21.75" customHeight="1" x14ac:dyDescent="0.4">
      <c r="A115" s="42"/>
      <c r="B115" s="43"/>
      <c r="C115" s="43" t="s">
        <v>17</v>
      </c>
      <c r="D115" s="44" t="s">
        <v>18</v>
      </c>
      <c r="E115" s="45"/>
      <c r="F115" s="45"/>
      <c r="G115" s="46" t="s">
        <v>19</v>
      </c>
      <c r="H115" s="47" t="s">
        <v>20</v>
      </c>
      <c r="I115" s="48" t="s">
        <v>21</v>
      </c>
      <c r="J115" s="48"/>
      <c r="K115" s="49"/>
      <c r="L115" s="50">
        <v>0</v>
      </c>
      <c r="M115" s="50">
        <v>0</v>
      </c>
      <c r="N115" s="50">
        <f t="shared" si="29"/>
        <v>0</v>
      </c>
    </row>
    <row r="116" spans="1:14" ht="21.75" customHeight="1" x14ac:dyDescent="0.4">
      <c r="A116" s="42"/>
      <c r="B116" s="43"/>
      <c r="C116" s="43"/>
      <c r="D116" s="51"/>
      <c r="E116" s="45"/>
      <c r="F116" s="45" t="s">
        <v>21</v>
      </c>
      <c r="G116" s="46" t="s">
        <v>22</v>
      </c>
      <c r="H116" s="47" t="s">
        <v>20</v>
      </c>
      <c r="I116" s="48"/>
      <c r="J116" s="48"/>
      <c r="K116" s="49"/>
      <c r="L116" s="50">
        <f ca="1">SUM(L117)</f>
        <v>19500</v>
      </c>
      <c r="M116" s="50">
        <f>M117</f>
        <v>0</v>
      </c>
      <c r="N116" s="50">
        <f t="shared" ca="1" si="29"/>
        <v>0</v>
      </c>
    </row>
    <row r="117" spans="1:14" ht="21.75" customHeight="1" x14ac:dyDescent="0.4">
      <c r="A117" s="42"/>
      <c r="B117" s="43"/>
      <c r="C117" s="43"/>
      <c r="D117" s="51"/>
      <c r="E117" s="45"/>
      <c r="F117" s="45"/>
      <c r="G117" s="52" t="s">
        <v>24</v>
      </c>
      <c r="H117" s="47" t="s">
        <v>20</v>
      </c>
      <c r="I117" s="48"/>
      <c r="J117" s="48"/>
      <c r="K117" s="49"/>
      <c r="L117" s="53">
        <f ca="1">IFERROR(__xludf.DUMMYFUNCTION("IMPORTRANGE(""https://docs.google.com/spreadsheets/d/1C3CXT74ZlgGe6_JY_1olB1XN4rF0dxEuIIF-xsYjHgg/edit?usp=sharing"",""พรบ!AM30"")"),19500)</f>
        <v>19500</v>
      </c>
      <c r="M117" s="54">
        <v>0</v>
      </c>
      <c r="N117" s="53">
        <f t="shared" ca="1" si="29"/>
        <v>0</v>
      </c>
    </row>
    <row r="118" spans="1:14" ht="21.75" customHeight="1" x14ac:dyDescent="0.4">
      <c r="A118" s="55"/>
      <c r="B118" s="56"/>
      <c r="C118" s="43" t="s">
        <v>17</v>
      </c>
      <c r="D118" s="57" t="s">
        <v>25</v>
      </c>
      <c r="E118" s="58"/>
      <c r="F118" s="58"/>
      <c r="G118" s="59"/>
      <c r="H118" s="60"/>
      <c r="I118" s="48"/>
      <c r="J118" s="48"/>
      <c r="K118" s="49"/>
      <c r="L118" s="61"/>
      <c r="M118" s="61"/>
      <c r="N118" s="61"/>
    </row>
    <row r="119" spans="1:14" ht="21.75" customHeight="1" x14ac:dyDescent="0.4">
      <c r="A119" s="55"/>
      <c r="B119" s="56"/>
      <c r="C119" s="56"/>
      <c r="D119" s="62">
        <v>1</v>
      </c>
      <c r="E119" s="63" t="s">
        <v>26</v>
      </c>
      <c r="F119" s="64"/>
      <c r="G119" s="65"/>
      <c r="H119" s="66"/>
      <c r="I119" s="67"/>
      <c r="J119" s="68">
        <v>0</v>
      </c>
      <c r="K119" s="49"/>
      <c r="L119" s="61"/>
      <c r="M119" s="61"/>
      <c r="N119" s="61"/>
    </row>
    <row r="120" spans="1:14" ht="21.75" customHeight="1" x14ac:dyDescent="0.4">
      <c r="A120" s="55"/>
      <c r="B120" s="56"/>
      <c r="C120" s="56"/>
      <c r="D120" s="69">
        <v>2</v>
      </c>
      <c r="E120" s="70" t="s">
        <v>27</v>
      </c>
      <c r="F120" s="71"/>
      <c r="G120" s="72"/>
      <c r="H120" s="66"/>
      <c r="I120" s="67"/>
      <c r="J120" s="68">
        <v>0</v>
      </c>
      <c r="K120" s="49"/>
      <c r="L120" s="61" t="s">
        <v>21</v>
      </c>
      <c r="M120" s="61" t="s">
        <v>21</v>
      </c>
      <c r="N120" s="61"/>
    </row>
    <row r="121" spans="1:14" ht="21.75" customHeight="1" x14ac:dyDescent="0.4">
      <c r="A121" s="55"/>
      <c r="B121" s="56"/>
      <c r="C121" s="56"/>
      <c r="D121" s="73"/>
      <c r="E121" s="74" t="s">
        <v>28</v>
      </c>
      <c r="F121" s="75"/>
      <c r="G121" s="76"/>
      <c r="H121" s="66"/>
      <c r="I121" s="67"/>
      <c r="J121" s="68">
        <v>0</v>
      </c>
      <c r="K121" s="49"/>
      <c r="L121" s="61"/>
      <c r="M121" s="61"/>
      <c r="N121" s="61"/>
    </row>
    <row r="122" spans="1:14" ht="21.75" customHeight="1" x14ac:dyDescent="0.4">
      <c r="A122" s="55"/>
      <c r="B122" s="56"/>
      <c r="C122" s="56"/>
      <c r="D122" s="73"/>
      <c r="E122" s="74" t="s">
        <v>29</v>
      </c>
      <c r="F122" s="75"/>
      <c r="G122" s="76"/>
      <c r="H122" s="66"/>
      <c r="I122" s="67"/>
      <c r="J122" s="68">
        <v>0</v>
      </c>
      <c r="K122" s="49"/>
      <c r="L122" s="61"/>
      <c r="M122" s="61"/>
      <c r="N122" s="61"/>
    </row>
    <row r="123" spans="1:14" ht="21.75" customHeight="1" x14ac:dyDescent="0.4">
      <c r="A123" s="55"/>
      <c r="B123" s="56"/>
      <c r="C123" s="56"/>
      <c r="D123" s="73"/>
      <c r="E123" s="75"/>
      <c r="F123" s="75" t="s">
        <v>70</v>
      </c>
      <c r="G123" s="76"/>
      <c r="H123" s="60"/>
      <c r="I123" s="67"/>
      <c r="J123" s="67"/>
      <c r="K123" s="49"/>
      <c r="L123" s="61"/>
      <c r="M123" s="61"/>
      <c r="N123" s="61"/>
    </row>
    <row r="124" spans="1:14" ht="21.75" customHeight="1" x14ac:dyDescent="0.4">
      <c r="A124" s="55"/>
      <c r="B124" s="56"/>
      <c r="C124" s="56"/>
      <c r="D124" s="73"/>
      <c r="E124" s="77"/>
      <c r="F124" s="75"/>
      <c r="G124" s="74" t="s">
        <v>71</v>
      </c>
      <c r="H124" s="60" t="s">
        <v>69</v>
      </c>
      <c r="I124" s="67">
        <f ca="1">IFERROR(__xludf.DUMMYFUNCTION("IMPORTRANGE(""https://docs.google.com/spreadsheets/d/1C3CXT74ZlgGe6_JY_1olB1XN4rF0dxEuIIF-xsYjHgg/edit?usp=sharing"",""พรบ!AO30"")"),50000)</f>
        <v>50000</v>
      </c>
      <c r="J124" s="68">
        <v>0</v>
      </c>
      <c r="K124" s="49">
        <f t="shared" ref="K124:K126" ca="1" si="30">IF(I124&gt;0,J124*100/I124,0)</f>
        <v>0</v>
      </c>
      <c r="L124" s="61"/>
      <c r="M124" s="61"/>
      <c r="N124" s="61"/>
    </row>
    <row r="125" spans="1:14" ht="21.75" customHeight="1" x14ac:dyDescent="0.4">
      <c r="A125" s="55"/>
      <c r="B125" s="56"/>
      <c r="C125" s="56"/>
      <c r="D125" s="73"/>
      <c r="E125" s="77"/>
      <c r="F125" s="75"/>
      <c r="G125" s="74" t="s">
        <v>72</v>
      </c>
      <c r="H125" s="60" t="s">
        <v>69</v>
      </c>
      <c r="I125" s="67">
        <f ca="1">IFERROR(__xludf.DUMMYFUNCTION("IMPORTRANGE(""https://docs.google.com/spreadsheets/d/1C3CXT74ZlgGe6_JY_1olB1XN4rF0dxEuIIF-xsYjHgg/edit?usp=sharing"",""พรบ!AP30"")"),50000)</f>
        <v>50000</v>
      </c>
      <c r="J125" s="68">
        <v>0</v>
      </c>
      <c r="K125" s="49">
        <f t="shared" ca="1" si="30"/>
        <v>0</v>
      </c>
      <c r="L125" s="53">
        <f ca="1">IFERROR(__xludf.DUMMYFUNCTION("IMPORTRANGE(""https://docs.google.com/spreadsheets/d/1C3CXT74ZlgGe6_JY_1olB1XN4rF0dxEuIIF-xsYjHgg/edit?usp=sharing"",""กปร!F30"")"),13500)</f>
        <v>13500</v>
      </c>
      <c r="M125" s="359">
        <v>0</v>
      </c>
      <c r="N125" s="53">
        <f t="shared" ref="N125:N126" ca="1" si="31">+IF(L125&gt;0,M125*100/L125,0)</f>
        <v>0</v>
      </c>
    </row>
    <row r="126" spans="1:14" ht="21.75" customHeight="1" x14ac:dyDescent="0.4">
      <c r="A126" s="55"/>
      <c r="B126" s="56"/>
      <c r="C126" s="56"/>
      <c r="D126" s="73"/>
      <c r="E126" s="77"/>
      <c r="F126" s="75" t="s">
        <v>73</v>
      </c>
      <c r="G126" s="76"/>
      <c r="H126" s="60" t="s">
        <v>16</v>
      </c>
      <c r="I126" s="67">
        <f ca="1">IFERROR(__xludf.DUMMYFUNCTION("IMPORTRANGE(""https://docs.google.com/spreadsheets/d/1C3CXT74ZlgGe6_JY_1olB1XN4rF0dxEuIIF-xsYjHgg/edit?usp=sharing"",""พรบ!AQ30"")"),0)</f>
        <v>0</v>
      </c>
      <c r="J126" s="68">
        <v>0</v>
      </c>
      <c r="K126" s="49">
        <f t="shared" ca="1" si="30"/>
        <v>0</v>
      </c>
      <c r="L126" s="53">
        <f ca="1">IFERROR(__xludf.DUMMYFUNCTION("IMPORTRANGE(""https://docs.google.com/spreadsheets/d/1C3CXT74ZlgGe6_JY_1olB1XN4rF0dxEuIIF-xsYjHgg/edit?usp=sharing"",""กปร!G30"")"),0)</f>
        <v>0</v>
      </c>
      <c r="M126" s="53">
        <v>0</v>
      </c>
      <c r="N126" s="53">
        <f t="shared" ca="1" si="31"/>
        <v>0</v>
      </c>
    </row>
    <row r="127" spans="1:14" ht="21.75" customHeight="1" x14ac:dyDescent="0.4">
      <c r="A127" s="55"/>
      <c r="B127" s="56"/>
      <c r="C127" s="56"/>
      <c r="D127" s="73"/>
      <c r="E127" s="74" t="s">
        <v>35</v>
      </c>
      <c r="F127" s="75"/>
      <c r="G127" s="76"/>
      <c r="H127" s="66"/>
      <c r="I127" s="67"/>
      <c r="J127" s="68">
        <v>0</v>
      </c>
      <c r="K127" s="49"/>
      <c r="L127" s="61"/>
      <c r="M127" s="61"/>
      <c r="N127" s="61"/>
    </row>
    <row r="128" spans="1:14" ht="21.75" customHeight="1" x14ac:dyDescent="0.4">
      <c r="A128" s="105"/>
      <c r="B128" s="106"/>
      <c r="C128" s="106"/>
      <c r="D128" s="107">
        <v>3</v>
      </c>
      <c r="E128" s="108" t="s">
        <v>36</v>
      </c>
      <c r="F128" s="109"/>
      <c r="G128" s="110"/>
      <c r="H128" s="111"/>
      <c r="I128" s="112"/>
      <c r="J128" s="113">
        <v>0</v>
      </c>
      <c r="K128" s="114"/>
      <c r="L128" s="115"/>
      <c r="M128" s="115"/>
      <c r="N128" s="115"/>
    </row>
    <row r="129" spans="1:14" ht="21.75" customHeight="1" x14ac:dyDescent="0.4">
      <c r="A129" s="141"/>
      <c r="B129" s="142"/>
      <c r="C129" s="153" t="s">
        <v>74</v>
      </c>
      <c r="D129" s="143"/>
      <c r="E129" s="143"/>
      <c r="F129" s="143"/>
      <c r="G129" s="144"/>
      <c r="H129" s="152" t="s">
        <v>16</v>
      </c>
      <c r="I129" s="150">
        <f t="shared" ref="I129:J129" ca="1" si="32">I138</f>
        <v>0</v>
      </c>
      <c r="J129" s="150">
        <f t="shared" si="32"/>
        <v>0</v>
      </c>
      <c r="K129" s="151">
        <f ca="1">IF(I129&gt;0,J129*100/I129,0)</f>
        <v>0</v>
      </c>
      <c r="L129" s="148">
        <f ca="1">L130+L131</f>
        <v>0</v>
      </c>
      <c r="M129" s="148">
        <f>SUM(M130:M131)</f>
        <v>0</v>
      </c>
      <c r="N129" s="148">
        <f t="shared" ref="N129:N132" ca="1" si="33">+IF(L129&gt;0,M129*100/L129,0)</f>
        <v>0</v>
      </c>
    </row>
    <row r="130" spans="1:14" ht="21.75" customHeight="1" x14ac:dyDescent="0.4">
      <c r="A130" s="42"/>
      <c r="B130" s="43"/>
      <c r="C130" s="43" t="s">
        <v>17</v>
      </c>
      <c r="D130" s="44" t="s">
        <v>18</v>
      </c>
      <c r="E130" s="45"/>
      <c r="F130" s="45"/>
      <c r="G130" s="46" t="s">
        <v>19</v>
      </c>
      <c r="H130" s="47" t="s">
        <v>20</v>
      </c>
      <c r="I130" s="48" t="s">
        <v>21</v>
      </c>
      <c r="J130" s="48"/>
      <c r="K130" s="49"/>
      <c r="L130" s="50">
        <v>0</v>
      </c>
      <c r="M130" s="50">
        <v>0</v>
      </c>
      <c r="N130" s="50">
        <f t="shared" si="33"/>
        <v>0</v>
      </c>
    </row>
    <row r="131" spans="1:14" ht="21.75" customHeight="1" x14ac:dyDescent="0.4">
      <c r="A131" s="42"/>
      <c r="B131" s="43"/>
      <c r="C131" s="43"/>
      <c r="D131" s="51"/>
      <c r="E131" s="45"/>
      <c r="F131" s="45" t="s">
        <v>21</v>
      </c>
      <c r="G131" s="46" t="s">
        <v>22</v>
      </c>
      <c r="H131" s="47" t="s">
        <v>20</v>
      </c>
      <c r="I131" s="48"/>
      <c r="J131" s="48"/>
      <c r="K131" s="49"/>
      <c r="L131" s="50">
        <f ca="1">SUM(L132)</f>
        <v>0</v>
      </c>
      <c r="M131" s="50">
        <f>M132</f>
        <v>0</v>
      </c>
      <c r="N131" s="50">
        <f t="shared" ca="1" si="33"/>
        <v>0</v>
      </c>
    </row>
    <row r="132" spans="1:14" ht="21.75" customHeight="1" x14ac:dyDescent="0.4">
      <c r="A132" s="42"/>
      <c r="B132" s="43"/>
      <c r="C132" s="43"/>
      <c r="D132" s="51"/>
      <c r="E132" s="45"/>
      <c r="F132" s="45"/>
      <c r="G132" s="52" t="s">
        <v>24</v>
      </c>
      <c r="H132" s="47" t="s">
        <v>20</v>
      </c>
      <c r="I132" s="48"/>
      <c r="J132" s="67"/>
      <c r="K132" s="233"/>
      <c r="L132" s="53">
        <f ca="1">IFERROR(__xludf.DUMMYFUNCTION("IMPORTRANGE(""https://docs.google.com/spreadsheets/d/1C3CXT74ZlgGe6_JY_1olB1XN4rF0dxEuIIF-xsYjHgg/edit?usp=sharing"",""พรบ!AR30"")"),0)</f>
        <v>0</v>
      </c>
      <c r="M132" s="53">
        <v>0</v>
      </c>
      <c r="N132" s="53">
        <f t="shared" ca="1" si="33"/>
        <v>0</v>
      </c>
    </row>
    <row r="133" spans="1:14" ht="21.75" customHeight="1" x14ac:dyDescent="0.4">
      <c r="A133" s="55"/>
      <c r="B133" s="56"/>
      <c r="C133" s="43" t="s">
        <v>17</v>
      </c>
      <c r="D133" s="57" t="s">
        <v>25</v>
      </c>
      <c r="E133" s="58"/>
      <c r="F133" s="58"/>
      <c r="G133" s="59"/>
      <c r="H133" s="60"/>
      <c r="I133" s="48"/>
      <c r="J133" s="67"/>
      <c r="K133" s="233"/>
      <c r="L133" s="53"/>
      <c r="M133" s="53"/>
      <c r="N133" s="61"/>
    </row>
    <row r="134" spans="1:14" ht="21.75" customHeight="1" x14ac:dyDescent="0.4">
      <c r="A134" s="55"/>
      <c r="B134" s="56"/>
      <c r="C134" s="56"/>
      <c r="D134" s="62">
        <v>1</v>
      </c>
      <c r="E134" s="63" t="s">
        <v>26</v>
      </c>
      <c r="F134" s="64"/>
      <c r="G134" s="65"/>
      <c r="H134" s="66"/>
      <c r="I134" s="67"/>
      <c r="J134" s="67">
        <v>0</v>
      </c>
      <c r="K134" s="233"/>
      <c r="L134" s="53"/>
      <c r="M134" s="53"/>
      <c r="N134" s="61"/>
    </row>
    <row r="135" spans="1:14" ht="21.75" customHeight="1" x14ac:dyDescent="0.4">
      <c r="A135" s="55"/>
      <c r="B135" s="56"/>
      <c r="C135" s="56"/>
      <c r="D135" s="69">
        <v>2</v>
      </c>
      <c r="E135" s="70" t="s">
        <v>27</v>
      </c>
      <c r="F135" s="71"/>
      <c r="G135" s="72"/>
      <c r="H135" s="66"/>
      <c r="I135" s="67"/>
      <c r="J135" s="67">
        <v>0</v>
      </c>
      <c r="K135" s="233"/>
      <c r="L135" s="53" t="s">
        <v>21</v>
      </c>
      <c r="M135" s="53" t="s">
        <v>21</v>
      </c>
      <c r="N135" s="61"/>
    </row>
    <row r="136" spans="1:14" ht="21.75" customHeight="1" x14ac:dyDescent="0.4">
      <c r="A136" s="55"/>
      <c r="B136" s="56"/>
      <c r="C136" s="56"/>
      <c r="D136" s="73"/>
      <c r="E136" s="74" t="s">
        <v>28</v>
      </c>
      <c r="F136" s="75"/>
      <c r="G136" s="76"/>
      <c r="H136" s="66"/>
      <c r="I136" s="67"/>
      <c r="J136" s="67">
        <v>0</v>
      </c>
      <c r="K136" s="233"/>
      <c r="L136" s="53"/>
      <c r="M136" s="53"/>
      <c r="N136" s="61"/>
    </row>
    <row r="137" spans="1:14" ht="21.75" customHeight="1" x14ac:dyDescent="0.4">
      <c r="A137" s="55"/>
      <c r="B137" s="56"/>
      <c r="C137" s="56"/>
      <c r="D137" s="73"/>
      <c r="E137" s="74" t="s">
        <v>29</v>
      </c>
      <c r="F137" s="75"/>
      <c r="G137" s="76"/>
      <c r="H137" s="66"/>
      <c r="I137" s="67"/>
      <c r="J137" s="67">
        <v>0</v>
      </c>
      <c r="K137" s="233"/>
      <c r="L137" s="53"/>
      <c r="M137" s="53"/>
      <c r="N137" s="61"/>
    </row>
    <row r="138" spans="1:14" ht="21.75" customHeight="1" x14ac:dyDescent="0.4">
      <c r="A138" s="55"/>
      <c r="B138" s="56"/>
      <c r="C138" s="56"/>
      <c r="D138" s="73"/>
      <c r="E138" s="77"/>
      <c r="F138" s="75" t="s">
        <v>75</v>
      </c>
      <c r="G138" s="76"/>
      <c r="H138" s="60" t="s">
        <v>16</v>
      </c>
      <c r="I138" s="67">
        <f ca="1">IFERROR(__xludf.DUMMYFUNCTION("IMPORTRANGE(""https://docs.google.com/spreadsheets/d/1C3CXT74ZlgGe6_JY_1olB1XN4rF0dxEuIIF-xsYjHgg/edit?usp=sharing"",""พรบ!AS30"")"),0)</f>
        <v>0</v>
      </c>
      <c r="J138" s="67">
        <v>0</v>
      </c>
      <c r="K138" s="233">
        <f ca="1">IF(I138&gt;0,J138*100/I138,0)</f>
        <v>0</v>
      </c>
      <c r="L138" s="53">
        <f ca="1">IFERROR(__xludf.DUMMYFUNCTION("IMPORTRANGE(""https://docs.google.com/spreadsheets/d/1C3CXT74ZlgGe6_JY_1olB1XN4rF0dxEuIIF-xsYjHgg/edit?usp=sharing"",""กปร!H30"")"),0)</f>
        <v>0</v>
      </c>
      <c r="M138" s="53">
        <v>0</v>
      </c>
      <c r="N138" s="53">
        <f ca="1">+IF(L138&gt;0,M138*100/L138,0)</f>
        <v>0</v>
      </c>
    </row>
    <row r="139" spans="1:14" ht="21.75" customHeight="1" x14ac:dyDescent="0.4">
      <c r="A139" s="55"/>
      <c r="B139" s="56"/>
      <c r="C139" s="56"/>
      <c r="D139" s="73"/>
      <c r="E139" s="77"/>
      <c r="F139" s="74" t="s">
        <v>34</v>
      </c>
      <c r="G139" s="76"/>
      <c r="H139" s="60"/>
      <c r="I139" s="67"/>
      <c r="J139" s="67"/>
      <c r="K139" s="233"/>
      <c r="L139" s="53"/>
      <c r="M139" s="53"/>
      <c r="N139" s="61"/>
    </row>
    <row r="140" spans="1:14" ht="21.75" customHeight="1" x14ac:dyDescent="0.4">
      <c r="A140" s="55"/>
      <c r="B140" s="56"/>
      <c r="C140" s="56"/>
      <c r="D140" s="73"/>
      <c r="E140" s="77"/>
      <c r="F140" s="75"/>
      <c r="G140" s="99" t="s">
        <v>76</v>
      </c>
      <c r="H140" s="60" t="s">
        <v>16</v>
      </c>
      <c r="I140" s="67">
        <f ca="1">IFERROR(__xludf.DUMMYFUNCTION("IMPORTRANGE(""https://docs.google.com/spreadsheets/d/1C3CXT74ZlgGe6_JY_1olB1XN4rF0dxEuIIF-xsYjHgg/edit?usp=sharing"",""พรบ!AT30"")"),0)</f>
        <v>0</v>
      </c>
      <c r="J140" s="67">
        <v>0</v>
      </c>
      <c r="K140" s="233">
        <f t="shared" ref="K140:K141" ca="1" si="34">IF(I140&gt;0,J140*100/I140,0)</f>
        <v>0</v>
      </c>
      <c r="L140" s="53">
        <f ca="1">IFERROR(__xludf.DUMMYFUNCTION("IMPORTRANGE(""https://docs.google.com/spreadsheets/d/1C3CXT74ZlgGe6_JY_1olB1XN4rF0dxEuIIF-xsYjHgg/edit?usp=sharing"",""กปร!I30"")"),0)</f>
        <v>0</v>
      </c>
      <c r="M140" s="53">
        <v>0</v>
      </c>
      <c r="N140" s="53">
        <f t="shared" ref="N140:N141" ca="1" si="35">+IF(L140&gt;0,M140*100/L140,0)</f>
        <v>0</v>
      </c>
    </row>
    <row r="141" spans="1:14" ht="21.75" customHeight="1" x14ac:dyDescent="0.4">
      <c r="A141" s="55"/>
      <c r="B141" s="56"/>
      <c r="C141" s="56"/>
      <c r="D141" s="73"/>
      <c r="E141" s="77"/>
      <c r="F141" s="75"/>
      <c r="G141" s="99" t="s">
        <v>77</v>
      </c>
      <c r="H141" s="60" t="s">
        <v>40</v>
      </c>
      <c r="I141" s="67">
        <f ca="1">IFERROR(__xludf.DUMMYFUNCTION("IMPORTRANGE(""https://docs.google.com/spreadsheets/d/1C3CXT74ZlgGe6_JY_1olB1XN4rF0dxEuIIF-xsYjHgg/edit?usp=sharing"",""พรบ!AU30"")"),0)</f>
        <v>0</v>
      </c>
      <c r="J141" s="67">
        <v>0</v>
      </c>
      <c r="K141" s="233">
        <f t="shared" ca="1" si="34"/>
        <v>0</v>
      </c>
      <c r="L141" s="53">
        <f ca="1">IFERROR(__xludf.DUMMYFUNCTION("IMPORTRANGE(""https://docs.google.com/spreadsheets/d/1C3CXT74ZlgGe6_JY_1olB1XN4rF0dxEuIIF-xsYjHgg/edit?usp=sharing"",""กปร!J30"")"),0)</f>
        <v>0</v>
      </c>
      <c r="M141" s="53">
        <v>0</v>
      </c>
      <c r="N141" s="53">
        <f t="shared" ca="1" si="35"/>
        <v>0</v>
      </c>
    </row>
    <row r="142" spans="1:14" ht="21.75" customHeight="1" x14ac:dyDescent="0.4">
      <c r="A142" s="55"/>
      <c r="B142" s="56"/>
      <c r="C142" s="56"/>
      <c r="D142" s="73"/>
      <c r="E142" s="74" t="s">
        <v>35</v>
      </c>
      <c r="F142" s="75"/>
      <c r="G142" s="76"/>
      <c r="H142" s="66"/>
      <c r="I142" s="67"/>
      <c r="J142" s="67">
        <v>0</v>
      </c>
      <c r="K142" s="233"/>
      <c r="L142" s="53"/>
      <c r="M142" s="53"/>
      <c r="N142" s="61"/>
    </row>
    <row r="143" spans="1:14" ht="21.75" customHeight="1" x14ac:dyDescent="0.4">
      <c r="A143" s="105"/>
      <c r="B143" s="106"/>
      <c r="C143" s="106"/>
      <c r="D143" s="107">
        <v>3</v>
      </c>
      <c r="E143" s="108" t="s">
        <v>36</v>
      </c>
      <c r="F143" s="109"/>
      <c r="G143" s="110"/>
      <c r="H143" s="111"/>
      <c r="I143" s="112"/>
      <c r="J143" s="356">
        <v>0</v>
      </c>
      <c r="K143" s="357"/>
      <c r="L143" s="358"/>
      <c r="M143" s="358"/>
      <c r="N143" s="115"/>
    </row>
    <row r="144" spans="1:14" ht="21.75" customHeight="1" x14ac:dyDescent="0.4">
      <c r="A144" s="132"/>
      <c r="B144" s="133" t="s">
        <v>78</v>
      </c>
      <c r="C144" s="134"/>
      <c r="D144" s="133"/>
      <c r="E144" s="133"/>
      <c r="F144" s="133"/>
      <c r="G144" s="135"/>
      <c r="H144" s="136" t="s">
        <v>16</v>
      </c>
      <c r="I144" s="137">
        <f t="shared" ref="I144:J144" ca="1" si="36">+I149+I158</f>
        <v>15</v>
      </c>
      <c r="J144" s="137">
        <f t="shared" si="36"/>
        <v>0</v>
      </c>
      <c r="K144" s="138">
        <f ca="1">IF(I144&gt;0,J144*100/I144,0)</f>
        <v>0</v>
      </c>
      <c r="L144" s="139">
        <f ca="1">L145+L146</f>
        <v>21125</v>
      </c>
      <c r="M144" s="139">
        <f>SUM(M145:M146)</f>
        <v>0</v>
      </c>
      <c r="N144" s="138">
        <f ca="1">IF(L144&gt;0,M144*100/L144,0)</f>
        <v>0</v>
      </c>
    </row>
    <row r="145" spans="1:14" ht="21.75" customHeight="1" x14ac:dyDescent="0.4">
      <c r="A145" s="42"/>
      <c r="B145" s="43"/>
      <c r="C145" s="43" t="s">
        <v>17</v>
      </c>
      <c r="D145" s="44" t="s">
        <v>18</v>
      </c>
      <c r="E145" s="45"/>
      <c r="F145" s="45"/>
      <c r="G145" s="46" t="s">
        <v>19</v>
      </c>
      <c r="H145" s="47" t="s">
        <v>20</v>
      </c>
      <c r="I145" s="48" t="s">
        <v>21</v>
      </c>
      <c r="J145" s="48"/>
      <c r="K145" s="49"/>
      <c r="L145" s="50">
        <v>0</v>
      </c>
      <c r="M145" s="50">
        <v>0</v>
      </c>
      <c r="N145" s="50">
        <f t="shared" ref="N145:N148" si="37">+IF(L145&gt;0,M145*100/L145,0)</f>
        <v>0</v>
      </c>
    </row>
    <row r="146" spans="1:14" ht="21.75" customHeight="1" x14ac:dyDescent="0.4">
      <c r="A146" s="42"/>
      <c r="B146" s="43"/>
      <c r="C146" s="43"/>
      <c r="D146" s="51"/>
      <c r="E146" s="45"/>
      <c r="F146" s="45" t="s">
        <v>21</v>
      </c>
      <c r="G146" s="46" t="s">
        <v>22</v>
      </c>
      <c r="H146" s="47" t="s">
        <v>20</v>
      </c>
      <c r="I146" s="48"/>
      <c r="J146" s="48"/>
      <c r="K146" s="49"/>
      <c r="L146" s="50">
        <f t="shared" ref="L146:M146" ca="1" si="38">SUM(L147:L148)</f>
        <v>21125</v>
      </c>
      <c r="M146" s="50">
        <f t="shared" si="38"/>
        <v>0</v>
      </c>
      <c r="N146" s="50">
        <f t="shared" ca="1" si="37"/>
        <v>0</v>
      </c>
    </row>
    <row r="147" spans="1:14" ht="21.75" customHeight="1" x14ac:dyDescent="0.4">
      <c r="A147" s="42"/>
      <c r="B147" s="43"/>
      <c r="C147" s="43"/>
      <c r="D147" s="51"/>
      <c r="E147" s="45"/>
      <c r="F147" s="45"/>
      <c r="G147" s="52" t="s">
        <v>23</v>
      </c>
      <c r="H147" s="47" t="s">
        <v>20</v>
      </c>
      <c r="I147" s="48"/>
      <c r="J147" s="48"/>
      <c r="K147" s="49"/>
      <c r="L147" s="53">
        <v>0</v>
      </c>
      <c r="M147" s="53">
        <v>0</v>
      </c>
      <c r="N147" s="53">
        <f t="shared" si="37"/>
        <v>0</v>
      </c>
    </row>
    <row r="148" spans="1:14" ht="21.75" customHeight="1" x14ac:dyDescent="0.4">
      <c r="A148" s="42"/>
      <c r="B148" s="43"/>
      <c r="C148" s="43"/>
      <c r="D148" s="51"/>
      <c r="E148" s="45"/>
      <c r="F148" s="45"/>
      <c r="G148" s="52" t="s">
        <v>24</v>
      </c>
      <c r="H148" s="47" t="s">
        <v>20</v>
      </c>
      <c r="I148" s="48"/>
      <c r="J148" s="48"/>
      <c r="K148" s="49"/>
      <c r="L148" s="53">
        <f ca="1">IFERROR(__xludf.DUMMYFUNCTION("IMPORTRANGE(""https://docs.google.com/spreadsheets/d/1C3CXT74ZlgGe6_JY_1olB1XN4rF0dxEuIIF-xsYjHgg/edit?usp=sharing"",""พรบ!AY30"")"),21125)</f>
        <v>21125</v>
      </c>
      <c r="M148" s="54">
        <v>0</v>
      </c>
      <c r="N148" s="53">
        <f t="shared" ca="1" si="37"/>
        <v>0</v>
      </c>
    </row>
    <row r="149" spans="1:14" ht="21.75" customHeight="1" x14ac:dyDescent="0.4">
      <c r="A149" s="55"/>
      <c r="B149" s="155"/>
      <c r="C149" s="134" t="s">
        <v>79</v>
      </c>
      <c r="D149" s="133"/>
      <c r="E149" s="133"/>
      <c r="F149" s="133"/>
      <c r="G149" s="135"/>
      <c r="H149" s="136" t="s">
        <v>16</v>
      </c>
      <c r="I149" s="137">
        <f ca="1">I155</f>
        <v>15</v>
      </c>
      <c r="J149" s="137">
        <f>+J155</f>
        <v>0</v>
      </c>
      <c r="K149" s="138">
        <f ca="1">IF(I149&gt;0,J149*100/I149,0)</f>
        <v>0</v>
      </c>
      <c r="L149" s="140"/>
      <c r="M149" s="140"/>
      <c r="N149" s="140"/>
    </row>
    <row r="150" spans="1:14" ht="21.75" customHeight="1" x14ac:dyDescent="0.4">
      <c r="A150" s="55"/>
      <c r="B150" s="56"/>
      <c r="C150" s="43" t="s">
        <v>17</v>
      </c>
      <c r="D150" s="57" t="s">
        <v>25</v>
      </c>
      <c r="E150" s="58"/>
      <c r="F150" s="58"/>
      <c r="G150" s="59"/>
      <c r="H150" s="60"/>
      <c r="I150" s="48"/>
      <c r="J150" s="48"/>
      <c r="K150" s="49"/>
      <c r="L150" s="61"/>
      <c r="M150" s="61"/>
      <c r="N150" s="61"/>
    </row>
    <row r="151" spans="1:14" ht="21.75" customHeight="1" x14ac:dyDescent="0.4">
      <c r="A151" s="55"/>
      <c r="B151" s="56"/>
      <c r="C151" s="56"/>
      <c r="D151" s="62">
        <v>1</v>
      </c>
      <c r="E151" s="63" t="s">
        <v>26</v>
      </c>
      <c r="F151" s="64"/>
      <c r="G151" s="65"/>
      <c r="H151" s="66"/>
      <c r="I151" s="67"/>
      <c r="J151" s="68">
        <v>0</v>
      </c>
      <c r="K151" s="49"/>
      <c r="L151" s="61"/>
      <c r="M151" s="61"/>
      <c r="N151" s="61"/>
    </row>
    <row r="152" spans="1:14" ht="21.75" customHeight="1" x14ac:dyDescent="0.4">
      <c r="A152" s="55"/>
      <c r="B152" s="56"/>
      <c r="C152" s="56"/>
      <c r="D152" s="69">
        <v>2</v>
      </c>
      <c r="E152" s="70" t="s">
        <v>27</v>
      </c>
      <c r="F152" s="71"/>
      <c r="G152" s="72"/>
      <c r="H152" s="66"/>
      <c r="I152" s="67"/>
      <c r="J152" s="68">
        <v>1</v>
      </c>
      <c r="K152" s="49"/>
      <c r="L152" s="61" t="s">
        <v>21</v>
      </c>
      <c r="M152" s="61" t="s">
        <v>21</v>
      </c>
      <c r="N152" s="61"/>
    </row>
    <row r="153" spans="1:14" ht="21.75" customHeight="1" x14ac:dyDescent="0.4">
      <c r="A153" s="55"/>
      <c r="B153" s="56"/>
      <c r="C153" s="56"/>
      <c r="D153" s="73"/>
      <c r="E153" s="74" t="s">
        <v>28</v>
      </c>
      <c r="F153" s="75"/>
      <c r="G153" s="76"/>
      <c r="H153" s="66"/>
      <c r="I153" s="67"/>
      <c r="J153" s="68">
        <v>1</v>
      </c>
      <c r="K153" s="49"/>
      <c r="L153" s="61"/>
      <c r="M153" s="61"/>
      <c r="N153" s="61"/>
    </row>
    <row r="154" spans="1:14" ht="21.75" customHeight="1" x14ac:dyDescent="0.4">
      <c r="A154" s="55"/>
      <c r="B154" s="56"/>
      <c r="C154" s="56"/>
      <c r="D154" s="73"/>
      <c r="E154" s="74" t="s">
        <v>29</v>
      </c>
      <c r="F154" s="75"/>
      <c r="G154" s="76"/>
      <c r="H154" s="66"/>
      <c r="I154" s="67"/>
      <c r="J154" s="68">
        <v>1</v>
      </c>
      <c r="K154" s="49"/>
      <c r="L154" s="61"/>
      <c r="M154" s="61"/>
      <c r="N154" s="61"/>
    </row>
    <row r="155" spans="1:14" ht="21.75" customHeight="1" x14ac:dyDescent="0.4">
      <c r="A155" s="55"/>
      <c r="B155" s="56"/>
      <c r="C155" s="56"/>
      <c r="D155" s="73"/>
      <c r="E155" s="77"/>
      <c r="F155" s="75"/>
      <c r="G155" s="99" t="s">
        <v>50</v>
      </c>
      <c r="H155" s="66" t="s">
        <v>16</v>
      </c>
      <c r="I155" s="67">
        <f ca="1">IFERROR(__xludf.DUMMYFUNCTION("IMPORTRANGE(""https://docs.google.com/spreadsheets/d/1C3CXT74ZlgGe6_JY_1olB1XN4rF0dxEuIIF-xsYjHgg/edit?usp=sharing"",""พรบ!BA30"")"),15)</f>
        <v>15</v>
      </c>
      <c r="J155" s="68">
        <v>0</v>
      </c>
      <c r="K155" s="49">
        <f ca="1">IF(I155&gt;0,J155*100/I155,0)</f>
        <v>0</v>
      </c>
      <c r="L155" s="61"/>
      <c r="M155" s="61"/>
      <c r="N155" s="61"/>
    </row>
    <row r="156" spans="1:14" ht="21.75" customHeight="1" x14ac:dyDescent="0.4">
      <c r="A156" s="55"/>
      <c r="B156" s="56"/>
      <c r="C156" s="56"/>
      <c r="D156" s="73"/>
      <c r="E156" s="74" t="s">
        <v>35</v>
      </c>
      <c r="F156" s="75"/>
      <c r="G156" s="76"/>
      <c r="H156" s="66"/>
      <c r="I156" s="67"/>
      <c r="J156" s="68">
        <v>0</v>
      </c>
      <c r="K156" s="49"/>
      <c r="L156" s="61"/>
      <c r="M156" s="61"/>
      <c r="N156" s="61"/>
    </row>
    <row r="157" spans="1:14" ht="21.75" customHeight="1" x14ac:dyDescent="0.4">
      <c r="A157" s="55"/>
      <c r="B157" s="56"/>
      <c r="C157" s="56"/>
      <c r="D157" s="81">
        <v>3</v>
      </c>
      <c r="E157" s="82" t="s">
        <v>36</v>
      </c>
      <c r="F157" s="83"/>
      <c r="G157" s="84"/>
      <c r="H157" s="66"/>
      <c r="I157" s="67"/>
      <c r="J157" s="85">
        <v>0</v>
      </c>
      <c r="K157" s="49"/>
      <c r="L157" s="61"/>
      <c r="M157" s="61"/>
      <c r="N157" s="61"/>
    </row>
    <row r="158" spans="1:14" ht="21.75" customHeight="1" x14ac:dyDescent="0.4">
      <c r="A158" s="55"/>
      <c r="B158" s="56"/>
      <c r="C158" s="134" t="s">
        <v>81</v>
      </c>
      <c r="D158" s="156"/>
      <c r="E158" s="133"/>
      <c r="F158" s="133"/>
      <c r="G158" s="135"/>
      <c r="H158" s="136" t="s">
        <v>16</v>
      </c>
      <c r="I158" s="137">
        <f>I164</f>
        <v>0</v>
      </c>
      <c r="J158" s="137">
        <f>+J164</f>
        <v>0</v>
      </c>
      <c r="K158" s="138">
        <f>IF(I158&gt;0,J158*100/I158,0)</f>
        <v>0</v>
      </c>
      <c r="L158" s="61"/>
      <c r="M158" s="61"/>
      <c r="N158" s="61"/>
    </row>
    <row r="159" spans="1:14" ht="21.75" customHeight="1" x14ac:dyDescent="0.4">
      <c r="A159" s="55"/>
      <c r="B159" s="56"/>
      <c r="C159" s="43" t="s">
        <v>17</v>
      </c>
      <c r="D159" s="57" t="s">
        <v>25</v>
      </c>
      <c r="E159" s="58"/>
      <c r="F159" s="58"/>
      <c r="G159" s="59"/>
      <c r="H159" s="60"/>
      <c r="I159" s="48"/>
      <c r="J159" s="48"/>
      <c r="K159" s="49"/>
      <c r="L159" s="61"/>
      <c r="M159" s="61"/>
      <c r="N159" s="61"/>
    </row>
    <row r="160" spans="1:14" ht="21.75" customHeight="1" x14ac:dyDescent="0.4">
      <c r="A160" s="55"/>
      <c r="B160" s="56"/>
      <c r="C160" s="56"/>
      <c r="D160" s="62">
        <v>1</v>
      </c>
      <c r="E160" s="63" t="s">
        <v>26</v>
      </c>
      <c r="F160" s="64"/>
      <c r="G160" s="65"/>
      <c r="H160" s="66"/>
      <c r="I160" s="67"/>
      <c r="J160" s="67">
        <v>0</v>
      </c>
      <c r="K160" s="49"/>
      <c r="L160" s="61"/>
      <c r="M160" s="61"/>
      <c r="N160" s="61"/>
    </row>
    <row r="161" spans="1:14" ht="21.75" customHeight="1" x14ac:dyDescent="0.4">
      <c r="A161" s="55"/>
      <c r="B161" s="56"/>
      <c r="C161" s="56"/>
      <c r="D161" s="69">
        <v>2</v>
      </c>
      <c r="E161" s="70" t="s">
        <v>27</v>
      </c>
      <c r="F161" s="71"/>
      <c r="G161" s="72"/>
      <c r="H161" s="66"/>
      <c r="I161" s="67"/>
      <c r="J161" s="67">
        <v>0</v>
      </c>
      <c r="K161" s="49"/>
      <c r="L161" s="61" t="s">
        <v>21</v>
      </c>
      <c r="M161" s="61" t="s">
        <v>21</v>
      </c>
      <c r="N161" s="61"/>
    </row>
    <row r="162" spans="1:14" ht="21.75" customHeight="1" x14ac:dyDescent="0.4">
      <c r="A162" s="55"/>
      <c r="B162" s="56"/>
      <c r="C162" s="56"/>
      <c r="D162" s="73"/>
      <c r="E162" s="74" t="s">
        <v>28</v>
      </c>
      <c r="F162" s="75"/>
      <c r="G162" s="76"/>
      <c r="H162" s="66"/>
      <c r="I162" s="67"/>
      <c r="J162" s="67">
        <v>0</v>
      </c>
      <c r="K162" s="49"/>
      <c r="L162" s="61"/>
      <c r="M162" s="61"/>
      <c r="N162" s="61"/>
    </row>
    <row r="163" spans="1:14" ht="21.75" customHeight="1" x14ac:dyDescent="0.4">
      <c r="A163" s="55"/>
      <c r="B163" s="56"/>
      <c r="C163" s="56"/>
      <c r="D163" s="73"/>
      <c r="E163" s="74" t="s">
        <v>29</v>
      </c>
      <c r="F163" s="75"/>
      <c r="G163" s="76"/>
      <c r="H163" s="66"/>
      <c r="I163" s="67"/>
      <c r="J163" s="67">
        <v>0</v>
      </c>
      <c r="K163" s="49"/>
      <c r="L163" s="61"/>
      <c r="M163" s="61"/>
      <c r="N163" s="61"/>
    </row>
    <row r="164" spans="1:14" ht="21.75" customHeight="1" x14ac:dyDescent="0.4">
      <c r="A164" s="55"/>
      <c r="B164" s="56"/>
      <c r="C164" s="56"/>
      <c r="D164" s="73"/>
      <c r="E164" s="75"/>
      <c r="F164" s="74" t="s">
        <v>82</v>
      </c>
      <c r="G164" s="75"/>
      <c r="H164" s="66" t="s">
        <v>16</v>
      </c>
      <c r="I164" s="67">
        <v>0</v>
      </c>
      <c r="J164" s="67">
        <v>0</v>
      </c>
      <c r="K164" s="49">
        <f>IF(I164&gt;0,J164*100/I164,0)</f>
        <v>0</v>
      </c>
      <c r="L164" s="61"/>
      <c r="M164" s="61"/>
      <c r="N164" s="61"/>
    </row>
    <row r="165" spans="1:14" ht="21.75" customHeight="1" x14ac:dyDescent="0.4">
      <c r="A165" s="55"/>
      <c r="B165" s="56"/>
      <c r="C165" s="56"/>
      <c r="D165" s="73"/>
      <c r="E165" s="74" t="s">
        <v>35</v>
      </c>
      <c r="F165" s="75"/>
      <c r="G165" s="76"/>
      <c r="H165" s="66"/>
      <c r="I165" s="67"/>
      <c r="J165" s="67">
        <v>0</v>
      </c>
      <c r="K165" s="49"/>
      <c r="L165" s="61"/>
      <c r="M165" s="61"/>
      <c r="N165" s="61"/>
    </row>
    <row r="166" spans="1:14" ht="21.75" customHeight="1" x14ac:dyDescent="0.4">
      <c r="A166" s="105"/>
      <c r="B166" s="106"/>
      <c r="C166" s="106"/>
      <c r="D166" s="107">
        <v>3</v>
      </c>
      <c r="E166" s="108" t="s">
        <v>36</v>
      </c>
      <c r="F166" s="109"/>
      <c r="G166" s="110"/>
      <c r="H166" s="111"/>
      <c r="I166" s="112"/>
      <c r="J166" s="356">
        <v>0</v>
      </c>
      <c r="K166" s="114"/>
      <c r="L166" s="115"/>
      <c r="M166" s="115"/>
      <c r="N166" s="115"/>
    </row>
    <row r="167" spans="1:14" ht="21.75" customHeight="1" x14ac:dyDescent="0.4">
      <c r="A167" s="157" t="s">
        <v>83</v>
      </c>
      <c r="B167" s="158"/>
      <c r="C167" s="158"/>
      <c r="D167" s="158"/>
      <c r="E167" s="159"/>
      <c r="F167" s="159"/>
      <c r="G167" s="160"/>
      <c r="H167" s="161"/>
      <c r="I167" s="162"/>
      <c r="J167" s="162"/>
      <c r="K167" s="163"/>
      <c r="L167" s="164"/>
      <c r="M167" s="164"/>
      <c r="N167" s="165"/>
    </row>
    <row r="168" spans="1:14" ht="21.75" customHeight="1" x14ac:dyDescent="0.4">
      <c r="A168" s="166" t="s">
        <v>84</v>
      </c>
      <c r="B168" s="167"/>
      <c r="C168" s="167"/>
      <c r="D168" s="168"/>
      <c r="E168" s="168"/>
      <c r="F168" s="168"/>
      <c r="G168" s="169"/>
      <c r="H168" s="170"/>
      <c r="I168" s="171"/>
      <c r="J168" s="171"/>
      <c r="K168" s="172"/>
      <c r="L168" s="172"/>
      <c r="M168" s="172"/>
      <c r="N168" s="173"/>
    </row>
    <row r="169" spans="1:14" ht="21.75" customHeight="1" x14ac:dyDescent="0.4">
      <c r="A169" s="174"/>
      <c r="B169" s="175" t="s">
        <v>85</v>
      </c>
      <c r="C169" s="175"/>
      <c r="D169" s="175"/>
      <c r="E169" s="175"/>
      <c r="F169" s="175"/>
      <c r="G169" s="176"/>
      <c r="H169" s="177" t="s">
        <v>16</v>
      </c>
      <c r="I169" s="178">
        <f ca="1">I180</f>
        <v>30</v>
      </c>
      <c r="J169" s="178">
        <f>+J180</f>
        <v>0</v>
      </c>
      <c r="K169" s="179">
        <f ca="1">IF(I169&gt;0,J169*100/I169,0)</f>
        <v>0</v>
      </c>
      <c r="L169" s="180">
        <f ca="1">L170+L171</f>
        <v>217000</v>
      </c>
      <c r="M169" s="180">
        <f>SUM(M170:M171)</f>
        <v>26890</v>
      </c>
      <c r="N169" s="179">
        <f ca="1">IF(L169&gt;0,M169*100/L169,0)</f>
        <v>12.391705069124423</v>
      </c>
    </row>
    <row r="170" spans="1:14" ht="21.75" customHeight="1" x14ac:dyDescent="0.4">
      <c r="A170" s="42"/>
      <c r="B170" s="43"/>
      <c r="C170" s="43" t="s">
        <v>17</v>
      </c>
      <c r="D170" s="44" t="s">
        <v>18</v>
      </c>
      <c r="E170" s="45"/>
      <c r="F170" s="45"/>
      <c r="G170" s="46" t="s">
        <v>19</v>
      </c>
      <c r="H170" s="47" t="s">
        <v>20</v>
      </c>
      <c r="I170" s="48" t="s">
        <v>21</v>
      </c>
      <c r="J170" s="48"/>
      <c r="K170" s="49"/>
      <c r="L170" s="50">
        <v>0</v>
      </c>
      <c r="M170" s="50">
        <v>0</v>
      </c>
      <c r="N170" s="50">
        <f t="shared" ref="N170:N173" si="39">+IF(L170&gt;0,M170*100/L170,0)</f>
        <v>0</v>
      </c>
    </row>
    <row r="171" spans="1:14" ht="21.75" customHeight="1" x14ac:dyDescent="0.4">
      <c r="A171" s="42"/>
      <c r="B171" s="43"/>
      <c r="C171" s="43"/>
      <c r="D171" s="51"/>
      <c r="E171" s="45"/>
      <c r="F171" s="45" t="s">
        <v>21</v>
      </c>
      <c r="G171" s="46" t="s">
        <v>22</v>
      </c>
      <c r="H171" s="47" t="s">
        <v>20</v>
      </c>
      <c r="I171" s="48"/>
      <c r="J171" s="48"/>
      <c r="K171" s="49"/>
      <c r="L171" s="50">
        <f t="shared" ref="L171:M171" ca="1" si="40">SUM(L172:L173)</f>
        <v>217000</v>
      </c>
      <c r="M171" s="50">
        <f t="shared" si="40"/>
        <v>26890</v>
      </c>
      <c r="N171" s="50">
        <f t="shared" ca="1" si="39"/>
        <v>12.391705069124423</v>
      </c>
    </row>
    <row r="172" spans="1:14" ht="21.75" customHeight="1" x14ac:dyDescent="0.4">
      <c r="A172" s="42"/>
      <c r="B172" s="43"/>
      <c r="C172" s="43"/>
      <c r="D172" s="51"/>
      <c r="E172" s="45"/>
      <c r="F172" s="45"/>
      <c r="G172" s="52" t="s">
        <v>23</v>
      </c>
      <c r="H172" s="47" t="s">
        <v>20</v>
      </c>
      <c r="I172" s="48"/>
      <c r="J172" s="48"/>
      <c r="K172" s="49"/>
      <c r="L172" s="53">
        <f ca="1">IFERROR(__xludf.DUMMYFUNCTION("IMPORTRANGE(""https://docs.google.com/spreadsheets/d/1C3CXT74ZlgGe6_JY_1olB1XN4rF0dxEuIIF-xsYjHgg/edit?usp=sharing"",""พรบ!BD30"")"),0)</f>
        <v>0</v>
      </c>
      <c r="M172" s="54">
        <v>0</v>
      </c>
      <c r="N172" s="53">
        <f t="shared" ca="1" si="39"/>
        <v>0</v>
      </c>
    </row>
    <row r="173" spans="1:14" ht="21.75" customHeight="1" x14ac:dyDescent="0.4">
      <c r="A173" s="42"/>
      <c r="B173" s="43"/>
      <c r="C173" s="43"/>
      <c r="D173" s="51"/>
      <c r="E173" s="45"/>
      <c r="F173" s="45"/>
      <c r="G173" s="52" t="s">
        <v>24</v>
      </c>
      <c r="H173" s="47" t="s">
        <v>20</v>
      </c>
      <c r="I173" s="48"/>
      <c r="J173" s="48"/>
      <c r="K173" s="49"/>
      <c r="L173" s="53">
        <f ca="1">IFERROR(__xludf.DUMMYFUNCTION("IMPORTRANGE(""https://docs.google.com/spreadsheets/d/1C3CXT74ZlgGe6_JY_1olB1XN4rF0dxEuIIF-xsYjHgg/edit?usp=sharing"",""พรบ!BE30"")"),217000)</f>
        <v>217000</v>
      </c>
      <c r="M173" s="54">
        <v>26890</v>
      </c>
      <c r="N173" s="53">
        <f t="shared" ca="1" si="39"/>
        <v>12.391705069124423</v>
      </c>
    </row>
    <row r="174" spans="1:14" ht="21.75" customHeight="1" x14ac:dyDescent="0.4">
      <c r="A174" s="55"/>
      <c r="B174" s="56"/>
      <c r="C174" s="43" t="s">
        <v>17</v>
      </c>
      <c r="D174" s="57" t="s">
        <v>25</v>
      </c>
      <c r="E174" s="58"/>
      <c r="F174" s="58"/>
      <c r="G174" s="59"/>
      <c r="H174" s="60"/>
      <c r="I174" s="48"/>
      <c r="J174" s="48"/>
      <c r="K174" s="49"/>
      <c r="L174" s="61"/>
      <c r="M174" s="61"/>
      <c r="N174" s="61"/>
    </row>
    <row r="175" spans="1:14" ht="21.75" customHeight="1" x14ac:dyDescent="0.4">
      <c r="A175" s="55"/>
      <c r="B175" s="56"/>
      <c r="C175" s="56"/>
      <c r="D175" s="62">
        <v>1</v>
      </c>
      <c r="E175" s="63" t="s">
        <v>26</v>
      </c>
      <c r="F175" s="64"/>
      <c r="G175" s="65"/>
      <c r="H175" s="66"/>
      <c r="I175" s="67"/>
      <c r="J175" s="68">
        <v>0</v>
      </c>
      <c r="K175" s="49"/>
      <c r="L175" s="61"/>
      <c r="M175" s="61"/>
      <c r="N175" s="61"/>
    </row>
    <row r="176" spans="1:14" ht="21.75" customHeight="1" x14ac:dyDescent="0.4">
      <c r="A176" s="55"/>
      <c r="B176" s="56"/>
      <c r="C176" s="56"/>
      <c r="D176" s="69">
        <v>2</v>
      </c>
      <c r="E176" s="70" t="s">
        <v>27</v>
      </c>
      <c r="F176" s="71"/>
      <c r="G176" s="72"/>
      <c r="H176" s="66"/>
      <c r="I176" s="67"/>
      <c r="J176" s="68">
        <v>1</v>
      </c>
      <c r="K176" s="49"/>
      <c r="L176" s="61" t="s">
        <v>21</v>
      </c>
      <c r="M176" s="61" t="s">
        <v>21</v>
      </c>
      <c r="N176" s="61"/>
    </row>
    <row r="177" spans="1:14" ht="21.75" customHeight="1" x14ac:dyDescent="0.4">
      <c r="A177" s="55"/>
      <c r="B177" s="56"/>
      <c r="C177" s="56"/>
      <c r="D177" s="73"/>
      <c r="E177" s="74" t="s">
        <v>28</v>
      </c>
      <c r="F177" s="75"/>
      <c r="G177" s="76"/>
      <c r="H177" s="66"/>
      <c r="I177" s="67"/>
      <c r="J177" s="68">
        <v>1</v>
      </c>
      <c r="K177" s="49"/>
      <c r="L177" s="61"/>
      <c r="M177" s="61"/>
      <c r="N177" s="61"/>
    </row>
    <row r="178" spans="1:14" ht="21.75" customHeight="1" x14ac:dyDescent="0.4">
      <c r="A178" s="55"/>
      <c r="B178" s="56"/>
      <c r="C178" s="56"/>
      <c r="D178" s="73"/>
      <c r="E178" s="74" t="s">
        <v>29</v>
      </c>
      <c r="F178" s="75"/>
      <c r="G178" s="76"/>
      <c r="H178" s="66"/>
      <c r="I178" s="67"/>
      <c r="J178" s="68">
        <v>1</v>
      </c>
      <c r="K178" s="49"/>
      <c r="L178" s="61"/>
      <c r="M178" s="61"/>
      <c r="N178" s="61"/>
    </row>
    <row r="179" spans="1:14" ht="21.75" customHeight="1" x14ac:dyDescent="0.4">
      <c r="A179" s="55"/>
      <c r="B179" s="56"/>
      <c r="C179" s="56"/>
      <c r="D179" s="73"/>
      <c r="E179" s="77"/>
      <c r="F179" s="74" t="s">
        <v>86</v>
      </c>
      <c r="G179" s="76"/>
      <c r="H179" s="60" t="s">
        <v>40</v>
      </c>
      <c r="I179" s="67">
        <f ca="1">IFERROR(__xludf.DUMMYFUNCTION("IMPORTRANGE(""https://docs.google.com/spreadsheets/d/1C3CXT74ZlgGe6_JY_1olB1XN4rF0dxEuIIF-xsYjHgg/edit?usp=sharing"",""พรบ!BF30"")"),1)</f>
        <v>1</v>
      </c>
      <c r="J179" s="68">
        <v>0</v>
      </c>
      <c r="K179" s="49">
        <f t="shared" ref="K179:K182" ca="1" si="41">IF(I179&gt;0,J179*100/I179,0)</f>
        <v>0</v>
      </c>
      <c r="L179" s="61"/>
      <c r="M179" s="61"/>
      <c r="N179" s="61"/>
    </row>
    <row r="180" spans="1:14" ht="21.75" customHeight="1" x14ac:dyDescent="0.4">
      <c r="A180" s="55"/>
      <c r="B180" s="56"/>
      <c r="C180" s="56"/>
      <c r="D180" s="73"/>
      <c r="E180" s="77"/>
      <c r="F180" s="74" t="s">
        <v>87</v>
      </c>
      <c r="G180" s="76"/>
      <c r="H180" s="60" t="s">
        <v>16</v>
      </c>
      <c r="I180" s="67">
        <f ca="1">IFERROR(__xludf.DUMMYFUNCTION("IMPORTRANGE(""https://docs.google.com/spreadsheets/d/1C3CXT74ZlgGe6_JY_1olB1XN4rF0dxEuIIF-xsYjHgg/edit?usp=sharing"",""พรบ!BG30"")"),30)</f>
        <v>30</v>
      </c>
      <c r="J180" s="68">
        <v>0</v>
      </c>
      <c r="K180" s="49">
        <f t="shared" ca="1" si="41"/>
        <v>0</v>
      </c>
      <c r="L180" s="61"/>
      <c r="M180" s="61"/>
      <c r="N180" s="61"/>
    </row>
    <row r="181" spans="1:14" ht="21.75" customHeight="1" x14ac:dyDescent="0.4">
      <c r="A181" s="55"/>
      <c r="B181" s="56"/>
      <c r="C181" s="56"/>
      <c r="D181" s="73"/>
      <c r="E181" s="77"/>
      <c r="F181" s="74" t="s">
        <v>88</v>
      </c>
      <c r="G181" s="76"/>
      <c r="H181" s="60" t="s">
        <v>16</v>
      </c>
      <c r="I181" s="67">
        <f ca="1">IFERROR(__xludf.DUMMYFUNCTION("IMPORTRANGE(""https://docs.google.com/spreadsheets/d/1C3CXT74ZlgGe6_JY_1olB1XN4rF0dxEuIIF-xsYjHgg/edit?usp=sharing"",""พรบ!BH30"")"),30)</f>
        <v>30</v>
      </c>
      <c r="J181" s="68">
        <v>0</v>
      </c>
      <c r="K181" s="49">
        <f t="shared" ca="1" si="41"/>
        <v>0</v>
      </c>
      <c r="L181" s="61"/>
      <c r="M181" s="61"/>
      <c r="N181" s="61"/>
    </row>
    <row r="182" spans="1:14" ht="21.75" customHeight="1" x14ac:dyDescent="0.4">
      <c r="A182" s="55"/>
      <c r="B182" s="56"/>
      <c r="C182" s="56"/>
      <c r="D182" s="73"/>
      <c r="E182" s="77"/>
      <c r="F182" s="74" t="s">
        <v>89</v>
      </c>
      <c r="G182" s="76"/>
      <c r="H182" s="60" t="s">
        <v>16</v>
      </c>
      <c r="I182" s="67">
        <f ca="1">IFERROR(__xludf.DUMMYFUNCTION("IMPORTRANGE(""https://docs.google.com/spreadsheets/d/1C3CXT74ZlgGe6_JY_1olB1XN4rF0dxEuIIF-xsYjHgg/edit?usp=sharing"",""พรบ!BI30"")"),1)</f>
        <v>1</v>
      </c>
      <c r="J182" s="68">
        <v>0</v>
      </c>
      <c r="K182" s="49">
        <f t="shared" ca="1" si="41"/>
        <v>0</v>
      </c>
      <c r="L182" s="61"/>
      <c r="M182" s="61"/>
      <c r="N182" s="61"/>
    </row>
    <row r="183" spans="1:14" ht="21.75" customHeight="1" x14ac:dyDescent="0.4">
      <c r="A183" s="55"/>
      <c r="B183" s="56"/>
      <c r="C183" s="56"/>
      <c r="D183" s="73"/>
      <c r="E183" s="74" t="s">
        <v>35</v>
      </c>
      <c r="F183" s="75"/>
      <c r="G183" s="76"/>
      <c r="H183" s="66"/>
      <c r="I183" s="67"/>
      <c r="J183" s="68">
        <v>0</v>
      </c>
      <c r="K183" s="49"/>
      <c r="L183" s="61"/>
      <c r="M183" s="61"/>
      <c r="N183" s="61"/>
    </row>
    <row r="184" spans="1:14" ht="21.75" customHeight="1" x14ac:dyDescent="0.4">
      <c r="A184" s="105"/>
      <c r="B184" s="106"/>
      <c r="C184" s="106"/>
      <c r="D184" s="107">
        <v>3</v>
      </c>
      <c r="E184" s="108" t="s">
        <v>36</v>
      </c>
      <c r="F184" s="109"/>
      <c r="G184" s="110"/>
      <c r="H184" s="111"/>
      <c r="I184" s="112"/>
      <c r="J184" s="113">
        <v>0</v>
      </c>
      <c r="K184" s="114"/>
      <c r="L184" s="115"/>
      <c r="M184" s="115"/>
      <c r="N184" s="115"/>
    </row>
    <row r="185" spans="1:14" ht="21.75" customHeight="1" x14ac:dyDescent="0.4">
      <c r="A185" s="174"/>
      <c r="B185" s="175" t="s">
        <v>90</v>
      </c>
      <c r="C185" s="175"/>
      <c r="D185" s="175"/>
      <c r="E185" s="175"/>
      <c r="F185" s="175"/>
      <c r="G185" s="176"/>
      <c r="H185" s="177" t="s">
        <v>16</v>
      </c>
      <c r="I185" s="178">
        <f ca="1">I195</f>
        <v>20</v>
      </c>
      <c r="J185" s="178">
        <f>+J195</f>
        <v>20</v>
      </c>
      <c r="K185" s="179">
        <f ca="1">IF(I185&gt;0,J185*100/I185,0)</f>
        <v>100</v>
      </c>
      <c r="L185" s="180">
        <f ca="1">L186+L187</f>
        <v>205700</v>
      </c>
      <c r="M185" s="180">
        <f>SUM(M186:M187)</f>
        <v>43160</v>
      </c>
      <c r="N185" s="179">
        <f ca="1">IF(L185&gt;0,M185*100/L185,0)</f>
        <v>20.982012639766651</v>
      </c>
    </row>
    <row r="186" spans="1:14" ht="21.75" customHeight="1" x14ac:dyDescent="0.4">
      <c r="A186" s="42"/>
      <c r="B186" s="43"/>
      <c r="C186" s="43" t="s">
        <v>17</v>
      </c>
      <c r="D186" s="44" t="s">
        <v>18</v>
      </c>
      <c r="E186" s="45"/>
      <c r="F186" s="45"/>
      <c r="G186" s="46" t="s">
        <v>19</v>
      </c>
      <c r="H186" s="47" t="s">
        <v>20</v>
      </c>
      <c r="I186" s="48" t="s">
        <v>21</v>
      </c>
      <c r="J186" s="48"/>
      <c r="K186" s="49"/>
      <c r="L186" s="50">
        <v>0</v>
      </c>
      <c r="M186" s="50">
        <v>0</v>
      </c>
      <c r="N186" s="50">
        <f t="shared" ref="N186:N189" si="42">+IF(L186&gt;0,M186*100/L186,0)</f>
        <v>0</v>
      </c>
    </row>
    <row r="187" spans="1:14" ht="21.75" customHeight="1" x14ac:dyDescent="0.4">
      <c r="A187" s="42"/>
      <c r="B187" s="43"/>
      <c r="C187" s="43"/>
      <c r="D187" s="51"/>
      <c r="E187" s="45"/>
      <c r="F187" s="45" t="s">
        <v>21</v>
      </c>
      <c r="G187" s="46" t="s">
        <v>22</v>
      </c>
      <c r="H187" s="47" t="s">
        <v>20</v>
      </c>
      <c r="I187" s="48"/>
      <c r="J187" s="48"/>
      <c r="K187" s="49"/>
      <c r="L187" s="50">
        <f t="shared" ref="L187:M187" ca="1" si="43">SUM(L188:L189)</f>
        <v>205700</v>
      </c>
      <c r="M187" s="50">
        <f t="shared" si="43"/>
        <v>43160</v>
      </c>
      <c r="N187" s="50">
        <f t="shared" ca="1" si="42"/>
        <v>20.982012639766651</v>
      </c>
    </row>
    <row r="188" spans="1:14" ht="21.75" customHeight="1" x14ac:dyDescent="0.4">
      <c r="A188" s="42"/>
      <c r="B188" s="43"/>
      <c r="C188" s="43"/>
      <c r="D188" s="51"/>
      <c r="E188" s="45"/>
      <c r="F188" s="45"/>
      <c r="G188" s="52" t="s">
        <v>23</v>
      </c>
      <c r="H188" s="47" t="s">
        <v>20</v>
      </c>
      <c r="I188" s="48"/>
      <c r="J188" s="48"/>
      <c r="K188" s="49"/>
      <c r="L188" s="53">
        <f ca="1">IFERROR(__xludf.DUMMYFUNCTION("IMPORTRANGE(""https://docs.google.com/spreadsheets/d/1C3CXT74ZlgGe6_JY_1olB1XN4rF0dxEuIIF-xsYjHgg/edit?usp=sharing"",""พรบ!BK30"")"),132000)</f>
        <v>132000</v>
      </c>
      <c r="M188" s="54">
        <v>33000</v>
      </c>
      <c r="N188" s="53">
        <f t="shared" ca="1" si="42"/>
        <v>25</v>
      </c>
    </row>
    <row r="189" spans="1:14" ht="21.75" customHeight="1" x14ac:dyDescent="0.4">
      <c r="A189" s="42"/>
      <c r="B189" s="43"/>
      <c r="C189" s="43"/>
      <c r="D189" s="51"/>
      <c r="E189" s="45"/>
      <c r="F189" s="45"/>
      <c r="G189" s="52" t="s">
        <v>24</v>
      </c>
      <c r="H189" s="47" t="s">
        <v>20</v>
      </c>
      <c r="I189" s="48"/>
      <c r="J189" s="48"/>
      <c r="K189" s="49"/>
      <c r="L189" s="53">
        <f ca="1">IFERROR(__xludf.DUMMYFUNCTION("IMPORTRANGE(""https://docs.google.com/spreadsheets/d/1C3CXT74ZlgGe6_JY_1olB1XN4rF0dxEuIIF-xsYjHgg/edit?usp=sharing"",""พรบ!BL30"")"),73700)</f>
        <v>73700</v>
      </c>
      <c r="M189" s="54">
        <v>10160</v>
      </c>
      <c r="N189" s="53">
        <f t="shared" ca="1" si="42"/>
        <v>13.785617367706919</v>
      </c>
    </row>
    <row r="190" spans="1:14" ht="21.75" customHeight="1" x14ac:dyDescent="0.4">
      <c r="A190" s="55"/>
      <c r="B190" s="56"/>
      <c r="C190" s="43" t="s">
        <v>17</v>
      </c>
      <c r="D190" s="57" t="s">
        <v>25</v>
      </c>
      <c r="E190" s="58"/>
      <c r="F190" s="58"/>
      <c r="G190" s="59"/>
      <c r="H190" s="60"/>
      <c r="I190" s="48"/>
      <c r="J190" s="48"/>
      <c r="K190" s="49"/>
      <c r="L190" s="61"/>
      <c r="M190" s="61"/>
      <c r="N190" s="61"/>
    </row>
    <row r="191" spans="1:14" ht="21.75" customHeight="1" x14ac:dyDescent="0.4">
      <c r="A191" s="55"/>
      <c r="B191" s="56"/>
      <c r="C191" s="56"/>
      <c r="D191" s="62">
        <v>1</v>
      </c>
      <c r="E191" s="63" t="s">
        <v>26</v>
      </c>
      <c r="F191" s="64"/>
      <c r="G191" s="65"/>
      <c r="H191" s="66"/>
      <c r="I191" s="67"/>
      <c r="J191" s="68">
        <v>0</v>
      </c>
      <c r="K191" s="49"/>
      <c r="L191" s="61"/>
      <c r="M191" s="61"/>
      <c r="N191" s="61"/>
    </row>
    <row r="192" spans="1:14" ht="21.75" customHeight="1" x14ac:dyDescent="0.4">
      <c r="A192" s="55"/>
      <c r="B192" s="56"/>
      <c r="C192" s="56"/>
      <c r="D192" s="69">
        <v>2</v>
      </c>
      <c r="E192" s="70" t="s">
        <v>27</v>
      </c>
      <c r="F192" s="71"/>
      <c r="G192" s="72"/>
      <c r="H192" s="66"/>
      <c r="I192" s="67"/>
      <c r="J192" s="68">
        <v>1</v>
      </c>
      <c r="K192" s="49"/>
      <c r="L192" s="61"/>
      <c r="M192" s="61"/>
      <c r="N192" s="61"/>
    </row>
    <row r="193" spans="1:14" ht="21.75" customHeight="1" x14ac:dyDescent="0.4">
      <c r="A193" s="55"/>
      <c r="B193" s="56"/>
      <c r="C193" s="56"/>
      <c r="D193" s="73"/>
      <c r="E193" s="74" t="s">
        <v>28</v>
      </c>
      <c r="F193" s="75"/>
      <c r="G193" s="76"/>
      <c r="H193" s="66"/>
      <c r="I193" s="67"/>
      <c r="J193" s="68">
        <v>1</v>
      </c>
      <c r="K193" s="49"/>
      <c r="L193" s="61"/>
      <c r="M193" s="61"/>
      <c r="N193" s="61"/>
    </row>
    <row r="194" spans="1:14" ht="21.75" customHeight="1" x14ac:dyDescent="0.4">
      <c r="A194" s="55"/>
      <c r="B194" s="56"/>
      <c r="C194" s="56"/>
      <c r="D194" s="73"/>
      <c r="E194" s="74" t="s">
        <v>29</v>
      </c>
      <c r="F194" s="75"/>
      <c r="G194" s="76"/>
      <c r="H194" s="66"/>
      <c r="I194" s="67"/>
      <c r="J194" s="68">
        <v>1</v>
      </c>
      <c r="K194" s="49"/>
      <c r="L194" s="61"/>
      <c r="M194" s="61"/>
      <c r="N194" s="61"/>
    </row>
    <row r="195" spans="1:14" ht="21.75" customHeight="1" x14ac:dyDescent="0.4">
      <c r="A195" s="55"/>
      <c r="B195" s="56"/>
      <c r="C195" s="56"/>
      <c r="D195" s="73"/>
      <c r="E195" s="75"/>
      <c r="F195" s="74" t="s">
        <v>91</v>
      </c>
      <c r="G195" s="76"/>
      <c r="H195" s="66" t="s">
        <v>16</v>
      </c>
      <c r="I195" s="67">
        <f ca="1">IFERROR(__xludf.DUMMYFUNCTION("IMPORTRANGE(""https://docs.google.com/spreadsheets/d/1C3CXT74ZlgGe6_JY_1olB1XN4rF0dxEuIIF-xsYjHgg/edit?usp=sharing"",""พรบ!BM30"")"),20)</f>
        <v>20</v>
      </c>
      <c r="J195" s="68">
        <v>20</v>
      </c>
      <c r="K195" s="49">
        <f ca="1">IF(I195&gt;0,J195*100/I195,0)</f>
        <v>100</v>
      </c>
      <c r="L195" s="61"/>
      <c r="M195" s="61"/>
      <c r="N195" s="61"/>
    </row>
    <row r="196" spans="1:14" ht="21.75" customHeight="1" x14ac:dyDescent="0.4">
      <c r="A196" s="55"/>
      <c r="B196" s="56"/>
      <c r="C196" s="56"/>
      <c r="D196" s="73"/>
      <c r="E196" s="74" t="s">
        <v>35</v>
      </c>
      <c r="F196" s="75"/>
      <c r="G196" s="76"/>
      <c r="H196" s="66"/>
      <c r="I196" s="67"/>
      <c r="J196" s="68">
        <v>0</v>
      </c>
      <c r="K196" s="49"/>
      <c r="L196" s="61"/>
      <c r="M196" s="61"/>
      <c r="N196" s="61"/>
    </row>
    <row r="197" spans="1:14" ht="21.75" customHeight="1" x14ac:dyDescent="0.4">
      <c r="A197" s="55"/>
      <c r="B197" s="56"/>
      <c r="C197" s="56"/>
      <c r="D197" s="81">
        <v>3</v>
      </c>
      <c r="E197" s="82" t="s">
        <v>36</v>
      </c>
      <c r="F197" s="83"/>
      <c r="G197" s="84"/>
      <c r="H197" s="66"/>
      <c r="I197" s="67"/>
      <c r="J197" s="85">
        <v>0</v>
      </c>
      <c r="K197" s="49"/>
      <c r="L197" s="61"/>
      <c r="M197" s="61"/>
      <c r="N197" s="61"/>
    </row>
    <row r="198" spans="1:14" ht="21.75" customHeight="1" x14ac:dyDescent="0.4">
      <c r="A198" s="166" t="s">
        <v>92</v>
      </c>
      <c r="B198" s="167"/>
      <c r="C198" s="167"/>
      <c r="D198" s="168"/>
      <c r="E198" s="167"/>
      <c r="F198" s="167"/>
      <c r="G198" s="181"/>
      <c r="H198" s="182"/>
      <c r="I198" s="183"/>
      <c r="J198" s="183"/>
      <c r="K198" s="184"/>
      <c r="L198" s="184"/>
      <c r="M198" s="184"/>
      <c r="N198" s="173"/>
    </row>
    <row r="199" spans="1:14" ht="21.75" customHeight="1" x14ac:dyDescent="0.4">
      <c r="A199" s="185"/>
      <c r="B199" s="175" t="s">
        <v>93</v>
      </c>
      <c r="C199" s="186"/>
      <c r="D199" s="187"/>
      <c r="E199" s="175"/>
      <c r="F199" s="175"/>
      <c r="G199" s="176"/>
      <c r="H199" s="177" t="s">
        <v>16</v>
      </c>
      <c r="I199" s="178">
        <f t="shared" ref="I199:J199" ca="1" si="44">I209</f>
        <v>0</v>
      </c>
      <c r="J199" s="178">
        <f t="shared" si="44"/>
        <v>0</v>
      </c>
      <c r="K199" s="179">
        <f ca="1">IF(I199&gt;0,J199*100/I199,0)</f>
        <v>0</v>
      </c>
      <c r="L199" s="180">
        <f ca="1">L200+L201</f>
        <v>0</v>
      </c>
      <c r="M199" s="180">
        <f>SUM(M200:M201)</f>
        <v>0</v>
      </c>
      <c r="N199" s="179">
        <f ca="1">IF(L199&gt;0,M199*100/L199,0)</f>
        <v>0</v>
      </c>
    </row>
    <row r="200" spans="1:14" ht="21.75" customHeight="1" x14ac:dyDescent="0.4">
      <c r="A200" s="42"/>
      <c r="B200" s="43"/>
      <c r="C200" s="43" t="s">
        <v>17</v>
      </c>
      <c r="D200" s="44" t="s">
        <v>18</v>
      </c>
      <c r="E200" s="45"/>
      <c r="F200" s="45"/>
      <c r="G200" s="46" t="s">
        <v>19</v>
      </c>
      <c r="H200" s="47" t="s">
        <v>20</v>
      </c>
      <c r="I200" s="48" t="s">
        <v>21</v>
      </c>
      <c r="J200" s="48"/>
      <c r="K200" s="49"/>
      <c r="L200" s="50">
        <v>0</v>
      </c>
      <c r="M200" s="50">
        <v>0</v>
      </c>
      <c r="N200" s="50">
        <f t="shared" ref="N200:N203" si="45">+IF(L200&gt;0,M200*100/L200,0)</f>
        <v>0</v>
      </c>
    </row>
    <row r="201" spans="1:14" ht="21.75" customHeight="1" x14ac:dyDescent="0.4">
      <c r="A201" s="42"/>
      <c r="B201" s="43"/>
      <c r="C201" s="43"/>
      <c r="D201" s="51"/>
      <c r="E201" s="45"/>
      <c r="F201" s="45" t="s">
        <v>21</v>
      </c>
      <c r="G201" s="46" t="s">
        <v>22</v>
      </c>
      <c r="H201" s="47" t="s">
        <v>20</v>
      </c>
      <c r="I201" s="48"/>
      <c r="J201" s="48"/>
      <c r="K201" s="49"/>
      <c r="L201" s="50">
        <f t="shared" ref="L201:M201" ca="1" si="46">SUM(L202:L203)</f>
        <v>0</v>
      </c>
      <c r="M201" s="50">
        <f t="shared" si="46"/>
        <v>0</v>
      </c>
      <c r="N201" s="50">
        <f t="shared" ca="1" si="45"/>
        <v>0</v>
      </c>
    </row>
    <row r="202" spans="1:14" ht="21.75" customHeight="1" x14ac:dyDescent="0.4">
      <c r="A202" s="42"/>
      <c r="B202" s="43"/>
      <c r="C202" s="43"/>
      <c r="D202" s="51"/>
      <c r="E202" s="45"/>
      <c r="F202" s="45"/>
      <c r="G202" s="52" t="s">
        <v>23</v>
      </c>
      <c r="H202" s="47" t="s">
        <v>20</v>
      </c>
      <c r="I202" s="48"/>
      <c r="J202" s="48"/>
      <c r="K202" s="49"/>
      <c r="L202" s="53">
        <v>0</v>
      </c>
      <c r="M202" s="53">
        <v>0</v>
      </c>
      <c r="N202" s="53">
        <f t="shared" si="45"/>
        <v>0</v>
      </c>
    </row>
    <row r="203" spans="1:14" ht="21.75" customHeight="1" x14ac:dyDescent="0.4">
      <c r="A203" s="42"/>
      <c r="B203" s="43"/>
      <c r="C203" s="43"/>
      <c r="D203" s="51"/>
      <c r="E203" s="45"/>
      <c r="F203" s="45"/>
      <c r="G203" s="52" t="s">
        <v>24</v>
      </c>
      <c r="H203" s="47" t="s">
        <v>20</v>
      </c>
      <c r="I203" s="48"/>
      <c r="J203" s="67"/>
      <c r="K203" s="233"/>
      <c r="L203" s="53">
        <f ca="1">IFERROR(__xludf.DUMMYFUNCTION("IMPORTRANGE(""https://docs.google.com/spreadsheets/d/1C3CXT74ZlgGe6_JY_1olB1XN4rF0dxEuIIF-xsYjHgg/edit?usp=sharing"",""พรบ!BP30"")"),0)</f>
        <v>0</v>
      </c>
      <c r="M203" s="53">
        <v>0</v>
      </c>
      <c r="N203" s="53">
        <f t="shared" ca="1" si="45"/>
        <v>0</v>
      </c>
    </row>
    <row r="204" spans="1:14" ht="21.75" customHeight="1" x14ac:dyDescent="0.4">
      <c r="A204" s="55"/>
      <c r="B204" s="56"/>
      <c r="C204" s="43" t="s">
        <v>17</v>
      </c>
      <c r="D204" s="57" t="s">
        <v>25</v>
      </c>
      <c r="E204" s="58"/>
      <c r="F204" s="58"/>
      <c r="G204" s="59"/>
      <c r="H204" s="60"/>
      <c r="I204" s="48"/>
      <c r="J204" s="67"/>
      <c r="K204" s="233"/>
      <c r="L204" s="53"/>
      <c r="M204" s="53"/>
      <c r="N204" s="61"/>
    </row>
    <row r="205" spans="1:14" ht="21.75" customHeight="1" x14ac:dyDescent="0.4">
      <c r="A205" s="55"/>
      <c r="B205" s="56"/>
      <c r="C205" s="56"/>
      <c r="D205" s="62">
        <v>1</v>
      </c>
      <c r="E205" s="63" t="s">
        <v>26</v>
      </c>
      <c r="F205" s="64"/>
      <c r="G205" s="65"/>
      <c r="H205" s="66"/>
      <c r="I205" s="67"/>
      <c r="J205" s="67">
        <v>0</v>
      </c>
      <c r="K205" s="233"/>
      <c r="L205" s="53"/>
      <c r="M205" s="53"/>
      <c r="N205" s="61"/>
    </row>
    <row r="206" spans="1:14" ht="21.75" customHeight="1" x14ac:dyDescent="0.4">
      <c r="A206" s="55"/>
      <c r="B206" s="56"/>
      <c r="C206" s="56"/>
      <c r="D206" s="69">
        <v>2</v>
      </c>
      <c r="E206" s="70" t="s">
        <v>27</v>
      </c>
      <c r="F206" s="71"/>
      <c r="G206" s="72"/>
      <c r="H206" s="66"/>
      <c r="I206" s="67"/>
      <c r="J206" s="67">
        <v>0</v>
      </c>
      <c r="K206" s="233"/>
      <c r="L206" s="53" t="s">
        <v>21</v>
      </c>
      <c r="M206" s="53" t="s">
        <v>21</v>
      </c>
      <c r="N206" s="61"/>
    </row>
    <row r="207" spans="1:14" ht="21.75" customHeight="1" x14ac:dyDescent="0.4">
      <c r="A207" s="55"/>
      <c r="B207" s="56"/>
      <c r="C207" s="56"/>
      <c r="D207" s="73"/>
      <c r="E207" s="74" t="s">
        <v>28</v>
      </c>
      <c r="F207" s="75"/>
      <c r="G207" s="76"/>
      <c r="H207" s="66"/>
      <c r="I207" s="67"/>
      <c r="J207" s="67">
        <v>0</v>
      </c>
      <c r="K207" s="233"/>
      <c r="L207" s="53"/>
      <c r="M207" s="53"/>
      <c r="N207" s="61"/>
    </row>
    <row r="208" spans="1:14" ht="21.75" customHeight="1" x14ac:dyDescent="0.4">
      <c r="A208" s="55"/>
      <c r="B208" s="56"/>
      <c r="C208" s="56"/>
      <c r="D208" s="73"/>
      <c r="E208" s="74" t="s">
        <v>29</v>
      </c>
      <c r="F208" s="75"/>
      <c r="G208" s="76"/>
      <c r="H208" s="66"/>
      <c r="I208" s="67"/>
      <c r="J208" s="67">
        <v>0</v>
      </c>
      <c r="K208" s="233"/>
      <c r="L208" s="53"/>
      <c r="M208" s="53"/>
      <c r="N208" s="61"/>
    </row>
    <row r="209" spans="1:14" ht="21.75" customHeight="1" x14ac:dyDescent="0.4">
      <c r="A209" s="55"/>
      <c r="B209" s="56"/>
      <c r="C209" s="56"/>
      <c r="D209" s="73"/>
      <c r="E209" s="77"/>
      <c r="F209" s="74" t="s">
        <v>94</v>
      </c>
      <c r="G209" s="76"/>
      <c r="H209" s="60" t="s">
        <v>16</v>
      </c>
      <c r="I209" s="67">
        <f ca="1">IFERROR(__xludf.DUMMYFUNCTION("IMPORTRANGE(""https://docs.google.com/spreadsheets/d/1C3CXT74ZlgGe6_JY_1olB1XN4rF0dxEuIIF-xsYjHgg/edit?usp=sharing"",""พรบ!BQ30"")"),0)</f>
        <v>0</v>
      </c>
      <c r="J209" s="67">
        <v>0</v>
      </c>
      <c r="K209" s="233">
        <f ca="1">IF(I209&gt;0,J209*100/I209,0)</f>
        <v>0</v>
      </c>
      <c r="L209" s="53"/>
      <c r="M209" s="53"/>
      <c r="N209" s="61"/>
    </row>
    <row r="210" spans="1:14" ht="21.75" customHeight="1" x14ac:dyDescent="0.4">
      <c r="A210" s="55"/>
      <c r="B210" s="56"/>
      <c r="C210" s="56"/>
      <c r="D210" s="73"/>
      <c r="E210" s="77"/>
      <c r="F210" s="74" t="s">
        <v>95</v>
      </c>
      <c r="G210" s="76"/>
      <c r="H210" s="60"/>
      <c r="I210" s="67"/>
      <c r="J210" s="67"/>
      <c r="K210" s="233"/>
      <c r="L210" s="53"/>
      <c r="M210" s="53"/>
      <c r="N210" s="61"/>
    </row>
    <row r="211" spans="1:14" ht="21.75" customHeight="1" x14ac:dyDescent="0.4">
      <c r="A211" s="55"/>
      <c r="B211" s="56"/>
      <c r="C211" s="56"/>
      <c r="D211" s="73"/>
      <c r="E211" s="77"/>
      <c r="F211" s="75" t="s">
        <v>34</v>
      </c>
      <c r="G211" s="76"/>
      <c r="H211" s="60" t="s">
        <v>16</v>
      </c>
      <c r="I211" s="67">
        <f ca="1">IFERROR(__xludf.DUMMYFUNCTION("IMPORTRANGE(""https://docs.google.com/spreadsheets/d/1C3CXT74ZlgGe6_JY_1olB1XN4rF0dxEuIIF-xsYjHgg/edit?usp=sharing"",""พรบ!BR30"")"),0)</f>
        <v>0</v>
      </c>
      <c r="J211" s="67">
        <v>0</v>
      </c>
      <c r="K211" s="233">
        <f ca="1">IF(I211&gt;0,J211*100/I211,0)</f>
        <v>0</v>
      </c>
      <c r="L211" s="53"/>
      <c r="M211" s="53"/>
      <c r="N211" s="61"/>
    </row>
    <row r="212" spans="1:14" ht="21.75" customHeight="1" x14ac:dyDescent="0.4">
      <c r="A212" s="55"/>
      <c r="B212" s="56"/>
      <c r="C212" s="56"/>
      <c r="D212" s="73"/>
      <c r="E212" s="74" t="s">
        <v>35</v>
      </c>
      <c r="F212" s="75"/>
      <c r="G212" s="76"/>
      <c r="H212" s="66"/>
      <c r="I212" s="67"/>
      <c r="J212" s="67">
        <v>0</v>
      </c>
      <c r="K212" s="233"/>
      <c r="L212" s="53"/>
      <c r="M212" s="53"/>
      <c r="N212" s="61"/>
    </row>
    <row r="213" spans="1:14" ht="21.75" customHeight="1" x14ac:dyDescent="0.4">
      <c r="A213" s="55"/>
      <c r="B213" s="56"/>
      <c r="C213" s="56"/>
      <c r="D213" s="81">
        <v>3</v>
      </c>
      <c r="E213" s="82" t="s">
        <v>36</v>
      </c>
      <c r="F213" s="83"/>
      <c r="G213" s="84"/>
      <c r="H213" s="66"/>
      <c r="I213" s="67"/>
      <c r="J213" s="385">
        <v>0</v>
      </c>
      <c r="K213" s="233"/>
      <c r="L213" s="53"/>
      <c r="M213" s="53"/>
      <c r="N213" s="61"/>
    </row>
    <row r="214" spans="1:14" ht="21.75" customHeight="1" x14ac:dyDescent="0.4">
      <c r="A214" s="189"/>
      <c r="B214" s="190" t="s">
        <v>96</v>
      </c>
      <c r="C214" s="191"/>
      <c r="D214" s="192"/>
      <c r="E214" s="190"/>
      <c r="F214" s="190"/>
      <c r="G214" s="193"/>
      <c r="H214" s="194" t="s">
        <v>97</v>
      </c>
      <c r="I214" s="195">
        <f t="shared" ref="I214:J214" ca="1" si="47">I224</f>
        <v>0</v>
      </c>
      <c r="J214" s="195">
        <f t="shared" si="47"/>
        <v>0</v>
      </c>
      <c r="K214" s="196">
        <f ca="1">IF(I214&gt;0,J214*100/I214,0)</f>
        <v>0</v>
      </c>
      <c r="L214" s="197">
        <f ca="1">L215+L216</f>
        <v>0</v>
      </c>
      <c r="M214" s="197">
        <f>SUM(M215:M216)</f>
        <v>0</v>
      </c>
      <c r="N214" s="196">
        <f ca="1">IF(L214&gt;0,M214*100/L214,0)</f>
        <v>0</v>
      </c>
    </row>
    <row r="215" spans="1:14" ht="21.75" customHeight="1" x14ac:dyDescent="0.4">
      <c r="A215" s="42"/>
      <c r="B215" s="43"/>
      <c r="C215" s="43" t="s">
        <v>17</v>
      </c>
      <c r="D215" s="44" t="s">
        <v>18</v>
      </c>
      <c r="E215" s="45"/>
      <c r="F215" s="45"/>
      <c r="G215" s="46" t="s">
        <v>19</v>
      </c>
      <c r="H215" s="47" t="s">
        <v>20</v>
      </c>
      <c r="I215" s="48" t="s">
        <v>21</v>
      </c>
      <c r="J215" s="48"/>
      <c r="K215" s="49"/>
      <c r="L215" s="50">
        <v>0</v>
      </c>
      <c r="M215" s="53">
        <v>0</v>
      </c>
      <c r="N215" s="53">
        <f t="shared" ref="N215:N218" si="48">+IF(L215&gt;0,M215*100/L215,0)</f>
        <v>0</v>
      </c>
    </row>
    <row r="216" spans="1:14" ht="21.75" customHeight="1" x14ac:dyDescent="0.4">
      <c r="A216" s="42"/>
      <c r="B216" s="43"/>
      <c r="C216" s="43"/>
      <c r="D216" s="51"/>
      <c r="E216" s="45"/>
      <c r="F216" s="45" t="s">
        <v>21</v>
      </c>
      <c r="G216" s="46" t="s">
        <v>22</v>
      </c>
      <c r="H216" s="47" t="s">
        <v>20</v>
      </c>
      <c r="I216" s="48"/>
      <c r="J216" s="48"/>
      <c r="K216" s="49"/>
      <c r="L216" s="50">
        <f t="shared" ref="L216:M216" ca="1" si="49">SUM(L217:L218)</f>
        <v>0</v>
      </c>
      <c r="M216" s="53">
        <f t="shared" si="49"/>
        <v>0</v>
      </c>
      <c r="N216" s="53">
        <f t="shared" ca="1" si="48"/>
        <v>0</v>
      </c>
    </row>
    <row r="217" spans="1:14" ht="21.75" customHeight="1" x14ac:dyDescent="0.4">
      <c r="A217" s="42"/>
      <c r="B217" s="43"/>
      <c r="C217" s="43"/>
      <c r="D217" s="51"/>
      <c r="E217" s="45"/>
      <c r="F217" s="45"/>
      <c r="G217" s="52" t="s">
        <v>23</v>
      </c>
      <c r="H217" s="47" t="s">
        <v>20</v>
      </c>
      <c r="I217" s="48"/>
      <c r="J217" s="48"/>
      <c r="K217" s="49"/>
      <c r="L217" s="53">
        <v>0</v>
      </c>
      <c r="M217" s="53">
        <v>0</v>
      </c>
      <c r="N217" s="53">
        <f t="shared" si="48"/>
        <v>0</v>
      </c>
    </row>
    <row r="218" spans="1:14" ht="21.75" customHeight="1" x14ac:dyDescent="0.4">
      <c r="A218" s="42"/>
      <c r="B218" s="43"/>
      <c r="C218" s="43"/>
      <c r="D218" s="51"/>
      <c r="E218" s="45"/>
      <c r="F218" s="45"/>
      <c r="G218" s="52" t="s">
        <v>24</v>
      </c>
      <c r="H218" s="47" t="s">
        <v>20</v>
      </c>
      <c r="I218" s="48"/>
      <c r="J218" s="67"/>
      <c r="K218" s="233"/>
      <c r="L218" s="53">
        <f ca="1">IFERROR(__xludf.DUMMYFUNCTION("IMPORTRANGE(""https://docs.google.com/spreadsheets/d/1C3CXT74ZlgGe6_JY_1olB1XN4rF0dxEuIIF-xsYjHgg/edit?usp=sharing"",""พรบ!BU30"")"),0)</f>
        <v>0</v>
      </c>
      <c r="M218" s="53">
        <v>0</v>
      </c>
      <c r="N218" s="53">
        <f t="shared" ca="1" si="48"/>
        <v>0</v>
      </c>
    </row>
    <row r="219" spans="1:14" ht="21.75" customHeight="1" x14ac:dyDescent="0.4">
      <c r="A219" s="55"/>
      <c r="B219" s="56"/>
      <c r="C219" s="43" t="s">
        <v>17</v>
      </c>
      <c r="D219" s="57" t="s">
        <v>25</v>
      </c>
      <c r="E219" s="58"/>
      <c r="F219" s="58"/>
      <c r="G219" s="59"/>
      <c r="H219" s="60"/>
      <c r="I219" s="48"/>
      <c r="J219" s="67"/>
      <c r="K219" s="233"/>
      <c r="L219" s="53"/>
      <c r="M219" s="53"/>
      <c r="N219" s="61"/>
    </row>
    <row r="220" spans="1:14" ht="21.75" customHeight="1" x14ac:dyDescent="0.4">
      <c r="A220" s="55"/>
      <c r="B220" s="56"/>
      <c r="C220" s="56"/>
      <c r="D220" s="62">
        <v>1</v>
      </c>
      <c r="E220" s="63" t="s">
        <v>26</v>
      </c>
      <c r="F220" s="64"/>
      <c r="G220" s="65"/>
      <c r="H220" s="66"/>
      <c r="I220" s="67"/>
      <c r="J220" s="67">
        <v>0</v>
      </c>
      <c r="K220" s="233"/>
      <c r="L220" s="53"/>
      <c r="M220" s="53"/>
      <c r="N220" s="61"/>
    </row>
    <row r="221" spans="1:14" ht="21.75" customHeight="1" x14ac:dyDescent="0.4">
      <c r="A221" s="55"/>
      <c r="B221" s="56"/>
      <c r="C221" s="56"/>
      <c r="D221" s="69">
        <v>2</v>
      </c>
      <c r="E221" s="70" t="s">
        <v>27</v>
      </c>
      <c r="F221" s="71"/>
      <c r="G221" s="72"/>
      <c r="H221" s="66"/>
      <c r="I221" s="67"/>
      <c r="J221" s="67">
        <v>0</v>
      </c>
      <c r="K221" s="233"/>
      <c r="L221" s="53" t="s">
        <v>21</v>
      </c>
      <c r="M221" s="53" t="s">
        <v>21</v>
      </c>
      <c r="N221" s="61"/>
    </row>
    <row r="222" spans="1:14" ht="21.75" customHeight="1" x14ac:dyDescent="0.4">
      <c r="A222" s="55"/>
      <c r="B222" s="56"/>
      <c r="C222" s="56"/>
      <c r="D222" s="73"/>
      <c r="E222" s="74" t="s">
        <v>28</v>
      </c>
      <c r="F222" s="75"/>
      <c r="G222" s="76"/>
      <c r="H222" s="66"/>
      <c r="I222" s="67"/>
      <c r="J222" s="67">
        <v>0</v>
      </c>
      <c r="K222" s="233"/>
      <c r="L222" s="53"/>
      <c r="M222" s="53"/>
      <c r="N222" s="61"/>
    </row>
    <row r="223" spans="1:14" ht="21.75" customHeight="1" x14ac:dyDescent="0.4">
      <c r="A223" s="55"/>
      <c r="B223" s="56"/>
      <c r="C223" s="56"/>
      <c r="D223" s="73"/>
      <c r="E223" s="74" t="s">
        <v>29</v>
      </c>
      <c r="F223" s="75"/>
      <c r="G223" s="76"/>
      <c r="H223" s="66"/>
      <c r="I223" s="67"/>
      <c r="J223" s="67">
        <v>0</v>
      </c>
      <c r="K223" s="233"/>
      <c r="L223" s="53"/>
      <c r="M223" s="53"/>
      <c r="N223" s="61"/>
    </row>
    <row r="224" spans="1:14" ht="21.75" customHeight="1" x14ac:dyDescent="0.4">
      <c r="A224" s="55"/>
      <c r="B224" s="56"/>
      <c r="C224" s="56"/>
      <c r="D224" s="73"/>
      <c r="E224" s="77"/>
      <c r="F224" s="74" t="s">
        <v>98</v>
      </c>
      <c r="G224" s="76"/>
      <c r="H224" s="66" t="s">
        <v>97</v>
      </c>
      <c r="I224" s="67">
        <f ca="1">IFERROR(__xludf.DUMMYFUNCTION("IMPORTRANGE(""https://docs.google.com/spreadsheets/d/1C3CXT74ZlgGe6_JY_1olB1XN4rF0dxEuIIF-xsYjHgg/edit?usp=sharing"",""พรบ!BV30"")"),0)</f>
        <v>0</v>
      </c>
      <c r="J224" s="67">
        <v>0</v>
      </c>
      <c r="K224" s="233">
        <f ca="1">IF(I224&gt;0,J224*100/I224,0)</f>
        <v>0</v>
      </c>
      <c r="L224" s="53"/>
      <c r="M224" s="53"/>
      <c r="N224" s="61"/>
    </row>
    <row r="225" spans="1:14" ht="21.75" customHeight="1" x14ac:dyDescent="0.4">
      <c r="A225" s="55"/>
      <c r="B225" s="56"/>
      <c r="C225" s="56"/>
      <c r="D225" s="73"/>
      <c r="E225" s="74" t="s">
        <v>35</v>
      </c>
      <c r="F225" s="75"/>
      <c r="G225" s="76"/>
      <c r="H225" s="66"/>
      <c r="I225" s="67"/>
      <c r="J225" s="67">
        <v>0</v>
      </c>
      <c r="K225" s="233"/>
      <c r="L225" s="53"/>
      <c r="M225" s="53"/>
      <c r="N225" s="61"/>
    </row>
    <row r="226" spans="1:14" ht="21.75" customHeight="1" x14ac:dyDescent="0.4">
      <c r="A226" s="55"/>
      <c r="B226" s="56"/>
      <c r="C226" s="56"/>
      <c r="D226" s="81">
        <v>3</v>
      </c>
      <c r="E226" s="82" t="s">
        <v>36</v>
      </c>
      <c r="F226" s="83"/>
      <c r="G226" s="84"/>
      <c r="H226" s="66"/>
      <c r="I226" s="67"/>
      <c r="J226" s="360">
        <v>0</v>
      </c>
      <c r="K226" s="233"/>
      <c r="L226" s="53"/>
      <c r="M226" s="53"/>
      <c r="N226" s="61"/>
    </row>
    <row r="227" spans="1:14" ht="21.75" customHeight="1" x14ac:dyDescent="0.4">
      <c r="A227" s="166" t="s">
        <v>99</v>
      </c>
      <c r="B227" s="167"/>
      <c r="C227" s="167"/>
      <c r="D227" s="168"/>
      <c r="E227" s="167"/>
      <c r="F227" s="167"/>
      <c r="G227" s="181"/>
      <c r="H227" s="170"/>
      <c r="I227" s="171"/>
      <c r="J227" s="171"/>
      <c r="K227" s="172"/>
      <c r="L227" s="172"/>
      <c r="M227" s="172"/>
      <c r="N227" s="173"/>
    </row>
    <row r="228" spans="1:14" ht="21.75" customHeight="1" x14ac:dyDescent="0.4">
      <c r="A228" s="174"/>
      <c r="B228" s="175" t="s">
        <v>100</v>
      </c>
      <c r="C228" s="187"/>
      <c r="D228" s="175"/>
      <c r="E228" s="175"/>
      <c r="F228" s="175"/>
      <c r="G228" s="176"/>
      <c r="H228" s="177" t="s">
        <v>16</v>
      </c>
      <c r="I228" s="198">
        <f ca="1">I236</f>
        <v>360</v>
      </c>
      <c r="J228" s="198">
        <f ca="1">J240</f>
        <v>88</v>
      </c>
      <c r="K228" s="179">
        <f ca="1">IF(I228&gt;0,J228*100/I228,0)</f>
        <v>24.444444444444443</v>
      </c>
      <c r="L228" s="180">
        <f ca="1">L229+L230</f>
        <v>823180</v>
      </c>
      <c r="M228" s="180">
        <f>SUM(M229:M230)</f>
        <v>199239.56</v>
      </c>
      <c r="N228" s="179">
        <f ca="1">IF(L228&gt;0,M228*100/L228,0)</f>
        <v>24.203644403411161</v>
      </c>
    </row>
    <row r="229" spans="1:14" ht="21.75" customHeight="1" x14ac:dyDescent="0.4">
      <c r="A229" s="42"/>
      <c r="B229" s="43"/>
      <c r="C229" s="43" t="s">
        <v>17</v>
      </c>
      <c r="D229" s="44" t="s">
        <v>18</v>
      </c>
      <c r="E229" s="45"/>
      <c r="F229" s="45"/>
      <c r="G229" s="46" t="s">
        <v>19</v>
      </c>
      <c r="H229" s="47" t="s">
        <v>20</v>
      </c>
      <c r="I229" s="48" t="s">
        <v>21</v>
      </c>
      <c r="J229" s="48"/>
      <c r="K229" s="49"/>
      <c r="L229" s="50">
        <v>0</v>
      </c>
      <c r="M229" s="53">
        <v>0</v>
      </c>
      <c r="N229" s="53">
        <f t="shared" ref="N229:N232" si="50">+IF(L229&gt;0,M229*100/L229,0)</f>
        <v>0</v>
      </c>
    </row>
    <row r="230" spans="1:14" ht="21.75" customHeight="1" x14ac:dyDescent="0.4">
      <c r="A230" s="42"/>
      <c r="B230" s="43"/>
      <c r="C230" s="43"/>
      <c r="D230" s="51"/>
      <c r="E230" s="45"/>
      <c r="F230" s="45" t="s">
        <v>21</v>
      </c>
      <c r="G230" s="46" t="s">
        <v>22</v>
      </c>
      <c r="H230" s="47" t="s">
        <v>20</v>
      </c>
      <c r="I230" s="48"/>
      <c r="J230" s="48"/>
      <c r="K230" s="49"/>
      <c r="L230" s="50">
        <f t="shared" ref="L230:M230" ca="1" si="51">SUM(L231:L232)</f>
        <v>823180</v>
      </c>
      <c r="M230" s="53">
        <f t="shared" si="51"/>
        <v>199239.56</v>
      </c>
      <c r="N230" s="53">
        <f t="shared" ca="1" si="50"/>
        <v>24.203644403411161</v>
      </c>
    </row>
    <row r="231" spans="1:14" ht="21.75" customHeight="1" x14ac:dyDescent="0.4">
      <c r="A231" s="42"/>
      <c r="B231" s="43"/>
      <c r="C231" s="43"/>
      <c r="D231" s="51"/>
      <c r="E231" s="45"/>
      <c r="F231" s="45"/>
      <c r="G231" s="52" t="s">
        <v>23</v>
      </c>
      <c r="H231" s="47" t="s">
        <v>20</v>
      </c>
      <c r="I231" s="48"/>
      <c r="J231" s="48"/>
      <c r="K231" s="49"/>
      <c r="L231" s="53">
        <f ca="1">IFERROR(__xludf.DUMMYFUNCTION("IMPORTRANGE(""https://docs.google.com/spreadsheets/d/1C3CXT74ZlgGe6_JY_1olB1XN4rF0dxEuIIF-xsYjHgg/edit?usp=sharing"",""พรบ!BX30"")"),491200)</f>
        <v>491200</v>
      </c>
      <c r="M231" s="54">
        <v>109500</v>
      </c>
      <c r="N231" s="53">
        <f t="shared" ca="1" si="50"/>
        <v>22.292345276872965</v>
      </c>
    </row>
    <row r="232" spans="1:14" ht="21.75" customHeight="1" x14ac:dyDescent="0.4">
      <c r="A232" s="42"/>
      <c r="B232" s="43"/>
      <c r="C232" s="43"/>
      <c r="D232" s="51"/>
      <c r="E232" s="45"/>
      <c r="F232" s="45"/>
      <c r="G232" s="52" t="s">
        <v>24</v>
      </c>
      <c r="H232" s="47" t="s">
        <v>20</v>
      </c>
      <c r="I232" s="48"/>
      <c r="J232" s="48"/>
      <c r="K232" s="49"/>
      <c r="L232" s="53">
        <f ca="1">IFERROR(__xludf.DUMMYFUNCTION("IMPORTRANGE(""https://docs.google.com/spreadsheets/d/1C3CXT74ZlgGe6_JY_1olB1XN4rF0dxEuIIF-xsYjHgg/edit?usp=sharing"",""พรบ!BY30"")"),331980)</f>
        <v>331980</v>
      </c>
      <c r="M232" s="54">
        <v>89739.56</v>
      </c>
      <c r="N232" s="53">
        <f t="shared" ca="1" si="50"/>
        <v>27.031616362431471</v>
      </c>
    </row>
    <row r="233" spans="1:14" ht="21.75" customHeight="1" x14ac:dyDescent="0.4">
      <c r="A233" s="55"/>
      <c r="B233" s="155"/>
      <c r="C233" s="199" t="s">
        <v>101</v>
      </c>
      <c r="D233" s="75"/>
      <c r="E233" s="75"/>
      <c r="F233" s="75"/>
      <c r="G233" s="76"/>
      <c r="H233" s="60"/>
      <c r="I233" s="200"/>
      <c r="J233" s="200"/>
      <c r="K233" s="201"/>
      <c r="L233" s="61"/>
      <c r="M233" s="61"/>
      <c r="N233" s="202"/>
    </row>
    <row r="234" spans="1:14" ht="21.75" customHeight="1" x14ac:dyDescent="0.4">
      <c r="A234" s="55"/>
      <c r="B234" s="155"/>
      <c r="C234" s="56"/>
      <c r="D234" s="75"/>
      <c r="E234" s="74" t="s">
        <v>102</v>
      </c>
      <c r="F234" s="75"/>
      <c r="G234" s="76"/>
      <c r="H234" s="60" t="s">
        <v>16</v>
      </c>
      <c r="I234" s="67">
        <v>0</v>
      </c>
      <c r="J234" s="67">
        <f ca="1">IFERROR(__xludf.DUMMYFUNCTION("IMPORTRANGE(""https://docs.google.com/spreadsheets/d/1AGHcLOeeYFL3K4b9R1dSzyJy00PE_ra89DNTVfnxSWM/edit?usp=sharing"",""รวมที่ทำกิน!J19"")"),38)</f>
        <v>38</v>
      </c>
      <c r="K234" s="201">
        <f t="shared" ref="K234:K241" si="52">IF(I234&gt;0,J234*100/I234,0)</f>
        <v>0</v>
      </c>
      <c r="L234" s="61"/>
      <c r="M234" s="61"/>
      <c r="N234" s="202"/>
    </row>
    <row r="235" spans="1:14" ht="21.75" customHeight="1" x14ac:dyDescent="0.4">
      <c r="A235" s="55"/>
      <c r="B235" s="155"/>
      <c r="C235" s="56"/>
      <c r="D235" s="75"/>
      <c r="E235" s="75"/>
      <c r="F235" s="75"/>
      <c r="G235" s="76"/>
      <c r="H235" s="60" t="s">
        <v>103</v>
      </c>
      <c r="I235" s="67">
        <f ca="1">IFERROR(__xludf.DUMMYFUNCTION("IMPORTRANGE(""https://docs.google.com/spreadsheets/d/1C3CXT74ZlgGe6_JY_1olB1XN4rF0dxEuIIF-xsYjHgg/edit?usp=sharing"",""พรบ!BZ30"")"),1300)</f>
        <v>1300</v>
      </c>
      <c r="J235" s="67">
        <f ca="1">IFERROR(__xludf.DUMMYFUNCTION("IMPORTRANGE(""https://docs.google.com/spreadsheets/d/1AGHcLOeeYFL3K4b9R1dSzyJy00PE_ra89DNTVfnxSWM/edit?usp=sharing"",""รวมที่ทำกิน!L19"")"),284.82)</f>
        <v>284.82</v>
      </c>
      <c r="K235" s="201">
        <f t="shared" ca="1" si="52"/>
        <v>21.909230769230771</v>
      </c>
      <c r="L235" s="61"/>
      <c r="M235" s="61"/>
      <c r="N235" s="202"/>
    </row>
    <row r="236" spans="1:14" ht="21.75" customHeight="1" x14ac:dyDescent="0.4">
      <c r="A236" s="55"/>
      <c r="B236" s="155"/>
      <c r="C236" s="56"/>
      <c r="D236" s="75"/>
      <c r="E236" s="74" t="s">
        <v>104</v>
      </c>
      <c r="F236" s="75"/>
      <c r="G236" s="76"/>
      <c r="H236" s="60" t="s">
        <v>16</v>
      </c>
      <c r="I236" s="67">
        <f ca="1">IFERROR(__xludf.DUMMYFUNCTION("IMPORTRANGE(""https://docs.google.com/spreadsheets/d/1C3CXT74ZlgGe6_JY_1olB1XN4rF0dxEuIIF-xsYjHgg/edit?usp=sharing"",""พรบ!CA30"")"),360)</f>
        <v>360</v>
      </c>
      <c r="J236" s="67">
        <f ca="1">IFERROR(__xludf.DUMMYFUNCTION("IMPORTRANGE(""https://docs.google.com/spreadsheets/d/1AGHcLOeeYFL3K4b9R1dSzyJy00PE_ra89DNTVfnxSWM/edit?usp=sharing"",""รวมที่ทำกิน!O19"")"),104)</f>
        <v>104</v>
      </c>
      <c r="K236" s="201">
        <f t="shared" ca="1" si="52"/>
        <v>28.888888888888889</v>
      </c>
      <c r="L236" s="61"/>
      <c r="M236" s="61"/>
      <c r="N236" s="202"/>
    </row>
    <row r="237" spans="1:14" ht="21.75" customHeight="1" x14ac:dyDescent="0.4">
      <c r="A237" s="55"/>
      <c r="B237" s="155"/>
      <c r="C237" s="56"/>
      <c r="D237" s="75"/>
      <c r="E237" s="75"/>
      <c r="F237" s="75"/>
      <c r="G237" s="76"/>
      <c r="H237" s="60" t="s">
        <v>103</v>
      </c>
      <c r="I237" s="200">
        <v>0</v>
      </c>
      <c r="J237" s="67">
        <f ca="1">IFERROR(__xludf.DUMMYFUNCTION("IMPORTRANGE(""https://docs.google.com/spreadsheets/d/1AGHcLOeeYFL3K4b9R1dSzyJy00PE_ra89DNTVfnxSWM/edit?usp=sharing"",""รวมที่ทำกิน!Q19"")"),869.16)</f>
        <v>869.16</v>
      </c>
      <c r="K237" s="201">
        <f t="shared" si="52"/>
        <v>0</v>
      </c>
      <c r="L237" s="61"/>
      <c r="M237" s="61"/>
      <c r="N237" s="202"/>
    </row>
    <row r="238" spans="1:14" ht="21.75" customHeight="1" x14ac:dyDescent="0.4">
      <c r="A238" s="55"/>
      <c r="B238" s="155"/>
      <c r="C238" s="56"/>
      <c r="D238" s="75"/>
      <c r="E238" s="74" t="s">
        <v>105</v>
      </c>
      <c r="F238" s="75"/>
      <c r="G238" s="76"/>
      <c r="H238" s="60" t="s">
        <v>16</v>
      </c>
      <c r="I238" s="67">
        <f ca="1">IFERROR(__xludf.DUMMYFUNCTION("IMPORTRANGE(""https://docs.google.com/spreadsheets/d/1C3CXT74ZlgGe6_JY_1olB1XN4rF0dxEuIIF-xsYjHgg/edit?usp=sharing"",""พรบ!CB30"")"),360)</f>
        <v>360</v>
      </c>
      <c r="J238" s="67">
        <f ca="1">IFERROR(__xludf.DUMMYFUNCTION("IMPORTRANGE(""https://docs.google.com/spreadsheets/d/1AGHcLOeeYFL3K4b9R1dSzyJy00PE_ra89DNTVfnxSWM/edit?usp=sharing"",""รวมที่ทำกิน!S19"")"),0)</f>
        <v>0</v>
      </c>
      <c r="K238" s="201">
        <f t="shared" ca="1" si="52"/>
        <v>0</v>
      </c>
      <c r="L238" s="61"/>
      <c r="M238" s="61"/>
      <c r="N238" s="202"/>
    </row>
    <row r="239" spans="1:14" ht="21.75" customHeight="1" x14ac:dyDescent="0.4">
      <c r="A239" s="55"/>
      <c r="B239" s="155"/>
      <c r="C239" s="56"/>
      <c r="D239" s="75"/>
      <c r="E239" s="75"/>
      <c r="F239" s="75"/>
      <c r="G239" s="76"/>
      <c r="H239" s="60" t="s">
        <v>103</v>
      </c>
      <c r="I239" s="200">
        <v>0</v>
      </c>
      <c r="J239" s="67">
        <f ca="1">IFERROR(__xludf.DUMMYFUNCTION("IMPORTRANGE(""https://docs.google.com/spreadsheets/d/1AGHcLOeeYFL3K4b9R1dSzyJy00PE_ra89DNTVfnxSWM/edit?usp=sharing"",""รวมที่ทำกิน!U19"")"),0)</f>
        <v>0</v>
      </c>
      <c r="K239" s="201">
        <f t="shared" si="52"/>
        <v>0</v>
      </c>
      <c r="L239" s="61"/>
      <c r="M239" s="61"/>
      <c r="N239" s="202"/>
    </row>
    <row r="240" spans="1:14" ht="21.75" customHeight="1" x14ac:dyDescent="0.4">
      <c r="A240" s="55"/>
      <c r="B240" s="155"/>
      <c r="C240" s="56"/>
      <c r="D240" s="75"/>
      <c r="E240" s="74" t="s">
        <v>106</v>
      </c>
      <c r="F240" s="75"/>
      <c r="G240" s="76"/>
      <c r="H240" s="60" t="s">
        <v>16</v>
      </c>
      <c r="I240" s="67">
        <f ca="1">IFERROR(__xludf.DUMMYFUNCTION("IMPORTRANGE(""https://docs.google.com/spreadsheets/d/1C3CXT74ZlgGe6_JY_1olB1XN4rF0dxEuIIF-xsYjHgg/edit?usp=sharing"",""พรบ!CC30"")"),360)</f>
        <v>360</v>
      </c>
      <c r="J240" s="67">
        <f ca="1">IFERROR(__xludf.DUMMYFUNCTION("IMPORTRANGE(""https://docs.google.com/spreadsheets/d/1AGHcLOeeYFL3K4b9R1dSzyJy00PE_ra89DNTVfnxSWM/edit?usp=sharing"",""รวมที่ทำกิน!W19"")"),88)</f>
        <v>88</v>
      </c>
      <c r="K240" s="201">
        <f t="shared" ca="1" si="52"/>
        <v>24.444444444444443</v>
      </c>
      <c r="L240" s="61"/>
      <c r="M240" s="61"/>
      <c r="N240" s="202"/>
    </row>
    <row r="241" spans="1:14" ht="21.75" customHeight="1" x14ac:dyDescent="0.4">
      <c r="A241" s="105"/>
      <c r="B241" s="203"/>
      <c r="C241" s="106"/>
      <c r="D241" s="203"/>
      <c r="E241" s="204"/>
      <c r="F241" s="204"/>
      <c r="G241" s="205"/>
      <c r="H241" s="206" t="s">
        <v>103</v>
      </c>
      <c r="I241" s="207">
        <v>0</v>
      </c>
      <c r="J241" s="67">
        <f ca="1">IFERROR(__xludf.DUMMYFUNCTION("IMPORTRANGE(""https://docs.google.com/spreadsheets/d/1AGHcLOeeYFL3K4b9R1dSzyJy00PE_ra89DNTVfnxSWM/edit?usp=sharing"",""รวมที่ทำกิน!Y19"")"),771.16)</f>
        <v>771.16</v>
      </c>
      <c r="K241" s="201">
        <f t="shared" si="52"/>
        <v>0</v>
      </c>
      <c r="L241" s="115"/>
      <c r="M241" s="115"/>
      <c r="N241" s="208"/>
    </row>
    <row r="242" spans="1:14" ht="21.75" customHeight="1" x14ac:dyDescent="0.4">
      <c r="A242" s="209" t="s">
        <v>107</v>
      </c>
      <c r="B242" s="210"/>
      <c r="C242" s="210"/>
      <c r="D242" s="210"/>
      <c r="E242" s="210"/>
      <c r="F242" s="210"/>
      <c r="G242" s="211"/>
      <c r="H242" s="212"/>
      <c r="I242" s="213"/>
      <c r="J242" s="213"/>
      <c r="K242" s="214"/>
      <c r="L242" s="214">
        <f t="shared" ref="L242:M242" ca="1" si="53">SUM(L244,L275,L296,L330,L350,L426,L444,L457,L473,L490)</f>
        <v>1858960</v>
      </c>
      <c r="M242" s="214">
        <f t="shared" si="53"/>
        <v>127756</v>
      </c>
      <c r="N242" s="214">
        <f ca="1">+IF(L242&gt;0,M242*100/L242,0)</f>
        <v>6.8724448078495506</v>
      </c>
    </row>
    <row r="243" spans="1:14" ht="21.75" customHeight="1" x14ac:dyDescent="0.4">
      <c r="A243" s="215" t="s">
        <v>108</v>
      </c>
      <c r="B243" s="216"/>
      <c r="C243" s="216"/>
      <c r="D243" s="216"/>
      <c r="E243" s="216"/>
      <c r="F243" s="216"/>
      <c r="G243" s="217"/>
      <c r="H243" s="218"/>
      <c r="I243" s="219"/>
      <c r="J243" s="219"/>
      <c r="K243" s="220"/>
      <c r="L243" s="220"/>
      <c r="M243" s="220"/>
      <c r="N243" s="221"/>
    </row>
    <row r="244" spans="1:14" ht="21.75" customHeight="1" x14ac:dyDescent="0.4">
      <c r="A244" s="222"/>
      <c r="B244" s="223">
        <v>1</v>
      </c>
      <c r="C244" s="224" t="s">
        <v>109</v>
      </c>
      <c r="D244" s="224"/>
      <c r="E244" s="224"/>
      <c r="F244" s="224"/>
      <c r="G244" s="225"/>
      <c r="H244" s="226" t="s">
        <v>103</v>
      </c>
      <c r="I244" s="227">
        <f t="shared" ref="I244:J244" ca="1" si="54">I270</f>
        <v>90</v>
      </c>
      <c r="J244" s="227">
        <f t="shared" si="54"/>
        <v>0</v>
      </c>
      <c r="K244" s="228">
        <f t="shared" ref="K244:K245" ca="1" si="55">IF(I244&gt;0,J244*100/I244,0)</f>
        <v>0</v>
      </c>
      <c r="L244" s="229">
        <f t="shared" ref="L244:M244" ca="1" si="56">SUM(L246:L247)</f>
        <v>348030</v>
      </c>
      <c r="M244" s="229">
        <f t="shared" si="56"/>
        <v>64900</v>
      </c>
      <c r="N244" s="229">
        <f ca="1">+IF(L244&gt;0,M244*100/L244,0)</f>
        <v>18.647817716863489</v>
      </c>
    </row>
    <row r="245" spans="1:14" ht="21.75" customHeight="1" x14ac:dyDescent="0.4">
      <c r="A245" s="222"/>
      <c r="B245" s="223"/>
      <c r="C245" s="224"/>
      <c r="D245" s="224"/>
      <c r="E245" s="224"/>
      <c r="F245" s="224"/>
      <c r="G245" s="225"/>
      <c r="H245" s="226" t="s">
        <v>16</v>
      </c>
      <c r="I245" s="227">
        <f ca="1">I263</f>
        <v>55</v>
      </c>
      <c r="J245" s="227">
        <f>+J263</f>
        <v>0</v>
      </c>
      <c r="K245" s="228">
        <f t="shared" ca="1" si="55"/>
        <v>0</v>
      </c>
      <c r="L245" s="229"/>
      <c r="M245" s="229"/>
      <c r="N245" s="229"/>
    </row>
    <row r="246" spans="1:14" ht="21.75" customHeight="1" x14ac:dyDescent="0.4">
      <c r="A246" s="42"/>
      <c r="B246" s="43"/>
      <c r="C246" s="43" t="s">
        <v>17</v>
      </c>
      <c r="D246" s="44" t="s">
        <v>18</v>
      </c>
      <c r="E246" s="45"/>
      <c r="F246" s="45"/>
      <c r="G246" s="46" t="s">
        <v>19</v>
      </c>
      <c r="H246" s="47" t="s">
        <v>20</v>
      </c>
      <c r="I246" s="48" t="s">
        <v>21</v>
      </c>
      <c r="J246" s="48"/>
      <c r="K246" s="49"/>
      <c r="L246" s="50">
        <v>0</v>
      </c>
      <c r="M246" s="50">
        <v>0</v>
      </c>
      <c r="N246" s="50">
        <f t="shared" ref="N246:N249" si="57">+IF(L246&gt;0,M246*100/L246,0)</f>
        <v>0</v>
      </c>
    </row>
    <row r="247" spans="1:14" ht="21.75" customHeight="1" x14ac:dyDescent="0.4">
      <c r="A247" s="42"/>
      <c r="B247" s="43"/>
      <c r="C247" s="43"/>
      <c r="D247" s="51"/>
      <c r="E247" s="45"/>
      <c r="F247" s="45" t="s">
        <v>21</v>
      </c>
      <c r="G247" s="46" t="s">
        <v>22</v>
      </c>
      <c r="H247" s="47" t="s">
        <v>20</v>
      </c>
      <c r="I247" s="48"/>
      <c r="J247" s="48"/>
      <c r="K247" s="49"/>
      <c r="L247" s="50">
        <f t="shared" ref="L247:M247" ca="1" si="58">SUM(L248:L249)</f>
        <v>348030</v>
      </c>
      <c r="M247" s="50">
        <f t="shared" si="58"/>
        <v>64900</v>
      </c>
      <c r="N247" s="50">
        <f t="shared" ca="1" si="57"/>
        <v>18.647817716863489</v>
      </c>
    </row>
    <row r="248" spans="1:14" ht="21.75" customHeight="1" x14ac:dyDescent="0.4">
      <c r="A248" s="42"/>
      <c r="B248" s="43"/>
      <c r="C248" s="43"/>
      <c r="D248" s="51"/>
      <c r="E248" s="45"/>
      <c r="F248" s="45"/>
      <c r="G248" s="52" t="s">
        <v>110</v>
      </c>
      <c r="H248" s="47" t="s">
        <v>20</v>
      </c>
      <c r="I248" s="48"/>
      <c r="J248" s="48"/>
      <c r="K248" s="49"/>
      <c r="L248" s="53">
        <f ca="1">IFERROR(__xludf.DUMMYFUNCTION("IMPORTRANGE(""https://docs.google.com/spreadsheets/d/1C3CXT74ZlgGe6_JY_1olB1XN4rF0dxEuIIF-xsYjHgg/edit?usp=sharing"",""งบกองทุน!d30"")"),0)</f>
        <v>0</v>
      </c>
      <c r="M248" s="53">
        <v>0</v>
      </c>
      <c r="N248" s="53">
        <f t="shared" ca="1" si="57"/>
        <v>0</v>
      </c>
    </row>
    <row r="249" spans="1:14" ht="21.75" customHeight="1" x14ac:dyDescent="0.4">
      <c r="A249" s="42"/>
      <c r="B249" s="43"/>
      <c r="C249" s="43"/>
      <c r="D249" s="51"/>
      <c r="E249" s="45"/>
      <c r="F249" s="45"/>
      <c r="G249" s="52" t="s">
        <v>111</v>
      </c>
      <c r="H249" s="47" t="s">
        <v>20</v>
      </c>
      <c r="I249" s="48"/>
      <c r="J249" s="48"/>
      <c r="K249" s="49"/>
      <c r="L249" s="53">
        <f ca="1">IFERROR(__xludf.DUMMYFUNCTION("IMPORTRANGE(""https://docs.google.com/spreadsheets/d/1C3CXT74ZlgGe6_JY_1olB1XN4rF0dxEuIIF-xsYjHgg/edit?usp=sharing"",""งบกองทุน!e30"")"),348030)</f>
        <v>348030</v>
      </c>
      <c r="M249" s="53">
        <f>SUM(M250:M253)</f>
        <v>64900</v>
      </c>
      <c r="N249" s="53">
        <f t="shared" ca="1" si="57"/>
        <v>18.647817716863489</v>
      </c>
    </row>
    <row r="250" spans="1:14" ht="21.75" customHeight="1" x14ac:dyDescent="0.4">
      <c r="A250" s="230"/>
      <c r="B250" s="231"/>
      <c r="C250" s="43"/>
      <c r="D250" s="232"/>
      <c r="E250" s="45"/>
      <c r="F250" s="45"/>
      <c r="G250" s="46" t="s">
        <v>112</v>
      </c>
      <c r="H250" s="47" t="s">
        <v>20</v>
      </c>
      <c r="I250" s="67"/>
      <c r="J250" s="67"/>
      <c r="K250" s="233"/>
      <c r="L250" s="53"/>
      <c r="M250" s="54">
        <v>26740</v>
      </c>
      <c r="N250" s="53"/>
    </row>
    <row r="251" spans="1:14" ht="21.75" customHeight="1" x14ac:dyDescent="0.4">
      <c r="A251" s="230"/>
      <c r="B251" s="231"/>
      <c r="C251" s="43"/>
      <c r="D251" s="232"/>
      <c r="E251" s="45"/>
      <c r="F251" s="45"/>
      <c r="G251" s="46" t="s">
        <v>113</v>
      </c>
      <c r="H251" s="47" t="s">
        <v>20</v>
      </c>
      <c r="I251" s="67"/>
      <c r="J251" s="67"/>
      <c r="K251" s="233"/>
      <c r="L251" s="53"/>
      <c r="M251" s="54">
        <v>0</v>
      </c>
      <c r="N251" s="53"/>
    </row>
    <row r="252" spans="1:14" ht="21.75" customHeight="1" x14ac:dyDescent="0.4">
      <c r="A252" s="230"/>
      <c r="B252" s="231"/>
      <c r="C252" s="43"/>
      <c r="D252" s="232"/>
      <c r="E252" s="45"/>
      <c r="F252" s="45"/>
      <c r="G252" s="46" t="s">
        <v>114</v>
      </c>
      <c r="H252" s="47" t="s">
        <v>20</v>
      </c>
      <c r="I252" s="67"/>
      <c r="J252" s="67"/>
      <c r="K252" s="233"/>
      <c r="L252" s="53"/>
      <c r="M252" s="54">
        <v>33000</v>
      </c>
      <c r="N252" s="53"/>
    </row>
    <row r="253" spans="1:14" ht="21.75" customHeight="1" x14ac:dyDescent="0.4">
      <c r="A253" s="230"/>
      <c r="B253" s="231"/>
      <c r="C253" s="43"/>
      <c r="D253" s="232"/>
      <c r="E253" s="45"/>
      <c r="F253" s="45"/>
      <c r="G253" s="46" t="s">
        <v>115</v>
      </c>
      <c r="H253" s="47" t="s">
        <v>20</v>
      </c>
      <c r="I253" s="67"/>
      <c r="J253" s="67"/>
      <c r="K253" s="233"/>
      <c r="L253" s="53"/>
      <c r="M253" s="54">
        <v>5160</v>
      </c>
      <c r="N253" s="53"/>
    </row>
    <row r="254" spans="1:14" ht="21.75" customHeight="1" x14ac:dyDescent="0.4">
      <c r="A254" s="55"/>
      <c r="B254" s="56"/>
      <c r="C254" s="43" t="s">
        <v>17</v>
      </c>
      <c r="D254" s="57" t="s">
        <v>25</v>
      </c>
      <c r="E254" s="58"/>
      <c r="F254" s="58"/>
      <c r="G254" s="59"/>
      <c r="H254" s="60"/>
      <c r="I254" s="48"/>
      <c r="J254" s="48"/>
      <c r="K254" s="49"/>
      <c r="L254" s="61"/>
      <c r="M254" s="61"/>
      <c r="N254" s="61"/>
    </row>
    <row r="255" spans="1:14" ht="21.75" customHeight="1" x14ac:dyDescent="0.4">
      <c r="A255" s="55"/>
      <c r="B255" s="56"/>
      <c r="C255" s="56"/>
      <c r="D255" s="62">
        <v>1</v>
      </c>
      <c r="E255" s="63" t="s">
        <v>26</v>
      </c>
      <c r="F255" s="64"/>
      <c r="G255" s="65"/>
      <c r="H255" s="66"/>
      <c r="I255" s="67"/>
      <c r="J255" s="68">
        <v>0</v>
      </c>
      <c r="K255" s="49"/>
      <c r="L255" s="61"/>
      <c r="M255" s="61"/>
      <c r="N255" s="61"/>
    </row>
    <row r="256" spans="1:14" ht="21.75" customHeight="1" x14ac:dyDescent="0.4">
      <c r="A256" s="55"/>
      <c r="B256" s="56"/>
      <c r="C256" s="56"/>
      <c r="D256" s="69">
        <v>2</v>
      </c>
      <c r="E256" s="70" t="s">
        <v>27</v>
      </c>
      <c r="F256" s="71"/>
      <c r="G256" s="72"/>
      <c r="H256" s="66"/>
      <c r="I256" s="67"/>
      <c r="J256" s="68">
        <v>1</v>
      </c>
      <c r="K256" s="49"/>
      <c r="L256" s="61" t="s">
        <v>21</v>
      </c>
      <c r="M256" s="61" t="s">
        <v>21</v>
      </c>
      <c r="N256" s="61"/>
    </row>
    <row r="257" spans="1:14" ht="21.75" customHeight="1" x14ac:dyDescent="0.4">
      <c r="A257" s="55"/>
      <c r="B257" s="56"/>
      <c r="C257" s="56"/>
      <c r="D257" s="73"/>
      <c r="E257" s="74" t="s">
        <v>28</v>
      </c>
      <c r="F257" s="75"/>
      <c r="G257" s="76"/>
      <c r="H257" s="66"/>
      <c r="I257" s="67"/>
      <c r="J257" s="68">
        <v>1</v>
      </c>
      <c r="K257" s="49"/>
      <c r="L257" s="61"/>
      <c r="M257" s="61"/>
      <c r="N257" s="61"/>
    </row>
    <row r="258" spans="1:14" ht="21.75" customHeight="1" x14ac:dyDescent="0.4">
      <c r="A258" s="55"/>
      <c r="B258" s="56"/>
      <c r="C258" s="56"/>
      <c r="D258" s="73"/>
      <c r="E258" s="74" t="s">
        <v>29</v>
      </c>
      <c r="F258" s="75"/>
      <c r="G258" s="76"/>
      <c r="H258" s="66"/>
      <c r="I258" s="67"/>
      <c r="J258" s="68">
        <v>1</v>
      </c>
      <c r="K258" s="49"/>
      <c r="L258" s="61"/>
      <c r="M258" s="61"/>
      <c r="N258" s="61"/>
    </row>
    <row r="259" spans="1:14" ht="21.75" hidden="1" customHeight="1" x14ac:dyDescent="0.4">
      <c r="A259" s="55"/>
      <c r="B259" s="56"/>
      <c r="C259" s="56"/>
      <c r="D259" s="73"/>
      <c r="E259" s="77"/>
      <c r="F259" s="74" t="s">
        <v>50</v>
      </c>
      <c r="G259" s="76"/>
      <c r="H259" s="60"/>
      <c r="I259" s="67"/>
      <c r="J259" s="67">
        <f>+J260+J263+J268</f>
        <v>0</v>
      </c>
      <c r="K259" s="49"/>
      <c r="L259" s="61"/>
      <c r="M259" s="61"/>
      <c r="N259" s="61"/>
    </row>
    <row r="260" spans="1:14" ht="21.75" hidden="1" customHeight="1" x14ac:dyDescent="0.4">
      <c r="A260" s="55"/>
      <c r="B260" s="56"/>
      <c r="C260" s="56"/>
      <c r="D260" s="73"/>
      <c r="E260" s="77"/>
      <c r="F260" s="75"/>
      <c r="G260" s="99" t="s">
        <v>116</v>
      </c>
      <c r="H260" s="60" t="s">
        <v>16</v>
      </c>
      <c r="I260" s="67">
        <f ca="1">IFERROR(__xludf.DUMMYFUNCTION("IMPORTRANGE(""https://docs.google.com/spreadsheets/d/1C3CXT74ZlgGe6_JY_1olB1XN4rF0dxEuIIF-xsYjHgg/edit?usp=sharing"",""งบกองทุน!f30"")"),0)</f>
        <v>0</v>
      </c>
      <c r="J260" s="67">
        <v>0</v>
      </c>
      <c r="K260" s="49">
        <f ca="1">IF(I260&gt;0,J260*100/I260,0)</f>
        <v>0</v>
      </c>
      <c r="L260" s="61"/>
      <c r="M260" s="61"/>
      <c r="N260" s="61"/>
    </row>
    <row r="261" spans="1:14" ht="21.75" hidden="1" customHeight="1" x14ac:dyDescent="0.4">
      <c r="A261" s="55"/>
      <c r="B261" s="56"/>
      <c r="C261" s="56"/>
      <c r="D261" s="73"/>
      <c r="E261" s="77"/>
      <c r="F261" s="75"/>
      <c r="G261" s="76" t="s">
        <v>117</v>
      </c>
      <c r="H261" s="60"/>
      <c r="I261" s="48"/>
      <c r="J261" s="67"/>
      <c r="K261" s="49"/>
      <c r="L261" s="61"/>
      <c r="M261" s="61"/>
      <c r="N261" s="61"/>
    </row>
    <row r="262" spans="1:14" ht="21.75" hidden="1" customHeight="1" x14ac:dyDescent="0.4">
      <c r="A262" s="55"/>
      <c r="B262" s="56"/>
      <c r="C262" s="56"/>
      <c r="D262" s="73"/>
      <c r="E262" s="77"/>
      <c r="F262" s="75"/>
      <c r="G262" s="99" t="s">
        <v>118</v>
      </c>
      <c r="H262" s="66" t="s">
        <v>103</v>
      </c>
      <c r="I262" s="67">
        <f t="shared" ref="I262:J262" ca="1" si="59">SUM(I264,I266)</f>
        <v>90</v>
      </c>
      <c r="J262" s="67">
        <f t="shared" si="59"/>
        <v>0</v>
      </c>
      <c r="K262" s="49">
        <f t="shared" ref="K262:K268" ca="1" si="60">IF(I262&gt;0,J262*100/I262,0)</f>
        <v>0</v>
      </c>
      <c r="L262" s="61"/>
      <c r="M262" s="61"/>
      <c r="N262" s="61"/>
    </row>
    <row r="263" spans="1:14" ht="21.75" customHeight="1" x14ac:dyDescent="0.4">
      <c r="A263" s="55"/>
      <c r="B263" s="56"/>
      <c r="C263" s="56"/>
      <c r="D263" s="73"/>
      <c r="E263" s="77"/>
      <c r="F263" s="99" t="s">
        <v>119</v>
      </c>
      <c r="G263" s="76"/>
      <c r="H263" s="66" t="s">
        <v>16</v>
      </c>
      <c r="I263" s="48">
        <f ca="1">IFERROR(__xludf.DUMMYFUNCTION("IMPORTRANGE(""https://docs.google.com/spreadsheets/d/1C3CXT74ZlgGe6_JY_1olB1XN4rF0dxEuIIF-xsYjHgg/edit?usp=sharing"",""งบกองทุน!H30"")"),55)</f>
        <v>55</v>
      </c>
      <c r="J263" s="67">
        <f>J267</f>
        <v>0</v>
      </c>
      <c r="K263" s="49">
        <f t="shared" ca="1" si="60"/>
        <v>0</v>
      </c>
      <c r="L263" s="61"/>
      <c r="M263" s="61"/>
      <c r="N263" s="61"/>
    </row>
    <row r="264" spans="1:14" ht="21.75" hidden="1" customHeight="1" x14ac:dyDescent="0.4">
      <c r="A264" s="55"/>
      <c r="B264" s="56"/>
      <c r="C264" s="56"/>
      <c r="D264" s="73"/>
      <c r="E264" s="77"/>
      <c r="F264" s="75"/>
      <c r="H264" s="60" t="s">
        <v>103</v>
      </c>
      <c r="I264" s="48">
        <f ca="1">IFERROR(__xludf.DUMMYFUNCTION("IMPORTRANGE(""https://docs.google.com/spreadsheets/d/1C3CXT74ZlgGe6_JY_1olB1XN4rF0dxEuIIF-xsYjHgg/edit?usp=sharing"",""งบกองทุน!i30"")"),40)</f>
        <v>40</v>
      </c>
      <c r="J264" s="68">
        <v>0</v>
      </c>
      <c r="K264" s="49">
        <f t="shared" ca="1" si="60"/>
        <v>0</v>
      </c>
      <c r="L264" s="61"/>
      <c r="M264" s="61"/>
      <c r="N264" s="61"/>
    </row>
    <row r="265" spans="1:14" ht="21.75" customHeight="1" x14ac:dyDescent="0.4">
      <c r="A265" s="55"/>
      <c r="B265" s="56"/>
      <c r="C265" s="56"/>
      <c r="D265" s="73"/>
      <c r="E265" s="77"/>
      <c r="F265" s="75"/>
      <c r="G265" s="99" t="s">
        <v>219</v>
      </c>
      <c r="H265" s="60" t="s">
        <v>16</v>
      </c>
      <c r="I265" s="48">
        <f ca="1">I263</f>
        <v>55</v>
      </c>
      <c r="J265" s="68">
        <v>0</v>
      </c>
      <c r="K265" s="49">
        <f t="shared" ca="1" si="60"/>
        <v>0</v>
      </c>
      <c r="L265" s="61"/>
      <c r="M265" s="61"/>
      <c r="N265" s="61"/>
    </row>
    <row r="266" spans="1:14" ht="21.75" hidden="1" customHeight="1" x14ac:dyDescent="0.4">
      <c r="A266" s="55"/>
      <c r="B266" s="56"/>
      <c r="C266" s="56"/>
      <c r="D266" s="73"/>
      <c r="E266" s="77"/>
      <c r="F266" s="75"/>
      <c r="G266" s="76"/>
      <c r="H266" s="60" t="s">
        <v>103</v>
      </c>
      <c r="I266" s="48">
        <f ca="1">IFERROR(__xludf.DUMMYFUNCTION("IMPORTRANGE(""https://docs.google.com/spreadsheets/d/1C3CXT74ZlgGe6_JY_1olB1XN4rF0dxEuIIF-xsYjHgg/edit?usp=sharing"",""งบกองทุน!k30"")"),50)</f>
        <v>50</v>
      </c>
      <c r="J266" s="68">
        <v>0</v>
      </c>
      <c r="K266" s="49">
        <f t="shared" ca="1" si="60"/>
        <v>0</v>
      </c>
      <c r="L266" s="61"/>
      <c r="M266" s="61"/>
      <c r="N266" s="61"/>
    </row>
    <row r="267" spans="1:14" ht="21.75" customHeight="1" x14ac:dyDescent="0.4">
      <c r="A267" s="55"/>
      <c r="B267" s="56"/>
      <c r="C267" s="56"/>
      <c r="D267" s="73"/>
      <c r="E267" s="77"/>
      <c r="F267" s="75"/>
      <c r="G267" s="76" t="s">
        <v>220</v>
      </c>
      <c r="H267" s="60" t="s">
        <v>16</v>
      </c>
      <c r="I267" s="48">
        <f ca="1">I265</f>
        <v>55</v>
      </c>
      <c r="J267" s="68">
        <v>0</v>
      </c>
      <c r="K267" s="49">
        <f t="shared" ca="1" si="60"/>
        <v>0</v>
      </c>
      <c r="L267" s="61"/>
      <c r="M267" s="61"/>
      <c r="N267" s="61"/>
    </row>
    <row r="268" spans="1:14" ht="21.75" hidden="1" customHeight="1" x14ac:dyDescent="0.4">
      <c r="A268" s="55"/>
      <c r="B268" s="56"/>
      <c r="C268" s="56"/>
      <c r="D268" s="73"/>
      <c r="E268" s="77"/>
      <c r="F268" s="75"/>
      <c r="G268" s="99" t="s">
        <v>122</v>
      </c>
      <c r="H268" s="60" t="s">
        <v>16</v>
      </c>
      <c r="I268" s="67">
        <f ca="1">IFERROR(__xludf.DUMMYFUNCTION("IMPORTRANGE(""https://docs.google.com/spreadsheets/d/1C3CXT74ZlgGe6_JY_1olB1XN4rF0dxEuIIF-xsYjHgg/edit?usp=sharing"",""งบกองทุน!m30"")"),0)</f>
        <v>0</v>
      </c>
      <c r="J268" s="67">
        <v>0</v>
      </c>
      <c r="K268" s="49">
        <f t="shared" ca="1" si="60"/>
        <v>0</v>
      </c>
      <c r="L268" s="61"/>
      <c r="M268" s="61"/>
      <c r="N268" s="61"/>
    </row>
    <row r="269" spans="1:14" ht="21.75" hidden="1" customHeight="1" x14ac:dyDescent="0.4">
      <c r="A269" s="55"/>
      <c r="B269" s="56"/>
      <c r="C269" s="56"/>
      <c r="D269" s="73"/>
      <c r="E269" s="77"/>
      <c r="F269" s="75"/>
      <c r="G269" s="76" t="s">
        <v>123</v>
      </c>
      <c r="H269" s="60"/>
      <c r="I269" s="67"/>
      <c r="J269" s="67"/>
      <c r="K269" s="49"/>
      <c r="L269" s="61"/>
      <c r="M269" s="61"/>
      <c r="N269" s="61"/>
    </row>
    <row r="270" spans="1:14" ht="21.75" customHeight="1" x14ac:dyDescent="0.4">
      <c r="A270" s="55"/>
      <c r="B270" s="56"/>
      <c r="C270" s="56"/>
      <c r="D270" s="73"/>
      <c r="E270" s="75"/>
      <c r="F270" s="74" t="s">
        <v>34</v>
      </c>
      <c r="G270" s="76"/>
      <c r="H270" s="66" t="s">
        <v>103</v>
      </c>
      <c r="I270" s="67">
        <f t="shared" ref="I270:J270" ca="1" si="61">SUM(I271:I272)</f>
        <v>90</v>
      </c>
      <c r="J270" s="67">
        <f t="shared" si="61"/>
        <v>0</v>
      </c>
      <c r="K270" s="49">
        <f t="shared" ref="K270:K272" ca="1" si="62">IF(I270&gt;0,J270*100/I270,0)</f>
        <v>0</v>
      </c>
      <c r="L270" s="61"/>
      <c r="M270" s="61"/>
      <c r="N270" s="61"/>
    </row>
    <row r="271" spans="1:14" ht="21.75" customHeight="1" x14ac:dyDescent="0.4">
      <c r="A271" s="55"/>
      <c r="B271" s="56"/>
      <c r="C271" s="56"/>
      <c r="D271" s="73"/>
      <c r="E271" s="75"/>
      <c r="F271" s="75"/>
      <c r="G271" s="76" t="s">
        <v>124</v>
      </c>
      <c r="H271" s="66" t="s">
        <v>103</v>
      </c>
      <c r="I271" s="67">
        <f ca="1">IFERROR(__xludf.DUMMYFUNCTION("IMPORTRANGE(""https://docs.google.com/spreadsheets/d/1C3CXT74ZlgGe6_JY_1olB1XN4rF0dxEuIIF-xsYjHgg/edit?usp=sharing"",""งบกองทุน!o30"")"),50)</f>
        <v>50</v>
      </c>
      <c r="J271" s="68">
        <v>0</v>
      </c>
      <c r="K271" s="49">
        <f t="shared" ca="1" si="62"/>
        <v>0</v>
      </c>
      <c r="L271" s="61"/>
      <c r="M271" s="61"/>
      <c r="N271" s="61"/>
    </row>
    <row r="272" spans="1:14" ht="21.75" customHeight="1" x14ac:dyDescent="0.4">
      <c r="A272" s="55"/>
      <c r="B272" s="56"/>
      <c r="C272" s="56"/>
      <c r="D272" s="73"/>
      <c r="E272" s="75"/>
      <c r="F272" s="75"/>
      <c r="G272" s="76" t="s">
        <v>125</v>
      </c>
      <c r="H272" s="66" t="s">
        <v>103</v>
      </c>
      <c r="I272" s="67">
        <f ca="1">IFERROR(__xludf.DUMMYFUNCTION("IMPORTRANGE(""https://docs.google.com/spreadsheets/d/1C3CXT74ZlgGe6_JY_1olB1XN4rF0dxEuIIF-xsYjHgg/edit?usp=sharing"",""งบกองทุน!p30"")"),40)</f>
        <v>40</v>
      </c>
      <c r="J272" s="68">
        <v>0</v>
      </c>
      <c r="K272" s="49">
        <f t="shared" ca="1" si="62"/>
        <v>0</v>
      </c>
      <c r="L272" s="61"/>
      <c r="M272" s="61"/>
      <c r="N272" s="61"/>
    </row>
    <row r="273" spans="1:14" ht="21.75" customHeight="1" x14ac:dyDescent="0.4">
      <c r="A273" s="55"/>
      <c r="B273" s="56"/>
      <c r="C273" s="56"/>
      <c r="D273" s="73"/>
      <c r="E273" s="74" t="s">
        <v>35</v>
      </c>
      <c r="F273" s="75"/>
      <c r="G273" s="76"/>
      <c r="H273" s="66"/>
      <c r="I273" s="67"/>
      <c r="J273" s="68">
        <v>0</v>
      </c>
      <c r="K273" s="49"/>
      <c r="L273" s="61"/>
      <c r="M273" s="61"/>
      <c r="N273" s="61"/>
    </row>
    <row r="274" spans="1:14" ht="21.75" customHeight="1" x14ac:dyDescent="0.4">
      <c r="A274" s="55"/>
      <c r="B274" s="56"/>
      <c r="C274" s="56"/>
      <c r="D274" s="81">
        <v>3</v>
      </c>
      <c r="E274" s="82" t="s">
        <v>36</v>
      </c>
      <c r="F274" s="83"/>
      <c r="G274" s="84"/>
      <c r="H274" s="66"/>
      <c r="I274" s="67"/>
      <c r="J274" s="85">
        <v>0</v>
      </c>
      <c r="K274" s="49"/>
      <c r="L274" s="61"/>
      <c r="M274" s="61"/>
      <c r="N274" s="61"/>
    </row>
    <row r="275" spans="1:14" ht="21.75" customHeight="1" x14ac:dyDescent="0.4">
      <c r="A275" s="222"/>
      <c r="B275" s="223">
        <v>2</v>
      </c>
      <c r="C275" s="224" t="s">
        <v>126</v>
      </c>
      <c r="D275" s="224"/>
      <c r="E275" s="234"/>
      <c r="F275" s="234"/>
      <c r="G275" s="235"/>
      <c r="H275" s="226" t="s">
        <v>103</v>
      </c>
      <c r="I275" s="227">
        <f ca="1">I292</f>
        <v>1000</v>
      </c>
      <c r="J275" s="227">
        <f>+J292</f>
        <v>0</v>
      </c>
      <c r="K275" s="228">
        <f t="shared" ref="K275:K276" ca="1" si="63">IF(I275&gt;0,J275*100/I275,0)</f>
        <v>0</v>
      </c>
      <c r="L275" s="229">
        <f t="shared" ref="L275:M275" ca="1" si="64">SUM(L277:L278)</f>
        <v>1028520</v>
      </c>
      <c r="M275" s="229">
        <f t="shared" si="64"/>
        <v>38000</v>
      </c>
      <c r="N275" s="229">
        <f ca="1">+IF(L275&gt;0,M275*100/L275,0)</f>
        <v>3.6946291759032395</v>
      </c>
    </row>
    <row r="276" spans="1:14" ht="21.75" customHeight="1" x14ac:dyDescent="0.4">
      <c r="A276" s="222"/>
      <c r="B276" s="223"/>
      <c r="C276" s="224"/>
      <c r="D276" s="236"/>
      <c r="E276" s="237"/>
      <c r="F276" s="237"/>
      <c r="G276" s="238"/>
      <c r="H276" s="226" t="s">
        <v>16</v>
      </c>
      <c r="I276" s="227">
        <f ca="1">I291</f>
        <v>100</v>
      </c>
      <c r="J276" s="227">
        <f>+J291</f>
        <v>0</v>
      </c>
      <c r="K276" s="228">
        <f t="shared" ca="1" si="63"/>
        <v>0</v>
      </c>
      <c r="L276" s="229"/>
      <c r="M276" s="229"/>
      <c r="N276" s="229"/>
    </row>
    <row r="277" spans="1:14" ht="21.75" customHeight="1" x14ac:dyDescent="0.4">
      <c r="A277" s="42"/>
      <c r="B277" s="43"/>
      <c r="C277" s="43" t="s">
        <v>17</v>
      </c>
      <c r="D277" s="44" t="s">
        <v>18</v>
      </c>
      <c r="E277" s="45"/>
      <c r="F277" s="45"/>
      <c r="G277" s="46" t="s">
        <v>19</v>
      </c>
      <c r="H277" s="47" t="s">
        <v>20</v>
      </c>
      <c r="I277" s="48" t="s">
        <v>21</v>
      </c>
      <c r="J277" s="48"/>
      <c r="K277" s="49"/>
      <c r="L277" s="50">
        <v>0</v>
      </c>
      <c r="M277" s="50">
        <v>0</v>
      </c>
      <c r="N277" s="50">
        <f t="shared" ref="N277:N280" si="65">+IF(L277&gt;0,M277*100/L277,0)</f>
        <v>0</v>
      </c>
    </row>
    <row r="278" spans="1:14" ht="21.75" customHeight="1" x14ac:dyDescent="0.4">
      <c r="A278" s="42"/>
      <c r="B278" s="43"/>
      <c r="C278" s="43"/>
      <c r="D278" s="51"/>
      <c r="E278" s="45"/>
      <c r="F278" s="45" t="s">
        <v>21</v>
      </c>
      <c r="G278" s="46" t="s">
        <v>22</v>
      </c>
      <c r="H278" s="47" t="s">
        <v>20</v>
      </c>
      <c r="I278" s="48"/>
      <c r="J278" s="48"/>
      <c r="K278" s="49"/>
      <c r="L278" s="50">
        <f t="shared" ref="L278:M278" ca="1" si="66">SUM(L279:L280)</f>
        <v>1028520</v>
      </c>
      <c r="M278" s="50">
        <f t="shared" si="66"/>
        <v>38000</v>
      </c>
      <c r="N278" s="50">
        <f t="shared" ca="1" si="65"/>
        <v>3.6946291759032395</v>
      </c>
    </row>
    <row r="279" spans="1:14" ht="21.75" customHeight="1" x14ac:dyDescent="0.4">
      <c r="A279" s="42"/>
      <c r="B279" s="43"/>
      <c r="C279" s="43"/>
      <c r="D279" s="51"/>
      <c r="E279" s="45"/>
      <c r="F279" s="45"/>
      <c r="G279" s="52" t="s">
        <v>110</v>
      </c>
      <c r="H279" s="47" t="s">
        <v>20</v>
      </c>
      <c r="I279" s="48"/>
      <c r="J279" s="48"/>
      <c r="K279" s="49"/>
      <c r="L279" s="53">
        <f ca="1">IFERROR(__xludf.DUMMYFUNCTION("IMPORTRANGE(""https://docs.google.com/spreadsheets/d/1C3CXT74ZlgGe6_JY_1olB1XN4rF0dxEuIIF-xsYjHgg/edit?usp=sharing"",""งบกองทุน!r30"")"),0)</f>
        <v>0</v>
      </c>
      <c r="M279" s="53">
        <v>0</v>
      </c>
      <c r="N279" s="53">
        <f t="shared" ca="1" si="65"/>
        <v>0</v>
      </c>
    </row>
    <row r="280" spans="1:14" ht="21.75" customHeight="1" x14ac:dyDescent="0.4">
      <c r="A280" s="42"/>
      <c r="B280" s="43"/>
      <c r="C280" s="43"/>
      <c r="D280" s="51"/>
      <c r="E280" s="45"/>
      <c r="F280" s="45"/>
      <c r="G280" s="52" t="s">
        <v>111</v>
      </c>
      <c r="H280" s="47" t="s">
        <v>20</v>
      </c>
      <c r="I280" s="48"/>
      <c r="J280" s="48"/>
      <c r="K280" s="49"/>
      <c r="L280" s="53">
        <f ca="1">IFERROR(__xludf.DUMMYFUNCTION("IMPORTRANGE(""https://docs.google.com/spreadsheets/d/1C3CXT74ZlgGe6_JY_1olB1XN4rF0dxEuIIF-xsYjHgg/edit?usp=sharing"",""งบกองทุน!s30"")"),1028520)</f>
        <v>1028520</v>
      </c>
      <c r="M280" s="53">
        <f>SUM(M281:M284)</f>
        <v>38000</v>
      </c>
      <c r="N280" s="53">
        <f t="shared" ca="1" si="65"/>
        <v>3.6946291759032395</v>
      </c>
    </row>
    <row r="281" spans="1:14" ht="21.75" customHeight="1" x14ac:dyDescent="0.4">
      <c r="A281" s="230"/>
      <c r="B281" s="231"/>
      <c r="C281" s="43"/>
      <c r="D281" s="232"/>
      <c r="E281" s="45"/>
      <c r="F281" s="45"/>
      <c r="G281" s="46" t="s">
        <v>112</v>
      </c>
      <c r="H281" s="47" t="s">
        <v>20</v>
      </c>
      <c r="I281" s="67"/>
      <c r="J281" s="67"/>
      <c r="K281" s="233"/>
      <c r="L281" s="53"/>
      <c r="M281" s="54">
        <v>0</v>
      </c>
      <c r="N281" s="53"/>
    </row>
    <row r="282" spans="1:14" ht="21.75" customHeight="1" x14ac:dyDescent="0.4">
      <c r="A282" s="230"/>
      <c r="B282" s="231"/>
      <c r="C282" s="43"/>
      <c r="D282" s="232"/>
      <c r="E282" s="45"/>
      <c r="F282" s="45"/>
      <c r="G282" s="46" t="s">
        <v>113</v>
      </c>
      <c r="H282" s="47" t="s">
        <v>20</v>
      </c>
      <c r="I282" s="67"/>
      <c r="J282" s="67"/>
      <c r="K282" s="233"/>
      <c r="L282" s="53"/>
      <c r="M282" s="54">
        <v>0</v>
      </c>
      <c r="N282" s="53"/>
    </row>
    <row r="283" spans="1:14" ht="21.75" customHeight="1" x14ac:dyDescent="0.4">
      <c r="A283" s="230"/>
      <c r="B283" s="231"/>
      <c r="C283" s="43"/>
      <c r="D283" s="232"/>
      <c r="E283" s="45"/>
      <c r="F283" s="45"/>
      <c r="G283" s="46" t="s">
        <v>114</v>
      </c>
      <c r="H283" s="47" t="s">
        <v>20</v>
      </c>
      <c r="I283" s="67"/>
      <c r="J283" s="67"/>
      <c r="K283" s="233"/>
      <c r="L283" s="53"/>
      <c r="M283" s="54">
        <v>33000</v>
      </c>
      <c r="N283" s="53"/>
    </row>
    <row r="284" spans="1:14" ht="21.75" customHeight="1" x14ac:dyDescent="0.4">
      <c r="A284" s="230"/>
      <c r="B284" s="231"/>
      <c r="C284" s="43"/>
      <c r="D284" s="232"/>
      <c r="E284" s="45"/>
      <c r="F284" s="45"/>
      <c r="G284" s="46" t="s">
        <v>115</v>
      </c>
      <c r="H284" s="47" t="s">
        <v>20</v>
      </c>
      <c r="I284" s="67"/>
      <c r="J284" s="67"/>
      <c r="K284" s="233"/>
      <c r="L284" s="53"/>
      <c r="M284" s="54">
        <v>5000</v>
      </c>
      <c r="N284" s="53"/>
    </row>
    <row r="285" spans="1:14" ht="21.75" customHeight="1" x14ac:dyDescent="0.4">
      <c r="A285" s="55"/>
      <c r="B285" s="56"/>
      <c r="C285" s="43" t="s">
        <v>17</v>
      </c>
      <c r="D285" s="57" t="s">
        <v>25</v>
      </c>
      <c r="E285" s="58"/>
      <c r="F285" s="58"/>
      <c r="G285" s="59"/>
      <c r="H285" s="60"/>
      <c r="I285" s="48"/>
      <c r="J285" s="48"/>
      <c r="K285" s="49"/>
      <c r="L285" s="61"/>
      <c r="M285" s="61"/>
      <c r="N285" s="61"/>
    </row>
    <row r="286" spans="1:14" ht="21.75" customHeight="1" x14ac:dyDescent="0.4">
      <c r="A286" s="55"/>
      <c r="B286" s="56"/>
      <c r="C286" s="56"/>
      <c r="D286" s="62">
        <v>1</v>
      </c>
      <c r="E286" s="63" t="s">
        <v>26</v>
      </c>
      <c r="F286" s="64"/>
      <c r="G286" s="65"/>
      <c r="H286" s="66"/>
      <c r="I286" s="67"/>
      <c r="J286" s="68">
        <v>0</v>
      </c>
      <c r="K286" s="49"/>
      <c r="L286" s="61"/>
      <c r="M286" s="61"/>
      <c r="N286" s="61"/>
    </row>
    <row r="287" spans="1:14" ht="21.75" customHeight="1" x14ac:dyDescent="0.4">
      <c r="A287" s="55"/>
      <c r="B287" s="56"/>
      <c r="C287" s="56"/>
      <c r="D287" s="69">
        <v>2</v>
      </c>
      <c r="E287" s="70" t="s">
        <v>27</v>
      </c>
      <c r="F287" s="71"/>
      <c r="G287" s="72"/>
      <c r="H287" s="66"/>
      <c r="I287" s="67"/>
      <c r="J287" s="68">
        <v>1</v>
      </c>
      <c r="K287" s="49"/>
      <c r="L287" s="61" t="s">
        <v>21</v>
      </c>
      <c r="M287" s="61" t="s">
        <v>21</v>
      </c>
      <c r="N287" s="61"/>
    </row>
    <row r="288" spans="1:14" ht="21.75" customHeight="1" x14ac:dyDescent="0.4">
      <c r="A288" s="55"/>
      <c r="B288" s="56"/>
      <c r="C288" s="56"/>
      <c r="D288" s="73"/>
      <c r="E288" s="74" t="s">
        <v>28</v>
      </c>
      <c r="F288" s="75"/>
      <c r="G288" s="76"/>
      <c r="H288" s="66"/>
      <c r="I288" s="67"/>
      <c r="J288" s="68">
        <v>1</v>
      </c>
      <c r="K288" s="49"/>
      <c r="L288" s="61"/>
      <c r="M288" s="61"/>
      <c r="N288" s="61"/>
    </row>
    <row r="289" spans="1:14" ht="21.75" customHeight="1" x14ac:dyDescent="0.4">
      <c r="A289" s="55"/>
      <c r="B289" s="56"/>
      <c r="C289" s="56"/>
      <c r="D289" s="73"/>
      <c r="E289" s="74" t="s">
        <v>29</v>
      </c>
      <c r="F289" s="75"/>
      <c r="G289" s="76"/>
      <c r="H289" s="66"/>
      <c r="I289" s="67"/>
      <c r="J289" s="68">
        <v>1</v>
      </c>
      <c r="K289" s="49"/>
      <c r="L289" s="61"/>
      <c r="M289" s="61"/>
      <c r="N289" s="61"/>
    </row>
    <row r="290" spans="1:14" ht="21.75" customHeight="1" x14ac:dyDescent="0.4">
      <c r="A290" s="55"/>
      <c r="B290" s="56"/>
      <c r="C290" s="56"/>
      <c r="D290" s="73"/>
      <c r="E290" s="77"/>
      <c r="F290" s="74" t="s">
        <v>127</v>
      </c>
      <c r="G290" s="75"/>
      <c r="H290" s="66"/>
      <c r="I290" s="67"/>
      <c r="J290" s="67"/>
      <c r="K290" s="49"/>
      <c r="L290" s="61"/>
      <c r="M290" s="61"/>
      <c r="N290" s="61"/>
    </row>
    <row r="291" spans="1:14" ht="21.75" customHeight="1" x14ac:dyDescent="0.4">
      <c r="A291" s="55"/>
      <c r="B291" s="56"/>
      <c r="C291" s="56"/>
      <c r="D291" s="73"/>
      <c r="E291" s="77"/>
      <c r="F291" s="75"/>
      <c r="G291" s="99" t="s">
        <v>50</v>
      </c>
      <c r="H291" s="66" t="s">
        <v>16</v>
      </c>
      <c r="I291" s="67">
        <f ca="1">IFERROR(__xludf.DUMMYFUNCTION("IMPORTRANGE(""https://docs.google.com/spreadsheets/d/1C3CXT74ZlgGe6_JY_1olB1XN4rF0dxEuIIF-xsYjHgg/edit?usp=sharing"",""งบกองทุน!v30"")"),100)</f>
        <v>100</v>
      </c>
      <c r="J291" s="68">
        <v>0</v>
      </c>
      <c r="K291" s="49">
        <f t="shared" ref="K291:K293" ca="1" si="67">IF(I291&gt;0,J291*100/I291,0)</f>
        <v>0</v>
      </c>
      <c r="L291" s="61"/>
      <c r="M291" s="61"/>
      <c r="N291" s="61"/>
    </row>
    <row r="292" spans="1:14" ht="21.75" customHeight="1" x14ac:dyDescent="0.4">
      <c r="A292" s="55"/>
      <c r="B292" s="56"/>
      <c r="C292" s="56"/>
      <c r="D292" s="73"/>
      <c r="E292" s="77"/>
      <c r="F292" s="75"/>
      <c r="G292" s="76" t="s">
        <v>34</v>
      </c>
      <c r="H292" s="66" t="s">
        <v>103</v>
      </c>
      <c r="I292" s="67">
        <f ca="1">IFERROR(__xludf.DUMMYFUNCTION("IMPORTRANGE(""https://docs.google.com/spreadsheets/d/1C3CXT74ZlgGe6_JY_1olB1XN4rF0dxEuIIF-xsYjHgg/edit?usp=sharing"",""งบกองทุน!w30"")"),1000)</f>
        <v>1000</v>
      </c>
      <c r="J292" s="68">
        <v>0</v>
      </c>
      <c r="K292" s="49">
        <f t="shared" ca="1" si="67"/>
        <v>0</v>
      </c>
      <c r="L292" s="61"/>
      <c r="M292" s="61"/>
      <c r="N292" s="61"/>
    </row>
    <row r="293" spans="1:14" ht="21.75" customHeight="1" x14ac:dyDescent="0.4">
      <c r="A293" s="55"/>
      <c r="B293" s="56"/>
      <c r="C293" s="56"/>
      <c r="D293" s="73"/>
      <c r="E293" s="77"/>
      <c r="F293" s="75"/>
      <c r="G293" s="76"/>
      <c r="H293" s="66" t="s">
        <v>16</v>
      </c>
      <c r="I293" s="67">
        <f ca="1">IFERROR(__xludf.DUMMYFUNCTION("IMPORTRANGE(""https://docs.google.com/spreadsheets/d/1C3CXT74ZlgGe6_JY_1olB1XN4rF0dxEuIIF-xsYjHgg/edit?usp=sharing"",""งบกองทุน!x30"")"),100)</f>
        <v>100</v>
      </c>
      <c r="J293" s="68">
        <v>0</v>
      </c>
      <c r="K293" s="49">
        <f t="shared" ca="1" si="67"/>
        <v>0</v>
      </c>
      <c r="L293" s="61"/>
      <c r="M293" s="61"/>
      <c r="N293" s="61"/>
    </row>
    <row r="294" spans="1:14" ht="21.75" customHeight="1" x14ac:dyDescent="0.4">
      <c r="A294" s="55"/>
      <c r="B294" s="56"/>
      <c r="C294" s="56"/>
      <c r="D294" s="73"/>
      <c r="E294" s="74" t="s">
        <v>35</v>
      </c>
      <c r="F294" s="75"/>
      <c r="G294" s="76"/>
      <c r="H294" s="66"/>
      <c r="I294" s="67"/>
      <c r="J294" s="68">
        <v>0</v>
      </c>
      <c r="K294" s="49"/>
      <c r="L294" s="61"/>
      <c r="M294" s="61"/>
      <c r="N294" s="61"/>
    </row>
    <row r="295" spans="1:14" ht="21.75" customHeight="1" x14ac:dyDescent="0.4">
      <c r="A295" s="55"/>
      <c r="B295" s="56"/>
      <c r="C295" s="56"/>
      <c r="D295" s="81">
        <v>3</v>
      </c>
      <c r="E295" s="82" t="s">
        <v>36</v>
      </c>
      <c r="F295" s="83"/>
      <c r="G295" s="84"/>
      <c r="H295" s="66"/>
      <c r="I295" s="67"/>
      <c r="J295" s="85">
        <v>0</v>
      </c>
      <c r="K295" s="49"/>
      <c r="L295" s="61"/>
      <c r="M295" s="61"/>
      <c r="N295" s="61"/>
    </row>
    <row r="296" spans="1:14" ht="21.75" customHeight="1" x14ac:dyDescent="0.4">
      <c r="A296" s="222"/>
      <c r="B296" s="223">
        <v>3</v>
      </c>
      <c r="C296" s="223" t="s">
        <v>128</v>
      </c>
      <c r="D296" s="224"/>
      <c r="E296" s="224"/>
      <c r="F296" s="224"/>
      <c r="G296" s="225"/>
      <c r="H296" s="226" t="s">
        <v>103</v>
      </c>
      <c r="I296" s="227">
        <f ca="1">SUM(I313,I317,I322)</f>
        <v>120</v>
      </c>
      <c r="J296" s="227">
        <f>J313+J317+J322</f>
        <v>0</v>
      </c>
      <c r="K296" s="228">
        <f t="shared" ref="K296:K297" ca="1" si="68">IF(I296&gt;0,J296*100/I296,0)</f>
        <v>0</v>
      </c>
      <c r="L296" s="229">
        <f t="shared" ref="L296:M296" ca="1" si="69">SUM(L298:L299)</f>
        <v>135020</v>
      </c>
      <c r="M296" s="229">
        <f t="shared" si="69"/>
        <v>0</v>
      </c>
      <c r="N296" s="229">
        <f ca="1">+IF(L296&gt;0,M296*100/L296,0)</f>
        <v>0</v>
      </c>
    </row>
    <row r="297" spans="1:14" ht="21.75" customHeight="1" x14ac:dyDescent="0.4">
      <c r="A297" s="222"/>
      <c r="B297" s="223"/>
      <c r="C297" s="223"/>
      <c r="D297" s="236"/>
      <c r="E297" s="236"/>
      <c r="F297" s="236"/>
      <c r="G297" s="239"/>
      <c r="H297" s="226" t="s">
        <v>16</v>
      </c>
      <c r="I297" s="227">
        <f ca="1">SUM(I312,I316,I321)</f>
        <v>40</v>
      </c>
      <c r="J297" s="227">
        <f ca="1">J311</f>
        <v>0</v>
      </c>
      <c r="K297" s="228">
        <f t="shared" ca="1" si="68"/>
        <v>0</v>
      </c>
      <c r="L297" s="229"/>
      <c r="M297" s="229"/>
      <c r="N297" s="229"/>
    </row>
    <row r="298" spans="1:14" ht="21.75" customHeight="1" x14ac:dyDescent="0.4">
      <c r="A298" s="42"/>
      <c r="B298" s="43"/>
      <c r="C298" s="43" t="s">
        <v>17</v>
      </c>
      <c r="D298" s="44" t="s">
        <v>18</v>
      </c>
      <c r="E298" s="45"/>
      <c r="F298" s="45"/>
      <c r="G298" s="46" t="s">
        <v>19</v>
      </c>
      <c r="H298" s="47" t="s">
        <v>20</v>
      </c>
      <c r="I298" s="48" t="s">
        <v>21</v>
      </c>
      <c r="J298" s="48"/>
      <c r="K298" s="49"/>
      <c r="L298" s="50">
        <v>0</v>
      </c>
      <c r="M298" s="53">
        <v>0</v>
      </c>
      <c r="N298" s="53">
        <f t="shared" ref="N298:N301" si="70">+IF(L298&gt;0,M298*100/L298,0)</f>
        <v>0</v>
      </c>
    </row>
    <row r="299" spans="1:14" ht="21.75" customHeight="1" x14ac:dyDescent="0.4">
      <c r="A299" s="42"/>
      <c r="B299" s="43"/>
      <c r="C299" s="43"/>
      <c r="D299" s="51"/>
      <c r="E299" s="45"/>
      <c r="F299" s="45" t="s">
        <v>21</v>
      </c>
      <c r="G299" s="46" t="s">
        <v>22</v>
      </c>
      <c r="H299" s="47" t="s">
        <v>20</v>
      </c>
      <c r="I299" s="48"/>
      <c r="J299" s="48"/>
      <c r="K299" s="49"/>
      <c r="L299" s="50">
        <f t="shared" ref="L299:M299" ca="1" si="71">SUM(L300:L301)</f>
        <v>135020</v>
      </c>
      <c r="M299" s="53">
        <f t="shared" si="71"/>
        <v>0</v>
      </c>
      <c r="N299" s="53">
        <f t="shared" ca="1" si="70"/>
        <v>0</v>
      </c>
    </row>
    <row r="300" spans="1:14" ht="21.75" customHeight="1" x14ac:dyDescent="0.4">
      <c r="A300" s="42"/>
      <c r="B300" s="43"/>
      <c r="C300" s="43"/>
      <c r="D300" s="51"/>
      <c r="E300" s="45"/>
      <c r="F300" s="45"/>
      <c r="G300" s="52" t="s">
        <v>110</v>
      </c>
      <c r="H300" s="47" t="s">
        <v>20</v>
      </c>
      <c r="I300" s="48"/>
      <c r="J300" s="48"/>
      <c r="K300" s="49"/>
      <c r="L300" s="53">
        <f ca="1">IFERROR(__xludf.DUMMYFUNCTION("IMPORTRANGE(""https://docs.google.com/spreadsheets/d/1C3CXT74ZlgGe6_JY_1olB1XN4rF0dxEuIIF-xsYjHgg/edit?usp=sharing"",""งบกองทุน!z30"")"),0)</f>
        <v>0</v>
      </c>
      <c r="M300" s="53">
        <v>0</v>
      </c>
      <c r="N300" s="53">
        <f t="shared" ca="1" si="70"/>
        <v>0</v>
      </c>
    </row>
    <row r="301" spans="1:14" ht="21.75" customHeight="1" x14ac:dyDescent="0.4">
      <c r="A301" s="42"/>
      <c r="B301" s="43"/>
      <c r="C301" s="43"/>
      <c r="D301" s="51"/>
      <c r="E301" s="45"/>
      <c r="F301" s="45"/>
      <c r="G301" s="52" t="s">
        <v>111</v>
      </c>
      <c r="H301" s="47" t="s">
        <v>20</v>
      </c>
      <c r="I301" s="48"/>
      <c r="J301" s="48"/>
      <c r="K301" s="49"/>
      <c r="L301" s="53">
        <f ca="1">IFERROR(__xludf.DUMMYFUNCTION("IMPORTRANGE(""https://docs.google.com/spreadsheets/d/1C3CXT74ZlgGe6_JY_1olB1XN4rF0dxEuIIF-xsYjHgg/edit?usp=sharing"",""งบกองทุน!aa30"")"),135020)</f>
        <v>135020</v>
      </c>
      <c r="M301" s="53">
        <f>SUM(M302:M305)</f>
        <v>0</v>
      </c>
      <c r="N301" s="53">
        <f t="shared" ca="1" si="70"/>
        <v>0</v>
      </c>
    </row>
    <row r="302" spans="1:14" ht="21.75" customHeight="1" x14ac:dyDescent="0.4">
      <c r="A302" s="230"/>
      <c r="B302" s="231"/>
      <c r="C302" s="43"/>
      <c r="D302" s="232"/>
      <c r="E302" s="45"/>
      <c r="F302" s="45"/>
      <c r="G302" s="46" t="s">
        <v>112</v>
      </c>
      <c r="H302" s="47" t="s">
        <v>20</v>
      </c>
      <c r="I302" s="67"/>
      <c r="J302" s="67"/>
      <c r="K302" s="233"/>
      <c r="L302" s="53"/>
      <c r="M302" s="54">
        <v>0</v>
      </c>
      <c r="N302" s="53"/>
    </row>
    <row r="303" spans="1:14" ht="21.75" customHeight="1" x14ac:dyDescent="0.4">
      <c r="A303" s="230"/>
      <c r="B303" s="231"/>
      <c r="C303" s="43"/>
      <c r="D303" s="232"/>
      <c r="E303" s="45"/>
      <c r="F303" s="45"/>
      <c r="G303" s="46" t="s">
        <v>113</v>
      </c>
      <c r="H303" s="47" t="s">
        <v>20</v>
      </c>
      <c r="I303" s="67"/>
      <c r="J303" s="67"/>
      <c r="K303" s="233"/>
      <c r="L303" s="53"/>
      <c r="M303" s="54">
        <v>0</v>
      </c>
      <c r="N303" s="53"/>
    </row>
    <row r="304" spans="1:14" ht="21.75" customHeight="1" x14ac:dyDescent="0.4">
      <c r="A304" s="230"/>
      <c r="B304" s="231"/>
      <c r="C304" s="43"/>
      <c r="D304" s="232"/>
      <c r="E304" s="45"/>
      <c r="F304" s="45"/>
      <c r="G304" s="46" t="s">
        <v>114</v>
      </c>
      <c r="H304" s="47" t="s">
        <v>20</v>
      </c>
      <c r="I304" s="67"/>
      <c r="J304" s="67"/>
      <c r="K304" s="233"/>
      <c r="L304" s="53"/>
      <c r="M304" s="54">
        <v>0</v>
      </c>
      <c r="N304" s="53"/>
    </row>
    <row r="305" spans="1:14" ht="21.75" customHeight="1" x14ac:dyDescent="0.4">
      <c r="A305" s="230"/>
      <c r="B305" s="231"/>
      <c r="C305" s="43"/>
      <c r="D305" s="232"/>
      <c r="E305" s="45"/>
      <c r="F305" s="45"/>
      <c r="G305" s="46" t="s">
        <v>115</v>
      </c>
      <c r="H305" s="47" t="s">
        <v>20</v>
      </c>
      <c r="I305" s="67"/>
      <c r="J305" s="67"/>
      <c r="K305" s="233"/>
      <c r="L305" s="53"/>
      <c r="M305" s="54">
        <v>0</v>
      </c>
      <c r="N305" s="53"/>
    </row>
    <row r="306" spans="1:14" ht="21.75" customHeight="1" x14ac:dyDescent="0.4">
      <c r="A306" s="55"/>
      <c r="B306" s="56"/>
      <c r="C306" s="43" t="s">
        <v>17</v>
      </c>
      <c r="D306" s="57" t="s">
        <v>25</v>
      </c>
      <c r="E306" s="58"/>
      <c r="F306" s="58"/>
      <c r="G306" s="59"/>
      <c r="H306" s="60"/>
      <c r="I306" s="48"/>
      <c r="J306" s="48"/>
      <c r="K306" s="49"/>
      <c r="L306" s="61"/>
      <c r="M306" s="61"/>
      <c r="N306" s="61"/>
    </row>
    <row r="307" spans="1:14" ht="21.75" customHeight="1" x14ac:dyDescent="0.4">
      <c r="A307" s="55"/>
      <c r="B307" s="56"/>
      <c r="C307" s="56"/>
      <c r="D307" s="62">
        <v>1</v>
      </c>
      <c r="E307" s="63" t="s">
        <v>26</v>
      </c>
      <c r="F307" s="64"/>
      <c r="G307" s="65"/>
      <c r="H307" s="66"/>
      <c r="I307" s="67"/>
      <c r="J307" s="68">
        <v>0</v>
      </c>
      <c r="K307" s="49"/>
      <c r="L307" s="61"/>
      <c r="M307" s="61"/>
      <c r="N307" s="61"/>
    </row>
    <row r="308" spans="1:14" ht="21.75" customHeight="1" x14ac:dyDescent="0.4">
      <c r="A308" s="55"/>
      <c r="B308" s="56"/>
      <c r="C308" s="56"/>
      <c r="D308" s="69">
        <v>2</v>
      </c>
      <c r="E308" s="70" t="s">
        <v>27</v>
      </c>
      <c r="F308" s="71"/>
      <c r="G308" s="72"/>
      <c r="H308" s="66"/>
      <c r="I308" s="67"/>
      <c r="J308" s="68">
        <v>1</v>
      </c>
      <c r="K308" s="49"/>
      <c r="L308" s="61" t="s">
        <v>21</v>
      </c>
      <c r="M308" s="61" t="s">
        <v>21</v>
      </c>
      <c r="N308" s="61"/>
    </row>
    <row r="309" spans="1:14" ht="21.75" customHeight="1" x14ac:dyDescent="0.4">
      <c r="A309" s="55"/>
      <c r="B309" s="56"/>
      <c r="C309" s="56"/>
      <c r="D309" s="73"/>
      <c r="E309" s="74" t="s">
        <v>28</v>
      </c>
      <c r="F309" s="75"/>
      <c r="G309" s="76"/>
      <c r="H309" s="66"/>
      <c r="I309" s="67"/>
      <c r="J309" s="68">
        <v>1</v>
      </c>
      <c r="K309" s="49"/>
      <c r="L309" s="61"/>
      <c r="M309" s="61"/>
      <c r="N309" s="61"/>
    </row>
    <row r="310" spans="1:14" ht="21.75" customHeight="1" x14ac:dyDescent="0.4">
      <c r="A310" s="55"/>
      <c r="B310" s="56"/>
      <c r="C310" s="56"/>
      <c r="D310" s="73"/>
      <c r="E310" s="74" t="s">
        <v>29</v>
      </c>
      <c r="F310" s="75"/>
      <c r="G310" s="76"/>
      <c r="H310" s="66"/>
      <c r="I310" s="67"/>
      <c r="J310" s="68">
        <v>1</v>
      </c>
      <c r="K310" s="49"/>
      <c r="L310" s="61"/>
      <c r="M310" s="61"/>
      <c r="N310" s="61"/>
    </row>
    <row r="311" spans="1:14" ht="21.75" customHeight="1" x14ac:dyDescent="0.4">
      <c r="A311" s="55"/>
      <c r="B311" s="56"/>
      <c r="C311" s="56"/>
      <c r="D311" s="73"/>
      <c r="E311" s="77"/>
      <c r="F311" s="74" t="s">
        <v>50</v>
      </c>
      <c r="G311" s="240"/>
      <c r="H311" s="241" t="s">
        <v>16</v>
      </c>
      <c r="I311" s="79">
        <f t="shared" ref="I311:J311" ca="1" si="72">+I312+I316+I321</f>
        <v>40</v>
      </c>
      <c r="J311" s="79">
        <f t="shared" ca="1" si="72"/>
        <v>0</v>
      </c>
      <c r="K311" s="80">
        <f t="shared" ref="K311:K327" ca="1" si="73">IF(I311&gt;0,J311*100/I311,0)</f>
        <v>0</v>
      </c>
      <c r="L311" s="61"/>
      <c r="M311" s="61"/>
      <c r="N311" s="61"/>
    </row>
    <row r="312" spans="1:14" ht="21.75" customHeight="1" x14ac:dyDescent="0.4">
      <c r="A312" s="55"/>
      <c r="B312" s="56"/>
      <c r="C312" s="56"/>
      <c r="D312" s="73"/>
      <c r="E312" s="77"/>
      <c r="F312" s="242" t="s">
        <v>129</v>
      </c>
      <c r="G312" s="76"/>
      <c r="H312" s="78" t="s">
        <v>16</v>
      </c>
      <c r="I312" s="243">
        <f ca="1">IFERROR(__xludf.DUMMYFUNCTION("IMPORTRANGE(""https://docs.google.com/spreadsheets/d/1C3CXT74ZlgGe6_JY_1olB1XN4rF0dxEuIIF-xsYjHgg/edit?usp=sharing"",""งบกองทุน!ae30"")"),10)</f>
        <v>10</v>
      </c>
      <c r="J312" s="79">
        <f ca="1">IF(AND(J314=I314,J315=I315),I314,0)</f>
        <v>0</v>
      </c>
      <c r="K312" s="80">
        <f t="shared" ca="1" si="73"/>
        <v>0</v>
      </c>
      <c r="L312" s="61"/>
      <c r="M312" s="61"/>
      <c r="N312" s="61"/>
    </row>
    <row r="313" spans="1:14" ht="21.75" customHeight="1" x14ac:dyDescent="0.4">
      <c r="A313" s="55"/>
      <c r="B313" s="56"/>
      <c r="C313" s="56"/>
      <c r="D313" s="73"/>
      <c r="E313" s="77"/>
      <c r="F313" s="75"/>
      <c r="G313" s="76"/>
      <c r="H313" s="78" t="s">
        <v>103</v>
      </c>
      <c r="I313" s="243">
        <f ca="1">IFERROR(__xludf.DUMMYFUNCTION("IMPORTRANGE(""https://docs.google.com/spreadsheets/d/1C3CXT74ZlgGe6_JY_1olB1XN4rF0dxEuIIF-xsYjHgg/edit?usp=sharing"",""งบกองทุน!ad30"")"),30)</f>
        <v>30</v>
      </c>
      <c r="J313" s="154">
        <v>0</v>
      </c>
      <c r="K313" s="80">
        <f t="shared" ca="1" si="73"/>
        <v>0</v>
      </c>
      <c r="L313" s="61"/>
      <c r="M313" s="61"/>
      <c r="N313" s="61"/>
    </row>
    <row r="314" spans="1:14" ht="21.75" customHeight="1" x14ac:dyDescent="0.4">
      <c r="A314" s="55"/>
      <c r="B314" s="56"/>
      <c r="C314" s="56"/>
      <c r="D314" s="73"/>
      <c r="E314" s="77"/>
      <c r="F314" s="75"/>
      <c r="G314" s="99" t="s">
        <v>130</v>
      </c>
      <c r="H314" s="60" t="s">
        <v>16</v>
      </c>
      <c r="I314" s="200">
        <f ca="1">IFERROR(__xludf.DUMMYFUNCTION("IMPORTRANGE(""https://docs.google.com/spreadsheets/d/1C3CXT74ZlgGe6_JY_1olB1XN4rF0dxEuIIF-xsYjHgg/edit?usp=sharing"",""งบกองทุน!af30"")"),10)</f>
        <v>10</v>
      </c>
      <c r="J314" s="68">
        <v>0</v>
      </c>
      <c r="K314" s="49">
        <f t="shared" ca="1" si="73"/>
        <v>0</v>
      </c>
      <c r="L314" s="61"/>
      <c r="M314" s="61"/>
      <c r="N314" s="61"/>
    </row>
    <row r="315" spans="1:14" ht="21.75" customHeight="1" x14ac:dyDescent="0.4">
      <c r="A315" s="105"/>
      <c r="B315" s="106"/>
      <c r="C315" s="106"/>
      <c r="D315" s="244"/>
      <c r="E315" s="245"/>
      <c r="F315" s="204"/>
      <c r="G315" s="246" t="s">
        <v>131</v>
      </c>
      <c r="H315" s="206" t="s">
        <v>16</v>
      </c>
      <c r="I315" s="207">
        <f ca="1">IFERROR(__xludf.DUMMYFUNCTION("IMPORTRANGE(""https://docs.google.com/spreadsheets/d/1C3CXT74ZlgGe6_JY_1olB1XN4rF0dxEuIIF-xsYjHgg/edit?usp=sharing"",""งบกองทุน!ag30"")"),10)</f>
        <v>10</v>
      </c>
      <c r="J315" s="247">
        <v>0</v>
      </c>
      <c r="K315" s="114">
        <f t="shared" ca="1" si="73"/>
        <v>0</v>
      </c>
      <c r="L315" s="115"/>
      <c r="M315" s="115"/>
      <c r="N315" s="115"/>
    </row>
    <row r="316" spans="1:14" ht="21.75" customHeight="1" x14ac:dyDescent="0.4">
      <c r="A316" s="55"/>
      <c r="B316" s="56"/>
      <c r="C316" s="56"/>
      <c r="D316" s="73"/>
      <c r="E316" s="77"/>
      <c r="F316" s="242" t="s">
        <v>132</v>
      </c>
      <c r="G316" s="76"/>
      <c r="H316" s="78" t="s">
        <v>16</v>
      </c>
      <c r="I316" s="243">
        <f ca="1">IFERROR(__xludf.DUMMYFUNCTION("IMPORTRANGE(""https://docs.google.com/spreadsheets/d/1C3CXT74ZlgGe6_JY_1olB1XN4rF0dxEuIIF-xsYjHgg/edit?usp=sharing"",""งบกองทุน!ai30"")"),14)</f>
        <v>14</v>
      </c>
      <c r="J316" s="79">
        <f ca="1">IF(AND(J318=I318,J319=I319,J320=I320),I318,0)</f>
        <v>0</v>
      </c>
      <c r="K316" s="80">
        <f t="shared" ca="1" si="73"/>
        <v>0</v>
      </c>
      <c r="L316" s="61"/>
      <c r="M316" s="61"/>
      <c r="N316" s="61"/>
    </row>
    <row r="317" spans="1:14" ht="21.75" customHeight="1" x14ac:dyDescent="0.4">
      <c r="A317" s="55"/>
      <c r="B317" s="56"/>
      <c r="C317" s="56"/>
      <c r="D317" s="73"/>
      <c r="E317" s="77"/>
      <c r="F317" s="75"/>
      <c r="G317" s="76"/>
      <c r="H317" s="78" t="s">
        <v>103</v>
      </c>
      <c r="I317" s="243">
        <f ca="1">IFERROR(__xludf.DUMMYFUNCTION("IMPORTRANGE(""https://docs.google.com/spreadsheets/d/1C3CXT74ZlgGe6_JY_1olB1XN4rF0dxEuIIF-xsYjHgg/edit?usp=sharing"",""งบกองทุน!ah30"")"),42)</f>
        <v>42</v>
      </c>
      <c r="J317" s="154">
        <v>0</v>
      </c>
      <c r="K317" s="80">
        <f t="shared" ca="1" si="73"/>
        <v>0</v>
      </c>
      <c r="L317" s="61"/>
      <c r="M317" s="61"/>
      <c r="N317" s="61"/>
    </row>
    <row r="318" spans="1:14" ht="21.75" customHeight="1" x14ac:dyDescent="0.4">
      <c r="A318" s="55"/>
      <c r="B318" s="56"/>
      <c r="C318" s="56"/>
      <c r="D318" s="73"/>
      <c r="E318" s="77"/>
      <c r="F318" s="75"/>
      <c r="G318" s="99" t="s">
        <v>133</v>
      </c>
      <c r="H318" s="60" t="s">
        <v>16</v>
      </c>
      <c r="I318" s="200">
        <f ca="1">IFERROR(__xludf.DUMMYFUNCTION("IMPORTRANGE(""https://docs.google.com/spreadsheets/d/1C3CXT74ZlgGe6_JY_1olB1XN4rF0dxEuIIF-xsYjHgg/edit?usp=sharing"",""งบกองทุน!aj30"")"),14)</f>
        <v>14</v>
      </c>
      <c r="J318" s="68">
        <v>0</v>
      </c>
      <c r="K318" s="49">
        <f t="shared" ca="1" si="73"/>
        <v>0</v>
      </c>
      <c r="L318" s="61"/>
      <c r="M318" s="61"/>
      <c r="N318" s="61"/>
    </row>
    <row r="319" spans="1:14" ht="21.75" customHeight="1" x14ac:dyDescent="0.4">
      <c r="A319" s="55"/>
      <c r="B319" s="56"/>
      <c r="C319" s="56"/>
      <c r="D319" s="73"/>
      <c r="E319" s="77"/>
      <c r="F319" s="75"/>
      <c r="G319" s="99" t="s">
        <v>134</v>
      </c>
      <c r="H319" s="60" t="s">
        <v>16</v>
      </c>
      <c r="I319" s="200">
        <f ca="1">IFERROR(__xludf.DUMMYFUNCTION("IMPORTRANGE(""https://docs.google.com/spreadsheets/d/1C3CXT74ZlgGe6_JY_1olB1XN4rF0dxEuIIF-xsYjHgg/edit?usp=sharing"",""งบกองทุน!ak30"")"),14)</f>
        <v>14</v>
      </c>
      <c r="J319" s="68">
        <v>0</v>
      </c>
      <c r="K319" s="49">
        <f t="shared" ca="1" si="73"/>
        <v>0</v>
      </c>
      <c r="L319" s="61"/>
      <c r="M319" s="61"/>
      <c r="N319" s="61"/>
    </row>
    <row r="320" spans="1:14" ht="21.75" customHeight="1" x14ac:dyDescent="0.4">
      <c r="A320" s="55"/>
      <c r="B320" s="56"/>
      <c r="C320" s="56"/>
      <c r="D320" s="73"/>
      <c r="E320" s="77"/>
      <c r="F320" s="75"/>
      <c r="G320" s="99" t="s">
        <v>135</v>
      </c>
      <c r="H320" s="60" t="s">
        <v>16</v>
      </c>
      <c r="I320" s="200">
        <f ca="1">IFERROR(__xludf.DUMMYFUNCTION("IMPORTRANGE(""https://docs.google.com/spreadsheets/d/1C3CXT74ZlgGe6_JY_1olB1XN4rF0dxEuIIF-xsYjHgg/edit?usp=sharing"",""งบกองทุน!al30"")"),14)</f>
        <v>14</v>
      </c>
      <c r="J320" s="68">
        <v>0</v>
      </c>
      <c r="K320" s="49">
        <f t="shared" ca="1" si="73"/>
        <v>0</v>
      </c>
      <c r="L320" s="61"/>
      <c r="M320" s="61"/>
      <c r="N320" s="61"/>
    </row>
    <row r="321" spans="1:14" ht="21.75" customHeight="1" x14ac:dyDescent="0.4">
      <c r="A321" s="55"/>
      <c r="B321" s="56"/>
      <c r="C321" s="56"/>
      <c r="D321" s="73"/>
      <c r="E321" s="77"/>
      <c r="F321" s="242" t="s">
        <v>136</v>
      </c>
      <c r="G321" s="76"/>
      <c r="H321" s="78" t="s">
        <v>16</v>
      </c>
      <c r="I321" s="243">
        <f ca="1">IFERROR(__xludf.DUMMYFUNCTION("IMPORTRANGE(""https://docs.google.com/spreadsheets/d/1C3CXT74ZlgGe6_JY_1olB1XN4rF0dxEuIIF-xsYjHgg/edit?usp=sharing"",""งบกองทุน!an30"")"),16)</f>
        <v>16</v>
      </c>
      <c r="J321" s="79">
        <f ca="1">IF(AND(J323=I323,J324=I324),I323,0)</f>
        <v>0</v>
      </c>
      <c r="K321" s="80">
        <f t="shared" ca="1" si="73"/>
        <v>0</v>
      </c>
      <c r="L321" s="61"/>
      <c r="M321" s="61"/>
      <c r="N321" s="61"/>
    </row>
    <row r="322" spans="1:14" ht="21.75" customHeight="1" x14ac:dyDescent="0.4">
      <c r="A322" s="55"/>
      <c r="B322" s="56"/>
      <c r="C322" s="56"/>
      <c r="D322" s="73"/>
      <c r="E322" s="77"/>
      <c r="F322" s="75"/>
      <c r="G322" s="76"/>
      <c r="H322" s="78" t="s">
        <v>103</v>
      </c>
      <c r="I322" s="243">
        <f ca="1">IFERROR(__xludf.DUMMYFUNCTION("IMPORTRANGE(""https://docs.google.com/spreadsheets/d/1C3CXT74ZlgGe6_JY_1olB1XN4rF0dxEuIIF-xsYjHgg/edit?usp=sharing"",""งบกองทุน!am30"")"),48)</f>
        <v>48</v>
      </c>
      <c r="J322" s="154">
        <v>0</v>
      </c>
      <c r="K322" s="80">
        <f t="shared" ca="1" si="73"/>
        <v>0</v>
      </c>
      <c r="L322" s="61"/>
      <c r="M322" s="61"/>
      <c r="N322" s="61"/>
    </row>
    <row r="323" spans="1:14" ht="21.75" customHeight="1" x14ac:dyDescent="0.4">
      <c r="A323" s="55"/>
      <c r="B323" s="56"/>
      <c r="C323" s="56"/>
      <c r="D323" s="73"/>
      <c r="E323" s="77"/>
      <c r="F323" s="75"/>
      <c r="G323" s="99" t="s">
        <v>137</v>
      </c>
      <c r="H323" s="60" t="s">
        <v>16</v>
      </c>
      <c r="I323" s="248">
        <f ca="1">IFERROR(__xludf.DUMMYFUNCTION("IMPORTRANGE(""https://docs.google.com/spreadsheets/d/1C3CXT74ZlgGe6_JY_1olB1XN4rF0dxEuIIF-xsYjHgg/edit?usp=sharing"",""งบกองทุน!ao30"")"),16)</f>
        <v>16</v>
      </c>
      <c r="J323" s="68">
        <v>0</v>
      </c>
      <c r="K323" s="49">
        <f t="shared" ca="1" si="73"/>
        <v>0</v>
      </c>
      <c r="L323" s="61"/>
      <c r="M323" s="61"/>
      <c r="N323" s="61"/>
    </row>
    <row r="324" spans="1:14" ht="21.75" customHeight="1" x14ac:dyDescent="0.4">
      <c r="A324" s="55"/>
      <c r="B324" s="56"/>
      <c r="C324" s="56"/>
      <c r="D324" s="73"/>
      <c r="E324" s="77"/>
      <c r="F324" s="75"/>
      <c r="G324" s="99" t="s">
        <v>138</v>
      </c>
      <c r="H324" s="60" t="s">
        <v>16</v>
      </c>
      <c r="I324" s="248">
        <f ca="1">IFERROR(__xludf.DUMMYFUNCTION("IMPORTRANGE(""https://docs.google.com/spreadsheets/d/1C3CXT74ZlgGe6_JY_1olB1XN4rF0dxEuIIF-xsYjHgg/edit?usp=sharing"",""งบกองทุน!ap30"")"),16)</f>
        <v>16</v>
      </c>
      <c r="J324" s="68">
        <v>0</v>
      </c>
      <c r="K324" s="49">
        <f t="shared" ca="1" si="73"/>
        <v>0</v>
      </c>
      <c r="L324" s="61"/>
      <c r="M324" s="61"/>
      <c r="N324" s="61"/>
    </row>
    <row r="325" spans="1:14" ht="21.75" customHeight="1" x14ac:dyDescent="0.4">
      <c r="A325" s="55"/>
      <c r="B325" s="56"/>
      <c r="C325" s="56"/>
      <c r="D325" s="73"/>
      <c r="E325" s="77"/>
      <c r="F325" s="74" t="s">
        <v>34</v>
      </c>
      <c r="G325" s="240"/>
      <c r="H325" s="241" t="s">
        <v>16</v>
      </c>
      <c r="I325" s="79">
        <f ca="1">SUM(I326,I327)</f>
        <v>24</v>
      </c>
      <c r="J325" s="79">
        <f ca="1">IF(AND(J326=I326,J327=I327),I325,0)</f>
        <v>0</v>
      </c>
      <c r="K325" s="80">
        <f t="shared" ca="1" si="73"/>
        <v>0</v>
      </c>
      <c r="L325" s="61"/>
      <c r="M325" s="61"/>
      <c r="N325" s="61"/>
    </row>
    <row r="326" spans="1:14" ht="21.75" customHeight="1" x14ac:dyDescent="0.4">
      <c r="A326" s="249"/>
      <c r="B326" s="250"/>
      <c r="C326" s="250"/>
      <c r="D326" s="251"/>
      <c r="E326" s="77"/>
      <c r="F326" s="75"/>
      <c r="G326" s="99" t="s">
        <v>139</v>
      </c>
      <c r="H326" s="60" t="s">
        <v>16</v>
      </c>
      <c r="I326" s="248">
        <f ca="1">IFERROR(__xludf.DUMMYFUNCTION("IMPORTRANGE(""https://docs.google.com/spreadsheets/d/1C3CXT74ZlgGe6_JY_1olB1XN4rF0dxEuIIF-xsYjHgg/edit?usp=sharing"",""งบกองทุน!ar30"")"),10)</f>
        <v>10</v>
      </c>
      <c r="J326" s="68">
        <v>0</v>
      </c>
      <c r="K326" s="49">
        <f t="shared" ca="1" si="73"/>
        <v>0</v>
      </c>
      <c r="L326" s="61"/>
      <c r="M326" s="61"/>
      <c r="N326" s="61"/>
    </row>
    <row r="327" spans="1:14" ht="21.75" customHeight="1" x14ac:dyDescent="0.4">
      <c r="A327" s="249"/>
      <c r="B327" s="250"/>
      <c r="C327" s="250"/>
      <c r="D327" s="251"/>
      <c r="E327" s="77"/>
      <c r="F327" s="75"/>
      <c r="G327" s="99" t="s">
        <v>140</v>
      </c>
      <c r="H327" s="60" t="s">
        <v>16</v>
      </c>
      <c r="I327" s="248">
        <f ca="1">IFERROR(__xludf.DUMMYFUNCTION("IMPORTRANGE(""https://docs.google.com/spreadsheets/d/1C3CXT74ZlgGe6_JY_1olB1XN4rF0dxEuIIF-xsYjHgg/edit?usp=sharing"",""งบกองทุน!as30"")"),14)</f>
        <v>14</v>
      </c>
      <c r="J327" s="68">
        <v>0</v>
      </c>
      <c r="K327" s="49">
        <f t="shared" ca="1" si="73"/>
        <v>0</v>
      </c>
      <c r="L327" s="61"/>
      <c r="M327" s="61"/>
      <c r="N327" s="61"/>
    </row>
    <row r="328" spans="1:14" ht="21.75" customHeight="1" x14ac:dyDescent="0.4">
      <c r="A328" s="55"/>
      <c r="B328" s="56"/>
      <c r="C328" s="56"/>
      <c r="D328" s="73"/>
      <c r="E328" s="74" t="s">
        <v>35</v>
      </c>
      <c r="F328" s="75"/>
      <c r="G328" s="76"/>
      <c r="H328" s="66"/>
      <c r="I328" s="67"/>
      <c r="J328" s="68">
        <v>0</v>
      </c>
      <c r="K328" s="49"/>
      <c r="L328" s="61"/>
      <c r="M328" s="61"/>
      <c r="N328" s="61"/>
    </row>
    <row r="329" spans="1:14" ht="21.75" customHeight="1" x14ac:dyDescent="0.4">
      <c r="A329" s="55"/>
      <c r="B329" s="56"/>
      <c r="C329" s="56"/>
      <c r="D329" s="81">
        <v>3</v>
      </c>
      <c r="E329" s="82" t="s">
        <v>36</v>
      </c>
      <c r="F329" s="83"/>
      <c r="G329" s="84"/>
      <c r="H329" s="66"/>
      <c r="I329" s="67"/>
      <c r="J329" s="85">
        <v>0</v>
      </c>
      <c r="K329" s="49"/>
      <c r="L329" s="61"/>
      <c r="M329" s="61"/>
      <c r="N329" s="61"/>
    </row>
    <row r="330" spans="1:14" ht="21.75" customHeight="1" x14ac:dyDescent="0.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20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95000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4">
      <c r="A331" s="42"/>
      <c r="B331" s="43"/>
      <c r="C331" s="43" t="s">
        <v>17</v>
      </c>
      <c r="D331" s="44" t="s">
        <v>18</v>
      </c>
      <c r="E331" s="45"/>
      <c r="F331" s="45"/>
      <c r="G331" s="46" t="s">
        <v>19</v>
      </c>
      <c r="H331" s="47" t="s">
        <v>20</v>
      </c>
      <c r="I331" s="48" t="s">
        <v>21</v>
      </c>
      <c r="J331" s="48"/>
      <c r="K331" s="49"/>
      <c r="L331" s="50">
        <v>0</v>
      </c>
      <c r="M331" s="53">
        <v>0</v>
      </c>
      <c r="N331" s="53">
        <f t="shared" si="75"/>
        <v>0</v>
      </c>
    </row>
    <row r="332" spans="1:14" ht="21.75" customHeight="1" x14ac:dyDescent="0.4">
      <c r="A332" s="42"/>
      <c r="B332" s="43"/>
      <c r="C332" s="43"/>
      <c r="D332" s="51"/>
      <c r="E332" s="45"/>
      <c r="F332" s="45" t="s">
        <v>21</v>
      </c>
      <c r="G332" s="46" t="s">
        <v>22</v>
      </c>
      <c r="H332" s="47" t="s">
        <v>20</v>
      </c>
      <c r="I332" s="48"/>
      <c r="J332" s="48"/>
      <c r="K332" s="49"/>
      <c r="L332" s="50">
        <f t="shared" ref="L332:M332" ca="1" si="76">SUM(L333:L334)</f>
        <v>95000</v>
      </c>
      <c r="M332" s="53">
        <f t="shared" si="76"/>
        <v>0</v>
      </c>
      <c r="N332" s="53">
        <f t="shared" ca="1" si="75"/>
        <v>0</v>
      </c>
    </row>
    <row r="333" spans="1:14" ht="21.75" customHeight="1" x14ac:dyDescent="0.4">
      <c r="A333" s="42"/>
      <c r="B333" s="43"/>
      <c r="C333" s="43"/>
      <c r="D333" s="51"/>
      <c r="E333" s="45"/>
      <c r="F333" s="45"/>
      <c r="G333" s="52" t="s">
        <v>110</v>
      </c>
      <c r="H333" s="47" t="s">
        <v>20</v>
      </c>
      <c r="I333" s="48"/>
      <c r="J333" s="48"/>
      <c r="K333" s="49"/>
      <c r="L333" s="53">
        <f ca="1">IFERROR(__xludf.DUMMYFUNCTION("IMPORTRANGE(""https://docs.google.com/spreadsheets/d/1C3CXT74ZlgGe6_JY_1olB1XN4rF0dxEuIIF-xsYjHgg/edit?usp=sharing"",""งบกองทุน!au30"")"),0)</f>
        <v>0</v>
      </c>
      <c r="M333" s="53">
        <v>0</v>
      </c>
      <c r="N333" s="53">
        <f t="shared" ca="1" si="75"/>
        <v>0</v>
      </c>
    </row>
    <row r="334" spans="1:14" ht="21.75" customHeight="1" x14ac:dyDescent="0.4">
      <c r="A334" s="42"/>
      <c r="B334" s="43"/>
      <c r="C334" s="43"/>
      <c r="D334" s="51"/>
      <c r="E334" s="45"/>
      <c r="F334" s="45"/>
      <c r="G334" s="52" t="s">
        <v>111</v>
      </c>
      <c r="H334" s="47" t="s">
        <v>20</v>
      </c>
      <c r="I334" s="48"/>
      <c r="J334" s="48"/>
      <c r="K334" s="49"/>
      <c r="L334" s="53">
        <f ca="1">IFERROR(__xludf.DUMMYFUNCTION("IMPORTRANGE(""https://docs.google.com/spreadsheets/d/1C3CXT74ZlgGe6_JY_1olB1XN4rF0dxEuIIF-xsYjHgg/edit?usp=sharing"",""งบกองทุน!av30"")"),95000)</f>
        <v>95000</v>
      </c>
      <c r="M334" s="53">
        <f>SUM(M335:M338)</f>
        <v>0</v>
      </c>
      <c r="N334" s="53">
        <f t="shared" ca="1" si="75"/>
        <v>0</v>
      </c>
    </row>
    <row r="335" spans="1:14" ht="21.75" customHeight="1" x14ac:dyDescent="0.4">
      <c r="A335" s="230"/>
      <c r="B335" s="231"/>
      <c r="C335" s="43"/>
      <c r="D335" s="232"/>
      <c r="E335" s="45"/>
      <c r="F335" s="45"/>
      <c r="G335" s="46" t="s">
        <v>112</v>
      </c>
      <c r="H335" s="47" t="s">
        <v>20</v>
      </c>
      <c r="I335" s="67"/>
      <c r="J335" s="67"/>
      <c r="K335" s="233"/>
      <c r="L335" s="53"/>
      <c r="M335" s="54">
        <v>0</v>
      </c>
      <c r="N335" s="53"/>
    </row>
    <row r="336" spans="1:14" ht="21.75" customHeight="1" x14ac:dyDescent="0.4">
      <c r="A336" s="230"/>
      <c r="B336" s="231"/>
      <c r="C336" s="43"/>
      <c r="D336" s="232"/>
      <c r="E336" s="45"/>
      <c r="F336" s="45"/>
      <c r="G336" s="46" t="s">
        <v>113</v>
      </c>
      <c r="H336" s="47" t="s">
        <v>20</v>
      </c>
      <c r="I336" s="67"/>
      <c r="J336" s="67"/>
      <c r="K336" s="233"/>
      <c r="L336" s="53"/>
      <c r="M336" s="54">
        <v>0</v>
      </c>
      <c r="N336" s="53"/>
    </row>
    <row r="337" spans="1:14" ht="21.75" customHeight="1" x14ac:dyDescent="0.4">
      <c r="A337" s="230"/>
      <c r="B337" s="231"/>
      <c r="C337" s="43"/>
      <c r="D337" s="232"/>
      <c r="E337" s="45"/>
      <c r="F337" s="45"/>
      <c r="G337" s="46" t="s">
        <v>114</v>
      </c>
      <c r="H337" s="47" t="s">
        <v>20</v>
      </c>
      <c r="I337" s="67"/>
      <c r="J337" s="67"/>
      <c r="K337" s="233"/>
      <c r="L337" s="53"/>
      <c r="M337" s="54">
        <v>0</v>
      </c>
      <c r="N337" s="53"/>
    </row>
    <row r="338" spans="1:14" ht="21.75" customHeight="1" x14ac:dyDescent="0.4">
      <c r="A338" s="230"/>
      <c r="B338" s="231"/>
      <c r="C338" s="43"/>
      <c r="D338" s="232"/>
      <c r="E338" s="45"/>
      <c r="F338" s="45"/>
      <c r="G338" s="46" t="s">
        <v>115</v>
      </c>
      <c r="H338" s="47" t="s">
        <v>20</v>
      </c>
      <c r="I338" s="67"/>
      <c r="J338" s="67"/>
      <c r="K338" s="233"/>
      <c r="L338" s="53"/>
      <c r="M338" s="54">
        <v>0</v>
      </c>
      <c r="N338" s="53"/>
    </row>
    <row r="339" spans="1:14" ht="21.75" customHeight="1" x14ac:dyDescent="0.4">
      <c r="A339" s="55"/>
      <c r="B339" s="56"/>
      <c r="C339" s="43" t="s">
        <v>17</v>
      </c>
      <c r="D339" s="57" t="s">
        <v>25</v>
      </c>
      <c r="E339" s="58"/>
      <c r="F339" s="58"/>
      <c r="G339" s="59"/>
      <c r="H339" s="60"/>
      <c r="I339" s="48"/>
      <c r="J339" s="48"/>
      <c r="K339" s="49"/>
      <c r="L339" s="61"/>
      <c r="M339" s="61"/>
      <c r="N339" s="61"/>
    </row>
    <row r="340" spans="1:14" ht="21.75" customHeight="1" x14ac:dyDescent="0.4">
      <c r="A340" s="55"/>
      <c r="B340" s="56"/>
      <c r="C340" s="56"/>
      <c r="D340" s="62">
        <v>1</v>
      </c>
      <c r="E340" s="63" t="s">
        <v>26</v>
      </c>
      <c r="F340" s="64"/>
      <c r="G340" s="65"/>
      <c r="H340" s="66"/>
      <c r="I340" s="67"/>
      <c r="J340" s="85">
        <v>0</v>
      </c>
      <c r="K340" s="49"/>
      <c r="L340" s="61"/>
      <c r="M340" s="61"/>
      <c r="N340" s="61"/>
    </row>
    <row r="341" spans="1:14" ht="21.75" customHeight="1" x14ac:dyDescent="0.4">
      <c r="A341" s="55"/>
      <c r="B341" s="56"/>
      <c r="C341" s="56"/>
      <c r="D341" s="69">
        <v>2</v>
      </c>
      <c r="E341" s="70" t="s">
        <v>27</v>
      </c>
      <c r="F341" s="71"/>
      <c r="G341" s="72"/>
      <c r="H341" s="66"/>
      <c r="I341" s="67"/>
      <c r="J341" s="85">
        <v>1</v>
      </c>
      <c r="K341" s="49"/>
      <c r="L341" s="61" t="s">
        <v>21</v>
      </c>
      <c r="M341" s="61" t="s">
        <v>21</v>
      </c>
      <c r="N341" s="61"/>
    </row>
    <row r="342" spans="1:14" ht="21.75" customHeight="1" x14ac:dyDescent="0.4">
      <c r="A342" s="55"/>
      <c r="B342" s="56"/>
      <c r="C342" s="56"/>
      <c r="D342" s="73"/>
      <c r="E342" s="74" t="s">
        <v>142</v>
      </c>
      <c r="F342" s="75"/>
      <c r="G342" s="76"/>
      <c r="H342" s="66"/>
      <c r="I342" s="67"/>
      <c r="J342" s="68">
        <v>1</v>
      </c>
      <c r="K342" s="49"/>
      <c r="L342" s="61"/>
      <c r="M342" s="61"/>
      <c r="N342" s="61"/>
    </row>
    <row r="343" spans="1:14" ht="21.75" customHeight="1" x14ac:dyDescent="0.4">
      <c r="A343" s="55"/>
      <c r="B343" s="56"/>
      <c r="C343" s="56"/>
      <c r="D343" s="73"/>
      <c r="E343" s="74" t="s">
        <v>29</v>
      </c>
      <c r="F343" s="75"/>
      <c r="G343" s="76"/>
      <c r="H343" s="66"/>
      <c r="I343" s="67"/>
      <c r="J343" s="68">
        <v>1</v>
      </c>
      <c r="K343" s="49"/>
      <c r="L343" s="61"/>
      <c r="M343" s="61"/>
      <c r="N343" s="61"/>
    </row>
    <row r="344" spans="1:14" ht="21.75" customHeight="1" x14ac:dyDescent="0.4">
      <c r="A344" s="55"/>
      <c r="B344" s="56"/>
      <c r="C344" s="56"/>
      <c r="D344" s="73"/>
      <c r="E344" s="77"/>
      <c r="F344" s="260" t="s">
        <v>82</v>
      </c>
      <c r="G344" s="76"/>
      <c r="H344" s="66" t="s">
        <v>16</v>
      </c>
      <c r="I344" s="243">
        <f t="shared" ref="I344:J344" ca="1" si="77">+I345+I346+I347</f>
        <v>20</v>
      </c>
      <c r="J344" s="79">
        <f t="shared" si="77"/>
        <v>0</v>
      </c>
      <c r="K344" s="49">
        <f t="shared" ref="K344:K347" ca="1" si="78">IF(I344&gt;0,J344*100/I344,0)</f>
        <v>0</v>
      </c>
      <c r="L344" s="61"/>
      <c r="M344" s="61"/>
      <c r="N344" s="61"/>
    </row>
    <row r="345" spans="1:14" ht="21.75" customHeight="1" x14ac:dyDescent="0.4">
      <c r="A345" s="55"/>
      <c r="B345" s="56"/>
      <c r="C345" s="56"/>
      <c r="D345" s="73"/>
      <c r="E345" s="77"/>
      <c r="F345" s="75"/>
      <c r="G345" s="99" t="s">
        <v>143</v>
      </c>
      <c r="H345" s="66" t="s">
        <v>16</v>
      </c>
      <c r="I345" s="200">
        <f ca="1">IFERROR(__xludf.DUMMYFUNCTION("IMPORTRANGE(""https://docs.google.com/spreadsheets/d/1C3CXT74ZlgGe6_JY_1olB1XN4rF0dxEuIIF-xsYjHgg/edit?usp=sharing"",""งบกองทุน!ay30"")"),20)</f>
        <v>20</v>
      </c>
      <c r="J345" s="68">
        <v>0</v>
      </c>
      <c r="K345" s="49">
        <f t="shared" ca="1" si="78"/>
        <v>0</v>
      </c>
      <c r="L345" s="61"/>
      <c r="M345" s="61"/>
      <c r="N345" s="61"/>
    </row>
    <row r="346" spans="1:14" ht="21.75" customHeight="1" x14ac:dyDescent="0.4">
      <c r="A346" s="55"/>
      <c r="B346" s="56"/>
      <c r="C346" s="56"/>
      <c r="D346" s="73"/>
      <c r="E346" s="77"/>
      <c r="F346" s="75"/>
      <c r="G346" s="76" t="s">
        <v>229</v>
      </c>
      <c r="H346" s="66" t="s">
        <v>16</v>
      </c>
      <c r="I346" s="200">
        <f ca="1">IFERROR(__xludf.DUMMYFUNCTION("IMPORTRANGE(""https://docs.google.com/spreadsheets/d/1C3CXT74ZlgGe6_JY_1olB1XN4rF0dxEuIIF-xsYjHgg/edit?usp=sharing"",""งบกองทุน!az30"")"),0)</f>
        <v>0</v>
      </c>
      <c r="J346" s="68">
        <v>0</v>
      </c>
      <c r="K346" s="49">
        <f t="shared" ca="1" si="78"/>
        <v>0</v>
      </c>
      <c r="L346" s="61"/>
      <c r="M346" s="61"/>
      <c r="N346" s="61"/>
    </row>
    <row r="347" spans="1:14" ht="21.75" customHeight="1" x14ac:dyDescent="0.4">
      <c r="A347" s="55"/>
      <c r="B347" s="56"/>
      <c r="C347" s="56"/>
      <c r="D347" s="73"/>
      <c r="E347" s="77"/>
      <c r="F347" s="75"/>
      <c r="G347" s="76" t="s">
        <v>145</v>
      </c>
      <c r="H347" s="66" t="s">
        <v>16</v>
      </c>
      <c r="I347" s="67">
        <f ca="1">IFERROR(__xludf.DUMMYFUNCTION("IMPORTRANGE(""https://docs.google.com/spreadsheets/d/1C3CXT74ZlgGe6_JY_1olB1XN4rF0dxEuIIF-xsYjHgg/edit?usp=sharing"",""งบกองทุน!Ba30"")"),0)</f>
        <v>0</v>
      </c>
      <c r="J347" s="68">
        <v>0</v>
      </c>
      <c r="K347" s="49">
        <f t="shared" ca="1" si="78"/>
        <v>0</v>
      </c>
      <c r="L347" s="61"/>
      <c r="M347" s="61"/>
      <c r="N347" s="61"/>
    </row>
    <row r="348" spans="1:14" ht="21.75" customHeight="1" x14ac:dyDescent="0.4">
      <c r="A348" s="55"/>
      <c r="B348" s="56"/>
      <c r="C348" s="56"/>
      <c r="D348" s="73"/>
      <c r="E348" s="74" t="s">
        <v>35</v>
      </c>
      <c r="F348" s="75"/>
      <c r="G348" s="76"/>
      <c r="H348" s="66"/>
      <c r="I348" s="67"/>
      <c r="J348" s="68">
        <v>0</v>
      </c>
      <c r="K348" s="49"/>
      <c r="L348" s="61"/>
      <c r="M348" s="61"/>
      <c r="N348" s="61"/>
    </row>
    <row r="349" spans="1:14" ht="21.75" customHeight="1" x14ac:dyDescent="0.4">
      <c r="A349" s="55"/>
      <c r="B349" s="56"/>
      <c r="C349" s="56"/>
      <c r="D349" s="81">
        <v>3</v>
      </c>
      <c r="E349" s="82" t="s">
        <v>36</v>
      </c>
      <c r="F349" s="83"/>
      <c r="G349" s="84"/>
      <c r="H349" s="66"/>
      <c r="I349" s="67"/>
      <c r="J349" s="85">
        <v>0</v>
      </c>
      <c r="K349" s="49"/>
      <c r="L349" s="61"/>
      <c r="M349" s="61"/>
      <c r="N349" s="61"/>
    </row>
    <row r="350" spans="1:14" ht="21.75" customHeight="1" x14ac:dyDescent="0.4">
      <c r="A350" s="222"/>
      <c r="B350" s="223">
        <v>5</v>
      </c>
      <c r="C350" s="224" t="s">
        <v>146</v>
      </c>
      <c r="D350" s="224"/>
      <c r="E350" s="224"/>
      <c r="F350" s="224"/>
      <c r="G350" s="225"/>
      <c r="H350" s="226" t="s">
        <v>103</v>
      </c>
      <c r="I350" s="227">
        <f ca="1">I359</f>
        <v>4494</v>
      </c>
      <c r="J350" s="227">
        <f>+J359</f>
        <v>0</v>
      </c>
      <c r="K350" s="228">
        <f ca="1">IF(I350&gt;0,J350*100/I350,0)</f>
        <v>0</v>
      </c>
      <c r="L350" s="229">
        <f t="shared" ref="L350:M350" ca="1" si="79">SUM(L351:L352)</f>
        <v>87020</v>
      </c>
      <c r="M350" s="229">
        <f t="shared" si="79"/>
        <v>0</v>
      </c>
      <c r="N350" s="229">
        <f t="shared" ref="N350:N354" ca="1" si="80">+IF(L350&gt;0,M350*100/L350,0)</f>
        <v>0</v>
      </c>
    </row>
    <row r="351" spans="1:14" ht="21.75" customHeight="1" x14ac:dyDescent="0.4">
      <c r="A351" s="42"/>
      <c r="B351" s="43"/>
      <c r="C351" s="43" t="s">
        <v>17</v>
      </c>
      <c r="D351" s="44" t="s">
        <v>18</v>
      </c>
      <c r="E351" s="45"/>
      <c r="F351" s="45"/>
      <c r="G351" s="46" t="s">
        <v>19</v>
      </c>
      <c r="H351" s="47" t="s">
        <v>20</v>
      </c>
      <c r="I351" s="48" t="s">
        <v>21</v>
      </c>
      <c r="J351" s="48"/>
      <c r="K351" s="49"/>
      <c r="L351" s="50">
        <v>0</v>
      </c>
      <c r="M351" s="53">
        <v>0</v>
      </c>
      <c r="N351" s="53">
        <f t="shared" si="80"/>
        <v>0</v>
      </c>
    </row>
    <row r="352" spans="1:14" ht="21.75" customHeight="1" x14ac:dyDescent="0.4">
      <c r="A352" s="42"/>
      <c r="B352" s="43"/>
      <c r="C352" s="43"/>
      <c r="D352" s="51"/>
      <c r="E352" s="45"/>
      <c r="F352" s="45" t="s">
        <v>21</v>
      </c>
      <c r="G352" s="46" t="s">
        <v>22</v>
      </c>
      <c r="H352" s="47" t="s">
        <v>20</v>
      </c>
      <c r="I352" s="48"/>
      <c r="J352" s="48"/>
      <c r="K352" s="49"/>
      <c r="L352" s="50">
        <f t="shared" ref="L352:M352" ca="1" si="81">SUM(L353:L354)</f>
        <v>87020</v>
      </c>
      <c r="M352" s="53">
        <f t="shared" si="81"/>
        <v>0</v>
      </c>
      <c r="N352" s="53">
        <f t="shared" ca="1" si="80"/>
        <v>0</v>
      </c>
    </row>
    <row r="353" spans="1:14" ht="21.75" customHeight="1" x14ac:dyDescent="0.4">
      <c r="A353" s="42"/>
      <c r="B353" s="43"/>
      <c r="C353" s="43"/>
      <c r="D353" s="51"/>
      <c r="E353" s="45"/>
      <c r="F353" s="45"/>
      <c r="G353" s="52" t="s">
        <v>110</v>
      </c>
      <c r="H353" s="47" t="s">
        <v>20</v>
      </c>
      <c r="I353" s="48"/>
      <c r="J353" s="48"/>
      <c r="K353" s="49"/>
      <c r="L353" s="53">
        <f ca="1">IFERROR(__xludf.DUMMYFUNCTION("IMPORTRANGE(""https://docs.google.com/spreadsheets/d/1C3CXT74ZlgGe6_JY_1olB1XN4rF0dxEuIIF-xsYjHgg/edit?usp=sharing"",""งบกองทุน!Bc30"")"),0)</f>
        <v>0</v>
      </c>
      <c r="M353" s="53">
        <v>0</v>
      </c>
      <c r="N353" s="53">
        <f t="shared" ca="1" si="80"/>
        <v>0</v>
      </c>
    </row>
    <row r="354" spans="1:14" ht="21.75" customHeight="1" x14ac:dyDescent="0.4">
      <c r="A354" s="42"/>
      <c r="B354" s="43"/>
      <c r="C354" s="43"/>
      <c r="D354" s="51"/>
      <c r="E354" s="45"/>
      <c r="F354" s="45"/>
      <c r="G354" s="52" t="s">
        <v>111</v>
      </c>
      <c r="H354" s="47" t="s">
        <v>20</v>
      </c>
      <c r="I354" s="48"/>
      <c r="J354" s="48"/>
      <c r="K354" s="49"/>
      <c r="L354" s="53">
        <f ca="1">IFERROR(__xludf.DUMMYFUNCTION("IMPORTRANGE(""https://docs.google.com/spreadsheets/d/1C3CXT74ZlgGe6_JY_1olB1XN4rF0dxEuIIF-xsYjHgg/edit?usp=sharing"",""งบกองทุน!Bd30"")"),87020)</f>
        <v>87020</v>
      </c>
      <c r="M354" s="53">
        <f>SUM(M355:M358)</f>
        <v>0</v>
      </c>
      <c r="N354" s="53">
        <f t="shared" ca="1" si="80"/>
        <v>0</v>
      </c>
    </row>
    <row r="355" spans="1:14" ht="21.75" customHeight="1" x14ac:dyDescent="0.4">
      <c r="A355" s="230"/>
      <c r="B355" s="231"/>
      <c r="C355" s="43"/>
      <c r="D355" s="232"/>
      <c r="E355" s="45"/>
      <c r="F355" s="45"/>
      <c r="G355" s="46" t="s">
        <v>112</v>
      </c>
      <c r="H355" s="47" t="s">
        <v>20</v>
      </c>
      <c r="I355" s="67"/>
      <c r="J355" s="67"/>
      <c r="K355" s="233"/>
      <c r="L355" s="53"/>
      <c r="M355" s="53">
        <v>0</v>
      </c>
      <c r="N355" s="53"/>
    </row>
    <row r="356" spans="1:14" ht="21.75" customHeight="1" x14ac:dyDescent="0.4">
      <c r="A356" s="230"/>
      <c r="B356" s="231"/>
      <c r="C356" s="43"/>
      <c r="D356" s="232"/>
      <c r="E356" s="45"/>
      <c r="F356" s="45"/>
      <c r="G356" s="46" t="s">
        <v>113</v>
      </c>
      <c r="H356" s="47" t="s">
        <v>20</v>
      </c>
      <c r="I356" s="67"/>
      <c r="J356" s="67"/>
      <c r="K356" s="233"/>
      <c r="L356" s="53"/>
      <c r="M356" s="53">
        <v>0</v>
      </c>
      <c r="N356" s="53"/>
    </row>
    <row r="357" spans="1:14" ht="21.75" customHeight="1" x14ac:dyDescent="0.4">
      <c r="A357" s="230"/>
      <c r="B357" s="231"/>
      <c r="C357" s="43"/>
      <c r="D357" s="232"/>
      <c r="E357" s="45"/>
      <c r="F357" s="45"/>
      <c r="G357" s="46" t="s">
        <v>114</v>
      </c>
      <c r="H357" s="47" t="s">
        <v>20</v>
      </c>
      <c r="I357" s="67"/>
      <c r="J357" s="67"/>
      <c r="K357" s="233"/>
      <c r="L357" s="53"/>
      <c r="M357" s="54">
        <v>0</v>
      </c>
      <c r="N357" s="53"/>
    </row>
    <row r="358" spans="1:14" ht="21.75" customHeight="1" x14ac:dyDescent="0.4">
      <c r="A358" s="230"/>
      <c r="B358" s="231"/>
      <c r="C358" s="43"/>
      <c r="D358" s="232"/>
      <c r="E358" s="45"/>
      <c r="F358" s="45"/>
      <c r="G358" s="46" t="s">
        <v>115</v>
      </c>
      <c r="H358" s="47" t="s">
        <v>20</v>
      </c>
      <c r="I358" s="67"/>
      <c r="J358" s="67"/>
      <c r="K358" s="233"/>
      <c r="L358" s="53"/>
      <c r="M358" s="54">
        <v>0</v>
      </c>
      <c r="N358" s="53"/>
    </row>
    <row r="359" spans="1:14" ht="21.75" customHeight="1" x14ac:dyDescent="0.4">
      <c r="A359" s="55"/>
      <c r="B359" s="56"/>
      <c r="C359" s="261" t="s">
        <v>147</v>
      </c>
      <c r="D359" s="261"/>
      <c r="E359" s="262"/>
      <c r="F359" s="262"/>
      <c r="G359" s="263"/>
      <c r="H359" s="136" t="s">
        <v>103</v>
      </c>
      <c r="I359" s="137">
        <f ca="1">IFERROR(__xludf.DUMMYFUNCTION("IMPORTRANGE(""https://docs.google.com/spreadsheets/d/1C3CXT74ZlgGe6_JY_1olB1XN4rF0dxEuIIF-xsYjHgg/edit?usp=sharing"",""งบกองทุน!BE30"")"),4494)</f>
        <v>4494</v>
      </c>
      <c r="J359" s="137">
        <f>+J376</f>
        <v>0</v>
      </c>
      <c r="K359" s="138">
        <f t="shared" ref="K359:K425" ca="1" si="82">IF(I359&gt;0,J359*100/I359,0)</f>
        <v>0</v>
      </c>
      <c r="L359" s="140"/>
      <c r="M359" s="140"/>
      <c r="N359" s="140"/>
    </row>
    <row r="360" spans="1:14" ht="21.75" customHeight="1" x14ac:dyDescent="0.4">
      <c r="A360" s="249"/>
      <c r="B360" s="250"/>
      <c r="C360" s="250"/>
      <c r="D360" s="251"/>
      <c r="E360" s="73" t="s">
        <v>148</v>
      </c>
      <c r="F360" s="75"/>
      <c r="G360" s="76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IFERROR(__xludf.DUMMYFUNCTION("IMPORTRANGE(""https://docs.google.com/spreadsheets/d/1C3CXT74ZlgGe6_JY_1olB1XN4rF0dxEuIIF-xsYjHgg/edit?usp=sharing"",""งบกองทุน!BE30"")"),4494)</f>
        <v>4494</v>
      </c>
      <c r="J360" s="265">
        <f t="shared" ref="J360:J361" si="83">+J362+J364+J366</f>
        <v>0</v>
      </c>
      <c r="K360" s="80">
        <f t="shared" ca="1" si="82"/>
        <v>0</v>
      </c>
      <c r="L360" s="61"/>
      <c r="M360" s="61"/>
      <c r="N360" s="61"/>
    </row>
    <row r="361" spans="1:14" ht="21.75" customHeight="1" x14ac:dyDescent="0.4">
      <c r="A361" s="249"/>
      <c r="B361" s="250"/>
      <c r="C361" s="250"/>
      <c r="D361" s="251"/>
      <c r="E361" s="75"/>
      <c r="F361" s="75"/>
      <c r="G361" s="76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IFERROR(__xludf.DUMMYFUNCTION("IMPORTRANGE(""https://docs.google.com/spreadsheets/d/1C3CXT74ZlgGe6_JY_1olB1XN4rF0dxEuIIF-xsYjHgg/edit?usp=sharing"",""งบกองทุน!Bf30"")"),1189)</f>
        <v>1189</v>
      </c>
      <c r="J361" s="265">
        <f t="shared" si="83"/>
        <v>0</v>
      </c>
      <c r="K361" s="80">
        <f t="shared" ca="1" si="82"/>
        <v>0</v>
      </c>
      <c r="L361" s="61"/>
      <c r="M361" s="61"/>
      <c r="N361" s="61"/>
    </row>
    <row r="362" spans="1:14" ht="21.75" customHeight="1" x14ac:dyDescent="0.4">
      <c r="A362" s="249"/>
      <c r="B362" s="250"/>
      <c r="C362" s="250"/>
      <c r="D362" s="251"/>
      <c r="E362" s="75"/>
      <c r="F362" s="242" t="s">
        <v>149</v>
      </c>
      <c r="G362" s="266"/>
      <c r="H362" s="267" t="s">
        <v>103</v>
      </c>
      <c r="I362" s="48">
        <v>0</v>
      </c>
      <c r="J362" s="68">
        <v>0</v>
      </c>
      <c r="K362" s="49">
        <f t="shared" si="82"/>
        <v>0</v>
      </c>
      <c r="L362" s="61"/>
      <c r="M362" s="61"/>
      <c r="N362" s="61"/>
    </row>
    <row r="363" spans="1:14" ht="21.75" customHeight="1" x14ac:dyDescent="0.4">
      <c r="A363" s="249"/>
      <c r="B363" s="250"/>
      <c r="C363" s="250"/>
      <c r="D363" s="251"/>
      <c r="E363" s="75"/>
      <c r="F363" s="75"/>
      <c r="G363" s="266"/>
      <c r="H363" s="267" t="s">
        <v>15</v>
      </c>
      <c r="I363" s="48">
        <v>0</v>
      </c>
      <c r="J363" s="68">
        <v>0</v>
      </c>
      <c r="K363" s="49">
        <f t="shared" si="82"/>
        <v>0</v>
      </c>
      <c r="L363" s="61"/>
      <c r="M363" s="61"/>
      <c r="N363" s="61"/>
    </row>
    <row r="364" spans="1:14" ht="21.75" customHeight="1" x14ac:dyDescent="0.4">
      <c r="A364" s="249"/>
      <c r="B364" s="250"/>
      <c r="C364" s="250"/>
      <c r="D364" s="251"/>
      <c r="E364" s="75"/>
      <c r="F364" s="242" t="s">
        <v>150</v>
      </c>
      <c r="G364" s="266"/>
      <c r="H364" s="267" t="s">
        <v>103</v>
      </c>
      <c r="I364" s="48">
        <v>0</v>
      </c>
      <c r="J364" s="68">
        <v>0</v>
      </c>
      <c r="K364" s="49">
        <f t="shared" si="82"/>
        <v>0</v>
      </c>
      <c r="L364" s="61"/>
      <c r="M364" s="61"/>
      <c r="N364" s="61"/>
    </row>
    <row r="365" spans="1:14" ht="21.75" customHeight="1" x14ac:dyDescent="0.4">
      <c r="A365" s="249"/>
      <c r="B365" s="250"/>
      <c r="C365" s="250"/>
      <c r="D365" s="251"/>
      <c r="E365" s="75"/>
      <c r="F365" s="75"/>
      <c r="G365" s="266"/>
      <c r="H365" s="267" t="s">
        <v>15</v>
      </c>
      <c r="I365" s="48">
        <v>0</v>
      </c>
      <c r="J365" s="68">
        <v>0</v>
      </c>
      <c r="K365" s="49">
        <f t="shared" si="82"/>
        <v>0</v>
      </c>
      <c r="L365" s="61"/>
      <c r="M365" s="61"/>
      <c r="N365" s="61"/>
    </row>
    <row r="366" spans="1:14" ht="21.75" customHeight="1" x14ac:dyDescent="0.4">
      <c r="A366" s="249"/>
      <c r="B366" s="250"/>
      <c r="C366" s="250"/>
      <c r="D366" s="251"/>
      <c r="E366" s="75"/>
      <c r="F366" s="242" t="s">
        <v>151</v>
      </c>
      <c r="G366" s="266"/>
      <c r="H366" s="267" t="s">
        <v>103</v>
      </c>
      <c r="I366" s="48">
        <v>0</v>
      </c>
      <c r="J366" s="68">
        <v>0</v>
      </c>
      <c r="K366" s="49">
        <f t="shared" si="82"/>
        <v>0</v>
      </c>
      <c r="L366" s="61"/>
      <c r="M366" s="61"/>
      <c r="N366" s="61"/>
    </row>
    <row r="367" spans="1:14" ht="21.75" customHeight="1" x14ac:dyDescent="0.4">
      <c r="A367" s="249"/>
      <c r="B367" s="250"/>
      <c r="C367" s="250"/>
      <c r="D367" s="251"/>
      <c r="E367" s="75"/>
      <c r="F367" s="75"/>
      <c r="G367" s="75"/>
      <c r="H367" s="267" t="s">
        <v>15</v>
      </c>
      <c r="I367" s="48">
        <v>0</v>
      </c>
      <c r="J367" s="68">
        <v>0</v>
      </c>
      <c r="K367" s="49">
        <f t="shared" si="82"/>
        <v>0</v>
      </c>
      <c r="L367" s="61"/>
      <c r="M367" s="61"/>
      <c r="N367" s="61"/>
    </row>
    <row r="368" spans="1:14" ht="21.75" customHeight="1" x14ac:dyDescent="0.4">
      <c r="A368" s="249"/>
      <c r="B368" s="250"/>
      <c r="C368" s="250"/>
      <c r="D368" s="251"/>
      <c r="E368" s="155" t="s">
        <v>152</v>
      </c>
      <c r="F368" s="75"/>
      <c r="G368" s="76"/>
      <c r="H368" s="264" t="s">
        <v>103</v>
      </c>
      <c r="I368" s="265">
        <f ca="1">+I359</f>
        <v>4494</v>
      </c>
      <c r="J368" s="265">
        <f t="shared" ref="J368:J369" si="84">+J370+J372+J374</f>
        <v>0</v>
      </c>
      <c r="K368" s="80">
        <f t="shared" ca="1" si="82"/>
        <v>0</v>
      </c>
      <c r="L368" s="61"/>
      <c r="M368" s="61"/>
      <c r="N368" s="61"/>
    </row>
    <row r="369" spans="1:14" ht="21.75" customHeight="1" x14ac:dyDescent="0.4">
      <c r="A369" s="249"/>
      <c r="B369" s="250"/>
      <c r="C369" s="250"/>
      <c r="D369" s="251"/>
      <c r="E369" s="75"/>
      <c r="F369" s="75"/>
      <c r="G369" s="76"/>
      <c r="H369" s="264" t="s">
        <v>15</v>
      </c>
      <c r="I369" s="265">
        <f ca="1">I361</f>
        <v>1189</v>
      </c>
      <c r="J369" s="265">
        <f t="shared" si="84"/>
        <v>0</v>
      </c>
      <c r="K369" s="49">
        <f t="shared" ca="1" si="82"/>
        <v>0</v>
      </c>
      <c r="L369" s="61"/>
      <c r="M369" s="61"/>
      <c r="N369" s="61"/>
    </row>
    <row r="370" spans="1:14" ht="21.75" customHeight="1" x14ac:dyDescent="0.4">
      <c r="A370" s="249"/>
      <c r="B370" s="250"/>
      <c r="C370" s="250"/>
      <c r="D370" s="251"/>
      <c r="E370" s="75"/>
      <c r="F370" s="74" t="s">
        <v>153</v>
      </c>
      <c r="G370" s="266"/>
      <c r="H370" s="267" t="s">
        <v>103</v>
      </c>
      <c r="I370" s="48">
        <v>0</v>
      </c>
      <c r="J370" s="68">
        <v>0</v>
      </c>
      <c r="K370" s="49">
        <f t="shared" si="82"/>
        <v>0</v>
      </c>
      <c r="L370" s="61"/>
      <c r="M370" s="61"/>
      <c r="N370" s="61"/>
    </row>
    <row r="371" spans="1:14" ht="21.75" customHeight="1" x14ac:dyDescent="0.4">
      <c r="A371" s="249"/>
      <c r="B371" s="250"/>
      <c r="C371" s="250"/>
      <c r="D371" s="251"/>
      <c r="E371" s="75"/>
      <c r="F371" s="75"/>
      <c r="G371" s="266"/>
      <c r="H371" s="267" t="s">
        <v>15</v>
      </c>
      <c r="I371" s="48">
        <v>0</v>
      </c>
      <c r="J371" s="68">
        <v>0</v>
      </c>
      <c r="K371" s="49">
        <f t="shared" si="82"/>
        <v>0</v>
      </c>
      <c r="L371" s="61"/>
      <c r="M371" s="61"/>
      <c r="N371" s="61"/>
    </row>
    <row r="372" spans="1:14" ht="21.75" customHeight="1" x14ac:dyDescent="0.4">
      <c r="A372" s="249"/>
      <c r="B372" s="250"/>
      <c r="C372" s="250"/>
      <c r="D372" s="251"/>
      <c r="E372" s="75"/>
      <c r="F372" s="74" t="s">
        <v>154</v>
      </c>
      <c r="G372" s="266"/>
      <c r="H372" s="267" t="s">
        <v>103</v>
      </c>
      <c r="I372" s="48">
        <v>0</v>
      </c>
      <c r="J372" s="68">
        <v>0</v>
      </c>
      <c r="K372" s="49">
        <f t="shared" si="82"/>
        <v>0</v>
      </c>
      <c r="L372" s="61"/>
      <c r="M372" s="61"/>
      <c r="N372" s="61"/>
    </row>
    <row r="373" spans="1:14" ht="21.75" customHeight="1" x14ac:dyDescent="0.4">
      <c r="A373" s="249"/>
      <c r="B373" s="250"/>
      <c r="C373" s="250"/>
      <c r="D373" s="251"/>
      <c r="E373" s="75"/>
      <c r="F373" s="75"/>
      <c r="G373" s="266"/>
      <c r="H373" s="267" t="s">
        <v>15</v>
      </c>
      <c r="I373" s="48">
        <v>0</v>
      </c>
      <c r="J373" s="68">
        <v>0</v>
      </c>
      <c r="K373" s="49">
        <f t="shared" si="82"/>
        <v>0</v>
      </c>
      <c r="L373" s="61"/>
      <c r="M373" s="61"/>
      <c r="N373" s="61"/>
    </row>
    <row r="374" spans="1:14" ht="21.75" customHeight="1" x14ac:dyDescent="0.4">
      <c r="A374" s="249"/>
      <c r="B374" s="250"/>
      <c r="C374" s="250"/>
      <c r="D374" s="251"/>
      <c r="E374" s="75"/>
      <c r="F374" s="74" t="s">
        <v>155</v>
      </c>
      <c r="G374" s="266"/>
      <c r="H374" s="267" t="s">
        <v>103</v>
      </c>
      <c r="I374" s="48">
        <v>0</v>
      </c>
      <c r="J374" s="68">
        <v>0</v>
      </c>
      <c r="K374" s="49">
        <f t="shared" si="82"/>
        <v>0</v>
      </c>
      <c r="L374" s="61"/>
      <c r="M374" s="61"/>
      <c r="N374" s="61"/>
    </row>
    <row r="375" spans="1:14" ht="21.75" customHeight="1" x14ac:dyDescent="0.4">
      <c r="A375" s="249"/>
      <c r="B375" s="250"/>
      <c r="C375" s="250"/>
      <c r="D375" s="251"/>
      <c r="E375" s="75"/>
      <c r="F375" s="75"/>
      <c r="G375" s="76"/>
      <c r="H375" s="267" t="s">
        <v>15</v>
      </c>
      <c r="I375" s="48">
        <v>0</v>
      </c>
      <c r="J375" s="68">
        <v>0</v>
      </c>
      <c r="K375" s="49">
        <f t="shared" si="82"/>
        <v>0</v>
      </c>
      <c r="L375" s="61"/>
      <c r="M375" s="61"/>
      <c r="N375" s="61"/>
    </row>
    <row r="376" spans="1:14" ht="21.75" customHeight="1" x14ac:dyDescent="0.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4494</v>
      </c>
      <c r="J376" s="265">
        <f t="shared" ref="J376:J377" si="85">+J378+J380+J382+J388</f>
        <v>0</v>
      </c>
      <c r="K376" s="80">
        <f t="shared" ca="1" si="82"/>
        <v>0</v>
      </c>
      <c r="L376" s="275"/>
      <c r="M376" s="275"/>
      <c r="N376" s="275"/>
    </row>
    <row r="377" spans="1:14" ht="21.75" customHeight="1" x14ac:dyDescent="0.4">
      <c r="A377" s="249"/>
      <c r="B377" s="250"/>
      <c r="C377" s="250"/>
      <c r="D377" s="251"/>
      <c r="E377" s="75"/>
      <c r="F377" s="75"/>
      <c r="G377" s="76"/>
      <c r="H377" s="264" t="s">
        <v>15</v>
      </c>
      <c r="I377" s="265">
        <f ca="1">I361</f>
        <v>1189</v>
      </c>
      <c r="J377" s="265">
        <f t="shared" si="85"/>
        <v>0</v>
      </c>
      <c r="K377" s="49">
        <f t="shared" ca="1" si="82"/>
        <v>0</v>
      </c>
      <c r="L377" s="61"/>
      <c r="M377" s="61"/>
      <c r="N377" s="61"/>
    </row>
    <row r="378" spans="1:14" ht="21.75" customHeight="1" x14ac:dyDescent="0.4">
      <c r="A378" s="249"/>
      <c r="B378" s="250"/>
      <c r="C378" s="250"/>
      <c r="D378" s="251"/>
      <c r="E378" s="75"/>
      <c r="F378" s="74" t="s">
        <v>157</v>
      </c>
      <c r="G378" s="266"/>
      <c r="H378" s="267" t="s">
        <v>103</v>
      </c>
      <c r="I378" s="48">
        <v>0</v>
      </c>
      <c r="J378" s="68">
        <v>0</v>
      </c>
      <c r="K378" s="49">
        <f t="shared" si="82"/>
        <v>0</v>
      </c>
      <c r="L378" s="61"/>
      <c r="M378" s="61"/>
      <c r="N378" s="61"/>
    </row>
    <row r="379" spans="1:14" ht="21.75" customHeight="1" x14ac:dyDescent="0.4">
      <c r="A379" s="249"/>
      <c r="B379" s="250"/>
      <c r="C379" s="250"/>
      <c r="D379" s="251"/>
      <c r="E379" s="75"/>
      <c r="F379" s="75"/>
      <c r="G379" s="266"/>
      <c r="H379" s="267" t="s">
        <v>15</v>
      </c>
      <c r="I379" s="48">
        <v>0</v>
      </c>
      <c r="J379" s="68">
        <v>0</v>
      </c>
      <c r="K379" s="49">
        <f t="shared" si="82"/>
        <v>0</v>
      </c>
      <c r="L379" s="61"/>
      <c r="M379" s="61"/>
      <c r="N379" s="61"/>
    </row>
    <row r="380" spans="1:14" ht="21.75" customHeight="1" x14ac:dyDescent="0.4">
      <c r="A380" s="249"/>
      <c r="B380" s="250"/>
      <c r="C380" s="250"/>
      <c r="D380" s="251"/>
      <c r="E380" s="75"/>
      <c r="F380" s="74" t="s">
        <v>158</v>
      </c>
      <c r="G380" s="266"/>
      <c r="H380" s="267" t="s">
        <v>103</v>
      </c>
      <c r="I380" s="48">
        <v>0</v>
      </c>
      <c r="J380" s="68">
        <v>0</v>
      </c>
      <c r="K380" s="49">
        <f t="shared" si="82"/>
        <v>0</v>
      </c>
      <c r="L380" s="61"/>
      <c r="M380" s="61"/>
      <c r="N380" s="61"/>
    </row>
    <row r="381" spans="1:14" ht="21.75" customHeight="1" x14ac:dyDescent="0.4">
      <c r="A381" s="249"/>
      <c r="B381" s="250"/>
      <c r="C381" s="250"/>
      <c r="D381" s="251"/>
      <c r="E381" s="75"/>
      <c r="F381" s="75"/>
      <c r="G381" s="266"/>
      <c r="H381" s="267" t="s">
        <v>15</v>
      </c>
      <c r="I381" s="48">
        <v>0</v>
      </c>
      <c r="J381" s="68">
        <v>0</v>
      </c>
      <c r="K381" s="49">
        <f t="shared" si="82"/>
        <v>0</v>
      </c>
      <c r="L381" s="61"/>
      <c r="M381" s="61"/>
      <c r="N381" s="61"/>
    </row>
    <row r="382" spans="1:14" ht="21.75" customHeight="1" x14ac:dyDescent="0.4">
      <c r="A382" s="249"/>
      <c r="B382" s="250"/>
      <c r="C382" s="250"/>
      <c r="D382" s="251"/>
      <c r="E382" s="75"/>
      <c r="F382" s="74" t="s">
        <v>159</v>
      </c>
      <c r="G382" s="266"/>
      <c r="H382" s="267" t="s">
        <v>103</v>
      </c>
      <c r="I382" s="48">
        <v>0</v>
      </c>
      <c r="J382" s="265">
        <f t="shared" ref="J382:J383" si="86">J384+J386</f>
        <v>0</v>
      </c>
      <c r="K382" s="49">
        <f t="shared" si="82"/>
        <v>0</v>
      </c>
      <c r="L382" s="61"/>
      <c r="M382" s="61"/>
      <c r="N382" s="61"/>
    </row>
    <row r="383" spans="1:14" ht="21.75" customHeight="1" x14ac:dyDescent="0.4">
      <c r="A383" s="249"/>
      <c r="B383" s="250"/>
      <c r="C383" s="250"/>
      <c r="D383" s="251"/>
      <c r="E383" s="75"/>
      <c r="F383" s="75"/>
      <c r="G383" s="75"/>
      <c r="H383" s="267" t="s">
        <v>15</v>
      </c>
      <c r="I383" s="48">
        <v>0</v>
      </c>
      <c r="J383" s="265">
        <f t="shared" si="86"/>
        <v>0</v>
      </c>
      <c r="K383" s="49">
        <f t="shared" si="82"/>
        <v>0</v>
      </c>
      <c r="L383" s="61"/>
      <c r="M383" s="61"/>
      <c r="N383" s="61"/>
    </row>
    <row r="384" spans="1:14" ht="21.75" customHeight="1" x14ac:dyDescent="0.4">
      <c r="A384" s="249"/>
      <c r="B384" s="250"/>
      <c r="C384" s="250"/>
      <c r="D384" s="251"/>
      <c r="E384" s="75"/>
      <c r="F384" s="75"/>
      <c r="G384" s="74" t="s">
        <v>160</v>
      </c>
      <c r="H384" s="267" t="s">
        <v>103</v>
      </c>
      <c r="I384" s="48">
        <v>0</v>
      </c>
      <c r="J384" s="68">
        <v>0</v>
      </c>
      <c r="K384" s="49">
        <f t="shared" si="82"/>
        <v>0</v>
      </c>
      <c r="L384" s="61"/>
      <c r="M384" s="61"/>
      <c r="N384" s="61"/>
    </row>
    <row r="385" spans="1:14" ht="21.75" customHeight="1" x14ac:dyDescent="0.4">
      <c r="A385" s="249"/>
      <c r="B385" s="250"/>
      <c r="C385" s="250"/>
      <c r="D385" s="251"/>
      <c r="E385" s="75"/>
      <c r="F385" s="75"/>
      <c r="G385" s="75"/>
      <c r="H385" s="267" t="s">
        <v>15</v>
      </c>
      <c r="I385" s="48">
        <v>0</v>
      </c>
      <c r="J385" s="68">
        <v>0</v>
      </c>
      <c r="K385" s="49">
        <f t="shared" si="82"/>
        <v>0</v>
      </c>
      <c r="L385" s="61"/>
      <c r="M385" s="61"/>
      <c r="N385" s="61"/>
    </row>
    <row r="386" spans="1:14" ht="21.75" customHeight="1" x14ac:dyDescent="0.4">
      <c r="A386" s="249"/>
      <c r="B386" s="250"/>
      <c r="C386" s="250"/>
      <c r="D386" s="251"/>
      <c r="E386" s="75"/>
      <c r="F386" s="75"/>
      <c r="G386" s="74" t="s">
        <v>161</v>
      </c>
      <c r="H386" s="267" t="s">
        <v>103</v>
      </c>
      <c r="I386" s="48">
        <v>0</v>
      </c>
      <c r="J386" s="68">
        <v>0</v>
      </c>
      <c r="K386" s="49">
        <f t="shared" si="82"/>
        <v>0</v>
      </c>
      <c r="L386" s="61"/>
      <c r="M386" s="61"/>
      <c r="N386" s="61"/>
    </row>
    <row r="387" spans="1:14" ht="21.75" customHeight="1" x14ac:dyDescent="0.4">
      <c r="A387" s="249"/>
      <c r="B387" s="250"/>
      <c r="C387" s="250"/>
      <c r="D387" s="251"/>
      <c r="E387" s="75"/>
      <c r="F387" s="75"/>
      <c r="G387" s="76"/>
      <c r="H387" s="267" t="s">
        <v>15</v>
      </c>
      <c r="I387" s="48">
        <v>0</v>
      </c>
      <c r="J387" s="68">
        <v>0</v>
      </c>
      <c r="K387" s="49">
        <f t="shared" si="82"/>
        <v>0</v>
      </c>
      <c r="L387" s="61"/>
      <c r="M387" s="61"/>
      <c r="N387" s="61"/>
    </row>
    <row r="388" spans="1:14" ht="21.75" customHeight="1" x14ac:dyDescent="0.4">
      <c r="A388" s="249"/>
      <c r="B388" s="250"/>
      <c r="C388" s="250"/>
      <c r="D388" s="251"/>
      <c r="E388" s="75"/>
      <c r="F388" s="74" t="s">
        <v>162</v>
      </c>
      <c r="G388" s="266"/>
      <c r="H388" s="267" t="s">
        <v>103</v>
      </c>
      <c r="I388" s="48">
        <v>0</v>
      </c>
      <c r="J388" s="68">
        <v>0</v>
      </c>
      <c r="K388" s="49">
        <f t="shared" si="82"/>
        <v>0</v>
      </c>
      <c r="L388" s="61"/>
      <c r="M388" s="61"/>
      <c r="N388" s="61"/>
    </row>
    <row r="389" spans="1:14" ht="21.75" customHeight="1" x14ac:dyDescent="0.4">
      <c r="A389" s="276"/>
      <c r="B389" s="277"/>
      <c r="C389" s="277"/>
      <c r="D389" s="278"/>
      <c r="E389" s="204"/>
      <c r="F389" s="204"/>
      <c r="G389" s="204"/>
      <c r="H389" s="279" t="s">
        <v>15</v>
      </c>
      <c r="I389" s="384">
        <v>0</v>
      </c>
      <c r="J389" s="68">
        <v>0</v>
      </c>
      <c r="K389" s="114">
        <f t="shared" si="82"/>
        <v>0</v>
      </c>
      <c r="L389" s="115"/>
      <c r="M389" s="115"/>
      <c r="N389" s="115"/>
    </row>
    <row r="390" spans="1:14" ht="21.75" customHeight="1" x14ac:dyDescent="0.4">
      <c r="A390" s="55"/>
      <c r="B390" s="56"/>
      <c r="C390" s="261" t="s">
        <v>163</v>
      </c>
      <c r="D390" s="261"/>
      <c r="E390" s="262"/>
      <c r="F390" s="262"/>
      <c r="G390" s="263"/>
      <c r="H390" s="136" t="s">
        <v>103</v>
      </c>
      <c r="I390" s="137">
        <f ca="1">IFERROR(__xludf.DUMMYFUNCTION("IMPORTRANGE(""https://docs.google.com/spreadsheets/d/1C3CXT74ZlgGe6_JY_1olB1XN4rF0dxEuIIF-xsYjHgg/edit?usp=sharing"",""งบกองทุน!cd30"")"),140)</f>
        <v>140</v>
      </c>
      <c r="J390" s="137">
        <f>J391</f>
        <v>0</v>
      </c>
      <c r="K390" s="138">
        <f t="shared" ca="1" si="82"/>
        <v>0</v>
      </c>
      <c r="L390" s="140"/>
      <c r="M390" s="140"/>
      <c r="N390" s="140"/>
    </row>
    <row r="391" spans="1:14" ht="21.75" customHeight="1" x14ac:dyDescent="0.4">
      <c r="A391" s="55"/>
      <c r="B391" s="56"/>
      <c r="C391" s="56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IFERROR(__xludf.DUMMYFUNCTION("IMPORTRANGE(""https://docs.google.com/spreadsheets/d/1C3CXT74ZlgGe6_JY_1olB1XN4rF0dxEuIIF-xsYjHgg/edit?usp=sharing"",""งบกองทุน!cd30"")"),140)</f>
        <v>140</v>
      </c>
      <c r="J391" s="265">
        <f t="shared" ref="J391:J392" si="87">J393+J401+J407</f>
        <v>0</v>
      </c>
      <c r="K391" s="49">
        <f t="shared" ca="1" si="82"/>
        <v>0</v>
      </c>
      <c r="L391" s="61"/>
      <c r="M391" s="61"/>
      <c r="N391" s="61"/>
    </row>
    <row r="392" spans="1:14" ht="21.75" customHeight="1" x14ac:dyDescent="0.4">
      <c r="A392" s="55"/>
      <c r="B392" s="56"/>
      <c r="C392" s="56"/>
      <c r="D392" s="73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IFERROR(__xludf.DUMMYFUNCTION("IMPORTRANGE(""https://docs.google.com/spreadsheets/d/1C3CXT74ZlgGe6_JY_1olB1XN4rF0dxEuIIF-xsYjHgg/edit?usp=sharing"",""งบกองทุน!cc30"")"),32)</f>
        <v>32</v>
      </c>
      <c r="J392" s="265">
        <f t="shared" si="87"/>
        <v>0</v>
      </c>
      <c r="K392" s="80">
        <f t="shared" ca="1" si="82"/>
        <v>0</v>
      </c>
      <c r="L392" s="61"/>
      <c r="M392" s="61"/>
      <c r="N392" s="61"/>
    </row>
    <row r="393" spans="1:14" ht="21.75" customHeight="1" x14ac:dyDescent="0.4">
      <c r="A393" s="55"/>
      <c r="B393" s="56"/>
      <c r="C393" s="56"/>
      <c r="D393" s="251"/>
      <c r="E393" s="251" t="s">
        <v>165</v>
      </c>
      <c r="F393" s="75"/>
      <c r="G393" s="76"/>
      <c r="H393" s="267" t="s">
        <v>103</v>
      </c>
      <c r="I393" s="48">
        <v>0</v>
      </c>
      <c r="J393" s="48">
        <f t="shared" ref="J393:J394" si="88">J395+J397+J399</f>
        <v>0</v>
      </c>
      <c r="K393" s="49">
        <f t="shared" si="82"/>
        <v>0</v>
      </c>
      <c r="L393" s="61"/>
      <c r="M393" s="61"/>
      <c r="N393" s="61"/>
    </row>
    <row r="394" spans="1:14" ht="21.75" customHeight="1" x14ac:dyDescent="0.4">
      <c r="A394" s="55"/>
      <c r="B394" s="56"/>
      <c r="C394" s="56"/>
      <c r="D394" s="73"/>
      <c r="E394" s="75"/>
      <c r="F394" s="75"/>
      <c r="G394" s="76"/>
      <c r="H394" s="267" t="s">
        <v>15</v>
      </c>
      <c r="I394" s="48">
        <v>0</v>
      </c>
      <c r="J394" s="48">
        <f t="shared" si="88"/>
        <v>0</v>
      </c>
      <c r="K394" s="49">
        <f t="shared" si="82"/>
        <v>0</v>
      </c>
      <c r="L394" s="61"/>
      <c r="M394" s="61"/>
      <c r="N394" s="61"/>
    </row>
    <row r="395" spans="1:14" ht="21.75" customHeight="1" x14ac:dyDescent="0.4">
      <c r="A395" s="55"/>
      <c r="B395" s="56"/>
      <c r="C395" s="56"/>
      <c r="D395" s="73"/>
      <c r="E395" s="75"/>
      <c r="F395" s="242" t="s">
        <v>166</v>
      </c>
      <c r="G395" s="266"/>
      <c r="H395" s="267" t="s">
        <v>103</v>
      </c>
      <c r="I395" s="48">
        <v>0</v>
      </c>
      <c r="J395" s="68">
        <v>0</v>
      </c>
      <c r="K395" s="49">
        <f t="shared" si="82"/>
        <v>0</v>
      </c>
      <c r="L395" s="61"/>
      <c r="M395" s="61"/>
      <c r="N395" s="61"/>
    </row>
    <row r="396" spans="1:14" ht="21.75" customHeight="1" x14ac:dyDescent="0.4">
      <c r="A396" s="55"/>
      <c r="B396" s="56"/>
      <c r="C396" s="56"/>
      <c r="D396" s="73"/>
      <c r="E396" s="75"/>
      <c r="F396" s="75"/>
      <c r="G396" s="266"/>
      <c r="H396" s="267" t="s">
        <v>15</v>
      </c>
      <c r="I396" s="48">
        <v>0</v>
      </c>
      <c r="J396" s="68">
        <v>0</v>
      </c>
      <c r="K396" s="49">
        <f t="shared" si="82"/>
        <v>0</v>
      </c>
      <c r="L396" s="61"/>
      <c r="M396" s="61"/>
      <c r="N396" s="61"/>
    </row>
    <row r="397" spans="1:14" ht="21.75" customHeight="1" x14ac:dyDescent="0.4">
      <c r="A397" s="55"/>
      <c r="B397" s="56"/>
      <c r="C397" s="56"/>
      <c r="D397" s="73"/>
      <c r="E397" s="75"/>
      <c r="F397" s="242" t="s">
        <v>167</v>
      </c>
      <c r="G397" s="266"/>
      <c r="H397" s="267" t="s">
        <v>103</v>
      </c>
      <c r="I397" s="48">
        <v>0</v>
      </c>
      <c r="J397" s="68">
        <v>0</v>
      </c>
      <c r="K397" s="49">
        <f t="shared" si="82"/>
        <v>0</v>
      </c>
      <c r="L397" s="61"/>
      <c r="M397" s="61"/>
      <c r="N397" s="61"/>
    </row>
    <row r="398" spans="1:14" ht="21.75" customHeight="1" x14ac:dyDescent="0.4">
      <c r="A398" s="55"/>
      <c r="B398" s="56"/>
      <c r="C398" s="56"/>
      <c r="D398" s="73"/>
      <c r="E398" s="75"/>
      <c r="F398" s="75"/>
      <c r="G398" s="266"/>
      <c r="H398" s="267" t="s">
        <v>15</v>
      </c>
      <c r="I398" s="48">
        <v>0</v>
      </c>
      <c r="J398" s="68">
        <v>0</v>
      </c>
      <c r="K398" s="49">
        <f t="shared" si="82"/>
        <v>0</v>
      </c>
      <c r="L398" s="61"/>
      <c r="M398" s="61"/>
      <c r="N398" s="61"/>
    </row>
    <row r="399" spans="1:14" ht="21.75" customHeight="1" x14ac:dyDescent="0.4">
      <c r="A399" s="55"/>
      <c r="B399" s="56"/>
      <c r="C399" s="56"/>
      <c r="D399" s="73"/>
      <c r="E399" s="75"/>
      <c r="F399" s="242" t="s">
        <v>168</v>
      </c>
      <c r="G399" s="266"/>
      <c r="H399" s="267" t="s">
        <v>103</v>
      </c>
      <c r="I399" s="48">
        <v>0</v>
      </c>
      <c r="J399" s="68">
        <v>0</v>
      </c>
      <c r="K399" s="49">
        <f t="shared" si="82"/>
        <v>0</v>
      </c>
      <c r="L399" s="61"/>
      <c r="M399" s="61"/>
      <c r="N399" s="61"/>
    </row>
    <row r="400" spans="1:14" ht="21.75" customHeight="1" x14ac:dyDescent="0.4">
      <c r="A400" s="55"/>
      <c r="B400" s="56"/>
      <c r="C400" s="56"/>
      <c r="D400" s="73"/>
      <c r="E400" s="75"/>
      <c r="F400" s="75"/>
      <c r="G400" s="75"/>
      <c r="H400" s="267" t="s">
        <v>15</v>
      </c>
      <c r="I400" s="48">
        <v>0</v>
      </c>
      <c r="J400" s="68">
        <v>0</v>
      </c>
      <c r="K400" s="49">
        <f t="shared" si="82"/>
        <v>0</v>
      </c>
      <c r="L400" s="61"/>
      <c r="M400" s="61"/>
      <c r="N400" s="61"/>
    </row>
    <row r="401" spans="1:14" ht="21.75" customHeight="1" x14ac:dyDescent="0.4">
      <c r="A401" s="55"/>
      <c r="B401" s="56"/>
      <c r="C401" s="56"/>
      <c r="D401" s="73"/>
      <c r="E401" s="74" t="s">
        <v>169</v>
      </c>
      <c r="F401" s="75"/>
      <c r="G401" s="266"/>
      <c r="H401" s="267" t="s">
        <v>103</v>
      </c>
      <c r="I401" s="48">
        <v>0</v>
      </c>
      <c r="J401" s="48">
        <f t="shared" ref="J401:J402" si="89">+J403+J405</f>
        <v>0</v>
      </c>
      <c r="K401" s="49">
        <f t="shared" si="82"/>
        <v>0</v>
      </c>
      <c r="L401" s="61"/>
      <c r="M401" s="61"/>
      <c r="N401" s="61"/>
    </row>
    <row r="402" spans="1:14" ht="21.75" customHeight="1" x14ac:dyDescent="0.4">
      <c r="A402" s="55"/>
      <c r="B402" s="56"/>
      <c r="C402" s="56"/>
      <c r="D402" s="73"/>
      <c r="E402" s="75"/>
      <c r="F402" s="75"/>
      <c r="G402" s="75"/>
      <c r="H402" s="267" t="s">
        <v>15</v>
      </c>
      <c r="I402" s="48">
        <v>0</v>
      </c>
      <c r="J402" s="48">
        <f t="shared" si="89"/>
        <v>0</v>
      </c>
      <c r="K402" s="49">
        <f t="shared" si="82"/>
        <v>0</v>
      </c>
      <c r="L402" s="61"/>
      <c r="M402" s="61"/>
      <c r="N402" s="61"/>
    </row>
    <row r="403" spans="1:14" ht="21.75" customHeight="1" x14ac:dyDescent="0.4">
      <c r="A403" s="55"/>
      <c r="B403" s="56"/>
      <c r="C403" s="56"/>
      <c r="D403" s="73"/>
      <c r="E403" s="75"/>
      <c r="F403" s="74" t="s">
        <v>170</v>
      </c>
      <c r="G403" s="75"/>
      <c r="H403" s="267" t="s">
        <v>103</v>
      </c>
      <c r="I403" s="48">
        <v>0</v>
      </c>
      <c r="J403" s="68">
        <v>0</v>
      </c>
      <c r="K403" s="49">
        <f t="shared" si="82"/>
        <v>0</v>
      </c>
      <c r="L403" s="61"/>
      <c r="M403" s="61"/>
      <c r="N403" s="61"/>
    </row>
    <row r="404" spans="1:14" ht="21.75" customHeight="1" x14ac:dyDescent="0.4">
      <c r="A404" s="55"/>
      <c r="B404" s="56"/>
      <c r="C404" s="56"/>
      <c r="D404" s="73"/>
      <c r="E404" s="75"/>
      <c r="F404" s="75"/>
      <c r="G404" s="75"/>
      <c r="H404" s="267" t="s">
        <v>15</v>
      </c>
      <c r="I404" s="48">
        <v>0</v>
      </c>
      <c r="J404" s="68">
        <v>0</v>
      </c>
      <c r="K404" s="49">
        <f t="shared" si="82"/>
        <v>0</v>
      </c>
      <c r="L404" s="61"/>
      <c r="M404" s="61"/>
      <c r="N404" s="61"/>
    </row>
    <row r="405" spans="1:14" ht="21.75" customHeight="1" x14ac:dyDescent="0.4">
      <c r="A405" s="55"/>
      <c r="B405" s="56"/>
      <c r="C405" s="56"/>
      <c r="D405" s="73"/>
      <c r="E405" s="75"/>
      <c r="F405" s="74" t="s">
        <v>171</v>
      </c>
      <c r="G405" s="75"/>
      <c r="H405" s="267" t="s">
        <v>103</v>
      </c>
      <c r="I405" s="48">
        <v>0</v>
      </c>
      <c r="J405" s="68">
        <v>0</v>
      </c>
      <c r="K405" s="49">
        <f t="shared" si="82"/>
        <v>0</v>
      </c>
      <c r="L405" s="61"/>
      <c r="M405" s="61"/>
      <c r="N405" s="61"/>
    </row>
    <row r="406" spans="1:14" ht="21.75" customHeight="1" x14ac:dyDescent="0.4">
      <c r="A406" s="55"/>
      <c r="B406" s="56"/>
      <c r="C406" s="56"/>
      <c r="D406" s="73"/>
      <c r="E406" s="75"/>
      <c r="F406" s="75"/>
      <c r="G406" s="76"/>
      <c r="H406" s="267" t="s">
        <v>15</v>
      </c>
      <c r="I406" s="48">
        <v>0</v>
      </c>
      <c r="J406" s="68">
        <v>0</v>
      </c>
      <c r="K406" s="49">
        <f t="shared" si="82"/>
        <v>0</v>
      </c>
      <c r="L406" s="61"/>
      <c r="M406" s="61"/>
      <c r="N406" s="61"/>
    </row>
    <row r="407" spans="1:14" ht="21.75" customHeight="1" x14ac:dyDescent="0.4">
      <c r="A407" s="55"/>
      <c r="B407" s="56"/>
      <c r="C407" s="56"/>
      <c r="D407" s="251"/>
      <c r="E407" s="251" t="s">
        <v>239</v>
      </c>
      <c r="F407" s="75"/>
      <c r="G407" s="76"/>
      <c r="H407" s="267" t="s">
        <v>103</v>
      </c>
      <c r="I407" s="48">
        <v>0</v>
      </c>
      <c r="J407" s="68">
        <v>0</v>
      </c>
      <c r="K407" s="49">
        <f t="shared" si="82"/>
        <v>0</v>
      </c>
      <c r="L407" s="61"/>
      <c r="M407" s="61"/>
      <c r="N407" s="61"/>
    </row>
    <row r="408" spans="1:14" ht="21.75" customHeight="1" x14ac:dyDescent="0.4">
      <c r="A408" s="55"/>
      <c r="B408" s="56"/>
      <c r="C408" s="56"/>
      <c r="D408" s="73"/>
      <c r="E408" s="75"/>
      <c r="F408" s="75"/>
      <c r="G408" s="76"/>
      <c r="H408" s="267" t="s">
        <v>15</v>
      </c>
      <c r="I408" s="48">
        <v>0</v>
      </c>
      <c r="J408" s="68">
        <v>0</v>
      </c>
      <c r="K408" s="49">
        <f t="shared" si="82"/>
        <v>0</v>
      </c>
      <c r="L408" s="61"/>
      <c r="M408" s="61"/>
      <c r="N408" s="61"/>
    </row>
    <row r="409" spans="1:14" ht="21.75" customHeight="1" x14ac:dyDescent="0.4">
      <c r="A409" s="55"/>
      <c r="B409" s="56"/>
      <c r="C409" s="261" t="s">
        <v>173</v>
      </c>
      <c r="D409" s="261"/>
      <c r="E409" s="285"/>
      <c r="F409" s="285"/>
      <c r="G409" s="286"/>
      <c r="H409" s="287" t="s">
        <v>103</v>
      </c>
      <c r="I409" s="137">
        <f ca="1">IFERROR(__xludf.DUMMYFUNCTION("IMPORTRANGE(""https://docs.google.com/spreadsheets/d/1C3CXT74ZlgGe6_JY_1olB1XN4rF0dxEuIIF-xsYjHgg/edit?usp=sharing"",""งบกองทุน!cz30"")"),0)</f>
        <v>0</v>
      </c>
      <c r="J409" s="137">
        <f ca="1">SUM(J412,J414)</f>
        <v>0</v>
      </c>
      <c r="K409" s="138">
        <f t="shared" ca="1" si="82"/>
        <v>0</v>
      </c>
      <c r="L409" s="61"/>
      <c r="M409" s="61"/>
      <c r="N409" s="61"/>
    </row>
    <row r="410" spans="1:14" ht="21.75" customHeight="1" x14ac:dyDescent="0.4">
      <c r="A410" s="55"/>
      <c r="B410" s="56"/>
      <c r="C410" s="288"/>
      <c r="D410" s="288"/>
      <c r="E410" s="288" t="s">
        <v>174</v>
      </c>
      <c r="F410" s="289"/>
      <c r="G410" s="290"/>
      <c r="H410" s="291" t="s">
        <v>103</v>
      </c>
      <c r="I410" s="150">
        <f ca="1">IFERROR(__xludf.DUMMYFUNCTION("IMPORTRANGE(""https://docs.google.com/spreadsheets/d/1C3CXT74ZlgGe6_JY_1olB1XN4rF0dxEuIIF-xsYjHgg/edit?usp=sharing"",""งบกองทุน!cz30"")"),0)</f>
        <v>0</v>
      </c>
      <c r="J410" s="150">
        <f t="shared" ref="J410:J411" ca="1" si="90">SUM(J412,J414)</f>
        <v>0</v>
      </c>
      <c r="K410" s="147">
        <f t="shared" ca="1" si="82"/>
        <v>0</v>
      </c>
      <c r="L410" s="61"/>
      <c r="M410" s="61"/>
      <c r="N410" s="61"/>
    </row>
    <row r="411" spans="1:14" ht="21.75" customHeight="1" x14ac:dyDescent="0.4">
      <c r="A411" s="55"/>
      <c r="B411" s="56"/>
      <c r="C411" s="288"/>
      <c r="D411" s="288"/>
      <c r="E411" s="288" t="s">
        <v>175</v>
      </c>
      <c r="F411" s="289"/>
      <c r="G411" s="290"/>
      <c r="H411" s="291" t="s">
        <v>15</v>
      </c>
      <c r="I411" s="150">
        <f ca="1">IFERROR(__xludf.DUMMYFUNCTION("IMPORTRANGE(""https://docs.google.com/spreadsheets/d/1C3CXT74ZlgGe6_JY_1olB1XN4rF0dxEuIIF-xsYjHgg/edit?usp=sharing"",""งบกองทุน!cy30"")"),0)</f>
        <v>0</v>
      </c>
      <c r="J411" s="150">
        <f t="shared" ca="1" si="90"/>
        <v>0</v>
      </c>
      <c r="K411" s="147">
        <f t="shared" ca="1" si="82"/>
        <v>0</v>
      </c>
      <c r="L411" s="61"/>
      <c r="M411" s="61"/>
      <c r="N411" s="61"/>
    </row>
    <row r="412" spans="1:14" ht="21.75" customHeight="1" x14ac:dyDescent="0.4">
      <c r="A412" s="55"/>
      <c r="B412" s="56"/>
      <c r="C412" s="56"/>
      <c r="D412" s="73"/>
      <c r="E412" s="75"/>
      <c r="F412" s="75"/>
      <c r="G412" s="99" t="s">
        <v>176</v>
      </c>
      <c r="H412" s="267" t="s">
        <v>103</v>
      </c>
      <c r="I412" s="48">
        <v>0</v>
      </c>
      <c r="J412" s="67">
        <f ca="1">IFERROR(__xludf.DUMMYFUNCTION("IMPORTRANGE(""https://docs.google.com/spreadsheets/d/1C3CXT74ZlgGe6_JY_1olB1XN4rF0dxEuIIF-xsYjHgg/edit?usp=sharing"",""งบกองทุน!db30"")"),0)</f>
        <v>0</v>
      </c>
      <c r="K412" s="49">
        <f t="shared" si="82"/>
        <v>0</v>
      </c>
      <c r="L412" s="61"/>
      <c r="M412" s="61"/>
      <c r="N412" s="61"/>
    </row>
    <row r="413" spans="1:14" ht="21.75" customHeight="1" x14ac:dyDescent="0.4">
      <c r="A413" s="55"/>
      <c r="B413" s="56"/>
      <c r="C413" s="56"/>
      <c r="D413" s="73"/>
      <c r="E413" s="75"/>
      <c r="F413" s="75"/>
      <c r="G413" s="76"/>
      <c r="H413" s="267" t="s">
        <v>15</v>
      </c>
      <c r="I413" s="48">
        <v>0</v>
      </c>
      <c r="J413" s="67">
        <f ca="1">IFERROR(__xludf.DUMMYFUNCTION("IMPORTRANGE(""https://docs.google.com/spreadsheets/d/1C3CXT74ZlgGe6_JY_1olB1XN4rF0dxEuIIF-xsYjHgg/edit?usp=sharing"",""งบกองทุน!da30"")"),0)</f>
        <v>0</v>
      </c>
      <c r="K413" s="49">
        <f t="shared" si="82"/>
        <v>0</v>
      </c>
      <c r="L413" s="61"/>
      <c r="M413" s="61"/>
      <c r="N413" s="61"/>
    </row>
    <row r="414" spans="1:14" ht="21.75" customHeight="1" x14ac:dyDescent="0.4">
      <c r="A414" s="55"/>
      <c r="B414" s="56"/>
      <c r="C414" s="56"/>
      <c r="D414" s="73"/>
      <c r="E414" s="75"/>
      <c r="F414" s="75"/>
      <c r="G414" s="99" t="s">
        <v>177</v>
      </c>
      <c r="H414" s="267" t="s">
        <v>103</v>
      </c>
      <c r="I414" s="48">
        <v>0</v>
      </c>
      <c r="J414" s="67">
        <f ca="1">IFERROR(__xludf.DUMMYFUNCTION("IMPORTRANGE(""https://docs.google.com/spreadsheets/d/1C3CXT74ZlgGe6_JY_1olB1XN4rF0dxEuIIF-xsYjHgg/edit?usp=sharing"",""งบกองทุน!dd30"")"),0)</f>
        <v>0</v>
      </c>
      <c r="K414" s="49">
        <f t="shared" si="82"/>
        <v>0</v>
      </c>
      <c r="L414" s="61"/>
      <c r="M414" s="61"/>
      <c r="N414" s="61"/>
    </row>
    <row r="415" spans="1:14" ht="21.75" customHeight="1" x14ac:dyDescent="0.4">
      <c r="A415" s="55"/>
      <c r="B415" s="56"/>
      <c r="C415" s="56"/>
      <c r="D415" s="73"/>
      <c r="E415" s="75"/>
      <c r="F415" s="75"/>
      <c r="G415" s="76"/>
      <c r="H415" s="267" t="s">
        <v>15</v>
      </c>
      <c r="I415" s="48">
        <v>0</v>
      </c>
      <c r="J415" s="67">
        <f ca="1">IFERROR(__xludf.DUMMYFUNCTION("IMPORTRANGE(""https://docs.google.com/spreadsheets/d/1C3CXT74ZlgGe6_JY_1olB1XN4rF0dxEuIIF-xsYjHgg/edit?usp=sharing"",""งบกองทุน!dc30"")"),0)</f>
        <v>0</v>
      </c>
      <c r="K415" s="49">
        <f t="shared" si="82"/>
        <v>0</v>
      </c>
      <c r="L415" s="61"/>
      <c r="M415" s="61"/>
      <c r="N415" s="61"/>
    </row>
    <row r="416" spans="1:14" ht="21.75" customHeight="1" x14ac:dyDescent="0.4">
      <c r="A416" s="55"/>
      <c r="B416" s="56"/>
      <c r="C416" s="56"/>
      <c r="D416" s="73"/>
      <c r="E416" s="75"/>
      <c r="F416" s="75"/>
      <c r="G416" s="99" t="s">
        <v>178</v>
      </c>
      <c r="H416" s="267" t="s">
        <v>103</v>
      </c>
      <c r="I416" s="48">
        <v>0</v>
      </c>
      <c r="J416" s="67">
        <f ca="1">IFERROR(__xludf.DUMMYFUNCTION("IMPORTRANGE(""https://docs.google.com/spreadsheets/d/1C3CXT74ZlgGe6_JY_1olB1XN4rF0dxEuIIF-xsYjHgg/edit?usp=sharing"",""งบกองทุน!df30"")"),0)</f>
        <v>0</v>
      </c>
      <c r="K416" s="49">
        <f t="shared" si="82"/>
        <v>0</v>
      </c>
      <c r="L416" s="61"/>
      <c r="M416" s="61"/>
      <c r="N416" s="61"/>
    </row>
    <row r="417" spans="1:14" ht="21.75" customHeight="1" x14ac:dyDescent="0.4">
      <c r="A417" s="55"/>
      <c r="B417" s="56"/>
      <c r="C417" s="56"/>
      <c r="D417" s="73"/>
      <c r="E417" s="75"/>
      <c r="F417" s="75"/>
      <c r="G417" s="76"/>
      <c r="H417" s="267" t="s">
        <v>15</v>
      </c>
      <c r="I417" s="48">
        <v>0</v>
      </c>
      <c r="J417" s="67">
        <f ca="1">IFERROR(__xludf.DUMMYFUNCTION("IMPORTRANGE(""https://docs.google.com/spreadsheets/d/1C3CXT74ZlgGe6_JY_1olB1XN4rF0dxEuIIF-xsYjHgg/edit?usp=sharing"",""งบกองทุน!de30"")"),0)</f>
        <v>0</v>
      </c>
      <c r="K417" s="49">
        <f t="shared" si="82"/>
        <v>0</v>
      </c>
      <c r="L417" s="61"/>
      <c r="M417" s="61"/>
      <c r="N417" s="61"/>
    </row>
    <row r="418" spans="1:14" ht="21.75" customHeight="1" x14ac:dyDescent="0.4">
      <c r="A418" s="55"/>
      <c r="B418" s="56"/>
      <c r="C418" s="288"/>
      <c r="D418" s="288"/>
      <c r="E418" s="288" t="s">
        <v>179</v>
      </c>
      <c r="F418" s="289"/>
      <c r="G418" s="290"/>
      <c r="H418" s="291" t="s">
        <v>103</v>
      </c>
      <c r="I418" s="150">
        <f t="shared" ref="I418:I419" ca="1" si="91">J416</f>
        <v>0</v>
      </c>
      <c r="J418" s="150">
        <f t="shared" ref="J418:J419" si="92">SUM(J420,J422,J424)</f>
        <v>0</v>
      </c>
      <c r="K418" s="147">
        <f t="shared" ca="1" si="82"/>
        <v>0</v>
      </c>
      <c r="L418" s="61"/>
      <c r="M418" s="61"/>
      <c r="N418" s="61"/>
    </row>
    <row r="419" spans="1:14" ht="21.75" customHeight="1" x14ac:dyDescent="0.4">
      <c r="A419" s="55"/>
      <c r="B419" s="56"/>
      <c r="C419" s="288"/>
      <c r="D419" s="288"/>
      <c r="E419" s="288" t="s">
        <v>180</v>
      </c>
      <c r="F419" s="289"/>
      <c r="G419" s="290"/>
      <c r="H419" s="291" t="s">
        <v>15</v>
      </c>
      <c r="I419" s="150">
        <f t="shared" ca="1" si="91"/>
        <v>0</v>
      </c>
      <c r="J419" s="150">
        <f t="shared" si="92"/>
        <v>0</v>
      </c>
      <c r="K419" s="147">
        <f t="shared" ca="1" si="82"/>
        <v>0</v>
      </c>
      <c r="L419" s="61"/>
      <c r="M419" s="61"/>
      <c r="N419" s="61"/>
    </row>
    <row r="420" spans="1:14" ht="21.75" customHeight="1" x14ac:dyDescent="0.4">
      <c r="A420" s="55"/>
      <c r="B420" s="56"/>
      <c r="C420" s="56"/>
      <c r="D420" s="73"/>
      <c r="E420" s="75"/>
      <c r="F420" s="75"/>
      <c r="G420" s="99" t="s">
        <v>176</v>
      </c>
      <c r="H420" s="267" t="s">
        <v>103</v>
      </c>
      <c r="I420" s="48">
        <v>0</v>
      </c>
      <c r="J420" s="68">
        <v>0</v>
      </c>
      <c r="K420" s="49">
        <f t="shared" si="82"/>
        <v>0</v>
      </c>
      <c r="L420" s="61"/>
      <c r="M420" s="61"/>
      <c r="N420" s="61"/>
    </row>
    <row r="421" spans="1:14" ht="21.75" customHeight="1" x14ac:dyDescent="0.4">
      <c r="A421" s="55"/>
      <c r="B421" s="56"/>
      <c r="C421" s="56"/>
      <c r="D421" s="73"/>
      <c r="E421" s="75"/>
      <c r="F421" s="75"/>
      <c r="G421" s="76"/>
      <c r="H421" s="267" t="s">
        <v>15</v>
      </c>
      <c r="I421" s="48">
        <v>0</v>
      </c>
      <c r="J421" s="68">
        <v>0</v>
      </c>
      <c r="K421" s="49">
        <f t="shared" si="82"/>
        <v>0</v>
      </c>
      <c r="L421" s="61"/>
      <c r="M421" s="61"/>
      <c r="N421" s="61"/>
    </row>
    <row r="422" spans="1:14" ht="21.75" customHeight="1" x14ac:dyDescent="0.4">
      <c r="A422" s="55"/>
      <c r="B422" s="56"/>
      <c r="C422" s="56"/>
      <c r="D422" s="73"/>
      <c r="E422" s="75"/>
      <c r="F422" s="75"/>
      <c r="G422" s="99" t="s">
        <v>177</v>
      </c>
      <c r="H422" s="267" t="s">
        <v>103</v>
      </c>
      <c r="I422" s="48">
        <v>0</v>
      </c>
      <c r="J422" s="68">
        <v>0</v>
      </c>
      <c r="K422" s="49">
        <f t="shared" si="82"/>
        <v>0</v>
      </c>
      <c r="L422" s="61"/>
      <c r="M422" s="61"/>
      <c r="N422" s="61"/>
    </row>
    <row r="423" spans="1:14" ht="21.75" customHeight="1" x14ac:dyDescent="0.4">
      <c r="A423" s="55"/>
      <c r="B423" s="56"/>
      <c r="C423" s="56"/>
      <c r="D423" s="73"/>
      <c r="E423" s="75"/>
      <c r="F423" s="75"/>
      <c r="G423" s="76"/>
      <c r="H423" s="267" t="s">
        <v>15</v>
      </c>
      <c r="I423" s="48">
        <v>0</v>
      </c>
      <c r="J423" s="68">
        <v>0</v>
      </c>
      <c r="K423" s="49">
        <f t="shared" si="82"/>
        <v>0</v>
      </c>
      <c r="L423" s="61"/>
      <c r="M423" s="61"/>
      <c r="N423" s="61"/>
    </row>
    <row r="424" spans="1:14" ht="21.75" customHeight="1" x14ac:dyDescent="0.4">
      <c r="A424" s="55"/>
      <c r="B424" s="56"/>
      <c r="C424" s="56"/>
      <c r="D424" s="73"/>
      <c r="E424" s="75"/>
      <c r="F424" s="75"/>
      <c r="G424" s="99" t="s">
        <v>181</v>
      </c>
      <c r="H424" s="267" t="s">
        <v>103</v>
      </c>
      <c r="I424" s="48">
        <v>0</v>
      </c>
      <c r="J424" s="68">
        <v>0</v>
      </c>
      <c r="K424" s="49">
        <f t="shared" si="82"/>
        <v>0</v>
      </c>
      <c r="L424" s="61"/>
      <c r="M424" s="61"/>
      <c r="N424" s="61"/>
    </row>
    <row r="425" spans="1:14" ht="21.75" customHeight="1" x14ac:dyDescent="0.4">
      <c r="A425" s="292"/>
      <c r="B425" s="293"/>
      <c r="C425" s="293"/>
      <c r="D425" s="294"/>
      <c r="E425" s="295"/>
      <c r="F425" s="295"/>
      <c r="G425" s="296"/>
      <c r="H425" s="297" t="s">
        <v>15</v>
      </c>
      <c r="I425" s="298">
        <v>0</v>
      </c>
      <c r="J425" s="299">
        <v>0</v>
      </c>
      <c r="K425" s="309">
        <f t="shared" si="82"/>
        <v>0</v>
      </c>
      <c r="L425" s="300"/>
      <c r="M425" s="300"/>
      <c r="N425" s="300"/>
    </row>
    <row r="426" spans="1:14" ht="21.75" customHeight="1" x14ac:dyDescent="0.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3">I440</f>
        <v>22</v>
      </c>
      <c r="J426" s="257">
        <f t="shared" si="93"/>
        <v>22</v>
      </c>
      <c r="K426" s="258">
        <f ca="1">IF(I426&gt;0,J426*100/I426,0)</f>
        <v>100</v>
      </c>
      <c r="L426" s="259">
        <f t="shared" ref="L426:M426" ca="1" si="94">SUM(L427:L428)</f>
        <v>34340</v>
      </c>
      <c r="M426" s="259">
        <f t="shared" si="94"/>
        <v>20592</v>
      </c>
      <c r="N426" s="259">
        <f t="shared" ref="N426:N430" ca="1" si="95">+IF(L426&gt;0,M426*100/L426,0)</f>
        <v>59.965055329062317</v>
      </c>
    </row>
    <row r="427" spans="1:14" ht="21.75" customHeight="1" x14ac:dyDescent="0.4">
      <c r="A427" s="42"/>
      <c r="B427" s="43"/>
      <c r="C427" s="43" t="s">
        <v>17</v>
      </c>
      <c r="D427" s="44" t="s">
        <v>18</v>
      </c>
      <c r="E427" s="45"/>
      <c r="F427" s="45"/>
      <c r="G427" s="46" t="s">
        <v>19</v>
      </c>
      <c r="H427" s="47" t="s">
        <v>20</v>
      </c>
      <c r="I427" s="48" t="s">
        <v>21</v>
      </c>
      <c r="J427" s="48"/>
      <c r="K427" s="49"/>
      <c r="L427" s="50">
        <v>0</v>
      </c>
      <c r="M427" s="53">
        <v>0</v>
      </c>
      <c r="N427" s="53">
        <f t="shared" si="95"/>
        <v>0</v>
      </c>
    </row>
    <row r="428" spans="1:14" ht="21.75" customHeight="1" x14ac:dyDescent="0.4">
      <c r="A428" s="42"/>
      <c r="B428" s="43"/>
      <c r="C428" s="43"/>
      <c r="D428" s="51"/>
      <c r="E428" s="45"/>
      <c r="F428" s="45" t="s">
        <v>21</v>
      </c>
      <c r="G428" s="46" t="s">
        <v>22</v>
      </c>
      <c r="H428" s="47" t="s">
        <v>20</v>
      </c>
      <c r="I428" s="48"/>
      <c r="J428" s="48"/>
      <c r="K428" s="49"/>
      <c r="L428" s="50">
        <f t="shared" ref="L428:M428" ca="1" si="96">SUM(L429:L430)</f>
        <v>34340</v>
      </c>
      <c r="M428" s="53">
        <f t="shared" si="96"/>
        <v>20592</v>
      </c>
      <c r="N428" s="53">
        <f t="shared" ca="1" si="95"/>
        <v>59.965055329062317</v>
      </c>
    </row>
    <row r="429" spans="1:14" ht="21.75" customHeight="1" x14ac:dyDescent="0.4">
      <c r="A429" s="42"/>
      <c r="B429" s="43"/>
      <c r="C429" s="43"/>
      <c r="D429" s="51"/>
      <c r="E429" s="45"/>
      <c r="F429" s="45"/>
      <c r="G429" s="52" t="s">
        <v>110</v>
      </c>
      <c r="H429" s="47" t="s">
        <v>20</v>
      </c>
      <c r="I429" s="48"/>
      <c r="J429" s="48"/>
      <c r="K429" s="49"/>
      <c r="L429" s="53">
        <f ca="1">IFERROR(__xludf.DUMMYFUNCTION("IMPORTRANGE(""https://docs.google.com/spreadsheets/d/1C3CXT74ZlgGe6_JY_1olB1XN4rF0dxEuIIF-xsYjHgg/edit?usp=sharing"",""งบกองทุน!dn30"")"),0)</f>
        <v>0</v>
      </c>
      <c r="M429" s="53">
        <v>0</v>
      </c>
      <c r="N429" s="53">
        <f t="shared" ca="1" si="95"/>
        <v>0</v>
      </c>
    </row>
    <row r="430" spans="1:14" ht="21.75" customHeight="1" x14ac:dyDescent="0.4">
      <c r="A430" s="42"/>
      <c r="B430" s="43"/>
      <c r="C430" s="43"/>
      <c r="D430" s="51"/>
      <c r="E430" s="45"/>
      <c r="F430" s="45"/>
      <c r="G430" s="52" t="s">
        <v>111</v>
      </c>
      <c r="H430" s="47" t="s">
        <v>20</v>
      </c>
      <c r="I430" s="48"/>
      <c r="J430" s="48"/>
      <c r="K430" s="49"/>
      <c r="L430" s="53">
        <f ca="1">IFERROR(__xludf.DUMMYFUNCTION("IMPORTRANGE(""https://docs.google.com/spreadsheets/d/1C3CXT74ZlgGe6_JY_1olB1XN4rF0dxEuIIF-xsYjHgg/edit?usp=sharing"",""งบกองทุน!do30"")"),34340)</f>
        <v>34340</v>
      </c>
      <c r="M430" s="53">
        <f>SUM(M431:M434)</f>
        <v>20592</v>
      </c>
      <c r="N430" s="53">
        <f t="shared" ca="1" si="95"/>
        <v>59.965055329062317</v>
      </c>
    </row>
    <row r="431" spans="1:14" ht="21.75" customHeight="1" x14ac:dyDescent="0.4">
      <c r="A431" s="230"/>
      <c r="B431" s="231"/>
      <c r="C431" s="43"/>
      <c r="D431" s="232"/>
      <c r="E431" s="45"/>
      <c r="F431" s="45"/>
      <c r="G431" s="46" t="s">
        <v>112</v>
      </c>
      <c r="H431" s="47" t="s">
        <v>20</v>
      </c>
      <c r="I431" s="67"/>
      <c r="J431" s="67"/>
      <c r="K431" s="233"/>
      <c r="L431" s="53"/>
      <c r="M431" s="54">
        <v>17140</v>
      </c>
      <c r="N431" s="53"/>
    </row>
    <row r="432" spans="1:14" ht="21.75" customHeight="1" x14ac:dyDescent="0.4">
      <c r="A432" s="230"/>
      <c r="B432" s="231"/>
      <c r="C432" s="43"/>
      <c r="D432" s="232"/>
      <c r="E432" s="45"/>
      <c r="F432" s="45"/>
      <c r="G432" s="46" t="s">
        <v>113</v>
      </c>
      <c r="H432" s="47" t="s">
        <v>20</v>
      </c>
      <c r="I432" s="67"/>
      <c r="J432" s="67"/>
      <c r="K432" s="233"/>
      <c r="L432" s="53"/>
      <c r="M432" s="54">
        <v>0</v>
      </c>
      <c r="N432" s="53"/>
    </row>
    <row r="433" spans="1:14" ht="21.75" customHeight="1" x14ac:dyDescent="0.4">
      <c r="A433" s="230"/>
      <c r="B433" s="231"/>
      <c r="C433" s="43"/>
      <c r="D433" s="232"/>
      <c r="E433" s="45"/>
      <c r="F433" s="45"/>
      <c r="G433" s="46" t="s">
        <v>114</v>
      </c>
      <c r="H433" s="47" t="s">
        <v>20</v>
      </c>
      <c r="I433" s="67"/>
      <c r="J433" s="67"/>
      <c r="K433" s="233"/>
      <c r="L433" s="53"/>
      <c r="M433" s="54">
        <v>0</v>
      </c>
      <c r="N433" s="53"/>
    </row>
    <row r="434" spans="1:14" ht="21.75" customHeight="1" x14ac:dyDescent="0.4">
      <c r="A434" s="230"/>
      <c r="B434" s="231"/>
      <c r="C434" s="43"/>
      <c r="D434" s="232"/>
      <c r="E434" s="45"/>
      <c r="F434" s="45"/>
      <c r="G434" s="46" t="s">
        <v>115</v>
      </c>
      <c r="H434" s="47" t="s">
        <v>20</v>
      </c>
      <c r="I434" s="67"/>
      <c r="J434" s="67"/>
      <c r="K434" s="233"/>
      <c r="L434" s="53"/>
      <c r="M434" s="54">
        <v>3452</v>
      </c>
      <c r="N434" s="53"/>
    </row>
    <row r="435" spans="1:14" ht="21.75" customHeight="1" x14ac:dyDescent="0.4">
      <c r="A435" s="55"/>
      <c r="B435" s="56"/>
      <c r="C435" s="43" t="s">
        <v>17</v>
      </c>
      <c r="D435" s="57" t="s">
        <v>25</v>
      </c>
      <c r="E435" s="58"/>
      <c r="F435" s="58"/>
      <c r="G435" s="59"/>
      <c r="H435" s="60"/>
      <c r="I435" s="48"/>
      <c r="J435" s="48"/>
      <c r="K435" s="49"/>
      <c r="L435" s="61"/>
      <c r="M435" s="61"/>
      <c r="N435" s="61"/>
    </row>
    <row r="436" spans="1:14" ht="21.75" customHeight="1" x14ac:dyDescent="0.4">
      <c r="A436" s="55"/>
      <c r="B436" s="56"/>
      <c r="C436" s="56"/>
      <c r="D436" s="62">
        <v>1</v>
      </c>
      <c r="E436" s="63" t="s">
        <v>26</v>
      </c>
      <c r="F436" s="64"/>
      <c r="G436" s="65"/>
      <c r="H436" s="66"/>
      <c r="I436" s="67"/>
      <c r="J436" s="68">
        <v>0</v>
      </c>
      <c r="K436" s="49"/>
      <c r="L436" s="61"/>
      <c r="M436" s="61"/>
      <c r="N436" s="61"/>
    </row>
    <row r="437" spans="1:14" ht="21.75" customHeight="1" x14ac:dyDescent="0.4">
      <c r="A437" s="55"/>
      <c r="B437" s="56"/>
      <c r="C437" s="56"/>
      <c r="D437" s="69">
        <v>2</v>
      </c>
      <c r="E437" s="70" t="s">
        <v>27</v>
      </c>
      <c r="F437" s="71"/>
      <c r="G437" s="72"/>
      <c r="H437" s="66"/>
      <c r="I437" s="67"/>
      <c r="J437" s="68">
        <v>1</v>
      </c>
      <c r="K437" s="49"/>
      <c r="L437" s="61" t="s">
        <v>21</v>
      </c>
      <c r="M437" s="61" t="s">
        <v>21</v>
      </c>
      <c r="N437" s="61"/>
    </row>
    <row r="438" spans="1:14" ht="21.75" customHeight="1" x14ac:dyDescent="0.4">
      <c r="A438" s="55"/>
      <c r="B438" s="56"/>
      <c r="C438" s="56"/>
      <c r="D438" s="73"/>
      <c r="E438" s="74" t="s">
        <v>28</v>
      </c>
      <c r="F438" s="75"/>
      <c r="G438" s="76"/>
      <c r="H438" s="66"/>
      <c r="I438" s="67"/>
      <c r="J438" s="68">
        <v>1</v>
      </c>
      <c r="K438" s="49"/>
      <c r="L438" s="61"/>
      <c r="M438" s="61"/>
      <c r="N438" s="61"/>
    </row>
    <row r="439" spans="1:14" ht="21.75" customHeight="1" x14ac:dyDescent="0.4">
      <c r="A439" s="55"/>
      <c r="B439" s="56"/>
      <c r="C439" s="56"/>
      <c r="D439" s="73"/>
      <c r="E439" s="74" t="s">
        <v>29</v>
      </c>
      <c r="F439" s="75"/>
      <c r="G439" s="76"/>
      <c r="H439" s="66"/>
      <c r="I439" s="67"/>
      <c r="J439" s="68">
        <v>1</v>
      </c>
      <c r="K439" s="49"/>
      <c r="L439" s="61"/>
      <c r="M439" s="61"/>
      <c r="N439" s="61"/>
    </row>
    <row r="440" spans="1:14" ht="21.75" customHeight="1" x14ac:dyDescent="0.4">
      <c r="A440" s="55"/>
      <c r="B440" s="56"/>
      <c r="C440" s="56"/>
      <c r="D440" s="73"/>
      <c r="E440" s="77"/>
      <c r="F440" s="75"/>
      <c r="G440" s="99" t="s">
        <v>183</v>
      </c>
      <c r="H440" s="66" t="s">
        <v>16</v>
      </c>
      <c r="I440" s="200">
        <f ca="1">IFERROR(__xludf.DUMMYFUNCTION("IMPORTRANGE(""https://docs.google.com/spreadsheets/d/1C3CXT74ZlgGe6_JY_1olB1XN4rF0dxEuIIF-xsYjHgg/edit?usp=sharing"",""งบกองทุน!dq30"")"),22)</f>
        <v>22</v>
      </c>
      <c r="J440" s="68">
        <v>22</v>
      </c>
      <c r="K440" s="49">
        <f t="shared" ref="K440:K441" ca="1" si="97">IF(I440&gt;0,J440*100/I440,0)</f>
        <v>100</v>
      </c>
      <c r="L440" s="61"/>
      <c r="M440" s="61"/>
      <c r="N440" s="61"/>
    </row>
    <row r="441" spans="1:14" ht="21.75" hidden="1" customHeight="1" x14ac:dyDescent="0.4">
      <c r="A441" s="55"/>
      <c r="B441" s="56"/>
      <c r="C441" s="56"/>
      <c r="D441" s="73"/>
      <c r="E441" s="77"/>
      <c r="F441" s="75"/>
      <c r="G441" s="99" t="s">
        <v>184</v>
      </c>
      <c r="H441" s="66" t="s">
        <v>16</v>
      </c>
      <c r="I441" s="200">
        <f ca="1">IFERROR(__xludf.DUMMYFUNCTION("IMPORTRANGE(""https://docs.google.com/spreadsheets/d/1C3CXT74ZlgGe6_JY_1olB1XN4rF0dxEuIIF-xsYjHgg/edit?usp=sharing"",""งบกองทุน!dr30"")"),22)</f>
        <v>22</v>
      </c>
      <c r="J441" s="68">
        <v>0</v>
      </c>
      <c r="K441" s="49">
        <f t="shared" ca="1" si="97"/>
        <v>0</v>
      </c>
      <c r="L441" s="61"/>
      <c r="M441" s="61"/>
      <c r="N441" s="61"/>
    </row>
    <row r="442" spans="1:14" ht="21.75" customHeight="1" x14ac:dyDescent="0.4">
      <c r="A442" s="55"/>
      <c r="B442" s="56"/>
      <c r="C442" s="56"/>
      <c r="D442" s="73"/>
      <c r="E442" s="74" t="s">
        <v>35</v>
      </c>
      <c r="F442" s="75"/>
      <c r="G442" s="76"/>
      <c r="H442" s="66"/>
      <c r="I442" s="67"/>
      <c r="J442" s="308">
        <v>0</v>
      </c>
      <c r="K442" s="49"/>
      <c r="L442" s="61"/>
      <c r="M442" s="61"/>
      <c r="N442" s="61"/>
    </row>
    <row r="443" spans="1:14" ht="21.75" customHeight="1" x14ac:dyDescent="0.4">
      <c r="A443" s="292"/>
      <c r="B443" s="293"/>
      <c r="C443" s="293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309"/>
      <c r="L443" s="300"/>
      <c r="M443" s="300"/>
      <c r="N443" s="300"/>
    </row>
    <row r="444" spans="1:14" ht="21.75" customHeight="1" x14ac:dyDescent="0.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8">SUM(I453,I455)</f>
        <v>0</v>
      </c>
      <c r="J444" s="257">
        <f t="shared" si="98"/>
        <v>0</v>
      </c>
      <c r="K444" s="258">
        <f ca="1">IF(I444&gt;0,J444*100/I444,0)</f>
        <v>0</v>
      </c>
      <c r="L444" s="259">
        <f t="shared" ref="L444:M444" ca="1" si="99">SUM(L445:L446)</f>
        <v>0</v>
      </c>
      <c r="M444" s="259">
        <f t="shared" si="99"/>
        <v>0</v>
      </c>
      <c r="N444" s="259">
        <f t="shared" ref="N444:N448" ca="1" si="100">+IF(L444&gt;0,M444*100/L444,0)</f>
        <v>0</v>
      </c>
    </row>
    <row r="445" spans="1:14" ht="21.75" customHeight="1" x14ac:dyDescent="0.4">
      <c r="A445" s="42"/>
      <c r="B445" s="43"/>
      <c r="C445" s="43" t="s">
        <v>17</v>
      </c>
      <c r="D445" s="44" t="s">
        <v>18</v>
      </c>
      <c r="E445" s="45"/>
      <c r="F445" s="45"/>
      <c r="G445" s="46" t="s">
        <v>19</v>
      </c>
      <c r="H445" s="47" t="s">
        <v>20</v>
      </c>
      <c r="I445" s="48" t="s">
        <v>21</v>
      </c>
      <c r="J445" s="48"/>
      <c r="K445" s="49"/>
      <c r="L445" s="50">
        <v>0</v>
      </c>
      <c r="M445" s="53">
        <v>0</v>
      </c>
      <c r="N445" s="53">
        <f t="shared" si="100"/>
        <v>0</v>
      </c>
    </row>
    <row r="446" spans="1:14" ht="21.75" customHeight="1" x14ac:dyDescent="0.4">
      <c r="A446" s="42"/>
      <c r="B446" s="43"/>
      <c r="C446" s="43"/>
      <c r="D446" s="51"/>
      <c r="E446" s="45"/>
      <c r="F446" s="45" t="s">
        <v>21</v>
      </c>
      <c r="G446" s="46" t="s">
        <v>22</v>
      </c>
      <c r="H446" s="47" t="s">
        <v>20</v>
      </c>
      <c r="I446" s="48"/>
      <c r="J446" s="48"/>
      <c r="K446" s="49"/>
      <c r="L446" s="50">
        <f t="shared" ref="L446:M446" ca="1" si="101">SUM(L447:L448)</f>
        <v>0</v>
      </c>
      <c r="M446" s="53">
        <f t="shared" si="101"/>
        <v>0</v>
      </c>
      <c r="N446" s="53">
        <f t="shared" ca="1" si="100"/>
        <v>0</v>
      </c>
    </row>
    <row r="447" spans="1:14" ht="21.75" customHeight="1" x14ac:dyDescent="0.4">
      <c r="A447" s="42"/>
      <c r="B447" s="43"/>
      <c r="C447" s="43"/>
      <c r="D447" s="51"/>
      <c r="E447" s="45"/>
      <c r="F447" s="45"/>
      <c r="G447" s="52" t="s">
        <v>110</v>
      </c>
      <c r="H447" s="47" t="s">
        <v>20</v>
      </c>
      <c r="I447" s="48"/>
      <c r="J447" s="48"/>
      <c r="K447" s="49"/>
      <c r="L447" s="53">
        <f ca="1">IFERROR(__xludf.DUMMYFUNCTION("IMPORTRANGE(""https://docs.google.com/spreadsheets/d/1C3CXT74ZlgGe6_JY_1olB1XN4rF0dxEuIIF-xsYjHgg/edit?usp=sharing"",""งบกองทุน!dt30"")"),0)</f>
        <v>0</v>
      </c>
      <c r="M447" s="53">
        <v>0</v>
      </c>
      <c r="N447" s="53">
        <f t="shared" ca="1" si="100"/>
        <v>0</v>
      </c>
    </row>
    <row r="448" spans="1:14" ht="21.75" customHeight="1" x14ac:dyDescent="0.4">
      <c r="A448" s="42"/>
      <c r="B448" s="43"/>
      <c r="C448" s="43"/>
      <c r="D448" s="51"/>
      <c r="E448" s="45"/>
      <c r="F448" s="45"/>
      <c r="G448" s="52" t="s">
        <v>111</v>
      </c>
      <c r="H448" s="47" t="s">
        <v>20</v>
      </c>
      <c r="I448" s="48"/>
      <c r="J448" s="48"/>
      <c r="K448" s="49"/>
      <c r="L448" s="53">
        <f ca="1">IFERROR(__xludf.DUMMYFUNCTION("IMPORTRANGE(""https://docs.google.com/spreadsheets/d/1C3CXT74ZlgGe6_JY_1olB1XN4rF0dxEuIIF-xsYjHgg/edit?usp=sharing"",""งบกองทุน!du30"")"),0)</f>
        <v>0</v>
      </c>
      <c r="M448" s="53">
        <f>SUM(M449:M452)</f>
        <v>0</v>
      </c>
      <c r="N448" s="53">
        <f t="shared" ca="1" si="100"/>
        <v>0</v>
      </c>
    </row>
    <row r="449" spans="1:14" ht="21.75" customHeight="1" x14ac:dyDescent="0.4">
      <c r="A449" s="230"/>
      <c r="B449" s="231"/>
      <c r="C449" s="43"/>
      <c r="D449" s="232"/>
      <c r="E449" s="45"/>
      <c r="F449" s="45"/>
      <c r="G449" s="46" t="s">
        <v>112</v>
      </c>
      <c r="H449" s="47" t="s">
        <v>20</v>
      </c>
      <c r="I449" s="67"/>
      <c r="J449" s="67"/>
      <c r="K449" s="233"/>
      <c r="L449" s="53"/>
      <c r="M449" s="53">
        <v>0</v>
      </c>
      <c r="N449" s="53"/>
    </row>
    <row r="450" spans="1:14" ht="21.75" customHeight="1" x14ac:dyDescent="0.4">
      <c r="A450" s="230"/>
      <c r="B450" s="231"/>
      <c r="C450" s="43"/>
      <c r="D450" s="232"/>
      <c r="E450" s="45"/>
      <c r="F450" s="45"/>
      <c r="G450" s="46" t="s">
        <v>113</v>
      </c>
      <c r="H450" s="47" t="s">
        <v>20</v>
      </c>
      <c r="I450" s="67"/>
      <c r="J450" s="67"/>
      <c r="K450" s="233"/>
      <c r="L450" s="53"/>
      <c r="M450" s="53">
        <v>0</v>
      </c>
      <c r="N450" s="53"/>
    </row>
    <row r="451" spans="1:14" ht="21.75" customHeight="1" x14ac:dyDescent="0.4">
      <c r="A451" s="230"/>
      <c r="B451" s="231"/>
      <c r="C451" s="43"/>
      <c r="D451" s="232"/>
      <c r="E451" s="45"/>
      <c r="F451" s="45"/>
      <c r="G451" s="46" t="s">
        <v>114</v>
      </c>
      <c r="H451" s="47" t="s">
        <v>20</v>
      </c>
      <c r="I451" s="67"/>
      <c r="J451" s="67"/>
      <c r="K451" s="233"/>
      <c r="L451" s="53"/>
      <c r="M451" s="53">
        <v>0</v>
      </c>
      <c r="N451" s="53"/>
    </row>
    <row r="452" spans="1:14" ht="21.75" customHeight="1" x14ac:dyDescent="0.4">
      <c r="A452" s="230"/>
      <c r="B452" s="231"/>
      <c r="C452" s="43"/>
      <c r="D452" s="232"/>
      <c r="E452" s="45"/>
      <c r="F452" s="45"/>
      <c r="G452" s="46" t="s">
        <v>115</v>
      </c>
      <c r="H452" s="47" t="s">
        <v>20</v>
      </c>
      <c r="I452" s="67"/>
      <c r="J452" s="67"/>
      <c r="K452" s="233"/>
      <c r="L452" s="53"/>
      <c r="M452" s="53">
        <v>0</v>
      </c>
      <c r="N452" s="53"/>
    </row>
    <row r="453" spans="1:14" ht="21.75" customHeight="1" x14ac:dyDescent="0.4">
      <c r="A453" s="55"/>
      <c r="B453" s="56"/>
      <c r="C453" s="56"/>
      <c r="D453" s="73"/>
      <c r="E453" s="75"/>
      <c r="F453" s="75" t="s">
        <v>186</v>
      </c>
      <c r="G453" s="76"/>
      <c r="H453" s="315" t="s">
        <v>103</v>
      </c>
      <c r="I453" s="48">
        <f ca="1">IFERROR(__xludf.DUMMYFUNCTION("IMPORTRANGE(""https://docs.google.com/spreadsheets/d/1C3CXT74ZlgGe6_JY_1olB1XN4rF0dxEuIIF-xsYjHgg/edit?usp=sharing"",""งบกองทุน!dw30"")"),0)</f>
        <v>0</v>
      </c>
      <c r="J453" s="67">
        <v>0</v>
      </c>
      <c r="K453" s="233">
        <f t="shared" ref="K453:K457" ca="1" si="102">IF(I453&gt;0,J453*100/I453,0)</f>
        <v>0</v>
      </c>
      <c r="L453" s="53"/>
      <c r="M453" s="53"/>
      <c r="N453" s="61"/>
    </row>
    <row r="454" spans="1:14" ht="21.75" customHeight="1" x14ac:dyDescent="0.4">
      <c r="A454" s="55"/>
      <c r="B454" s="56"/>
      <c r="C454" s="56"/>
      <c r="D454" s="73"/>
      <c r="E454" s="75"/>
      <c r="F454" s="75"/>
      <c r="G454" s="76"/>
      <c r="H454" s="315" t="s">
        <v>15</v>
      </c>
      <c r="I454" s="48">
        <f ca="1">IFERROR(__xludf.DUMMYFUNCTION("IMPORTRANGE(""https://docs.google.com/spreadsheets/d/1C3CXT74ZlgGe6_JY_1olB1XN4rF0dxEuIIF-xsYjHgg/edit?usp=sharing"",""งบกองทุน!dx30"")"),0)</f>
        <v>0</v>
      </c>
      <c r="J454" s="67">
        <v>0</v>
      </c>
      <c r="K454" s="233">
        <f t="shared" ca="1" si="102"/>
        <v>0</v>
      </c>
      <c r="L454" s="53"/>
      <c r="M454" s="53"/>
      <c r="N454" s="61"/>
    </row>
    <row r="455" spans="1:14" ht="21.75" customHeight="1" x14ac:dyDescent="0.4">
      <c r="A455" s="55"/>
      <c r="B455" s="56"/>
      <c r="C455" s="56"/>
      <c r="D455" s="73"/>
      <c r="E455" s="75"/>
      <c r="F455" s="75" t="s">
        <v>187</v>
      </c>
      <c r="G455" s="76"/>
      <c r="H455" s="315" t="s">
        <v>103</v>
      </c>
      <c r="I455" s="48">
        <f ca="1">IFERROR(__xludf.DUMMYFUNCTION("IMPORTRANGE(""https://docs.google.com/spreadsheets/d/1C3CXT74ZlgGe6_JY_1olB1XN4rF0dxEuIIF-xsYjHgg/edit?usp=sharing"",""งบกองทุน!dy30"")"),0)</f>
        <v>0</v>
      </c>
      <c r="J455" s="67">
        <v>0</v>
      </c>
      <c r="K455" s="233">
        <f t="shared" ca="1" si="102"/>
        <v>0</v>
      </c>
      <c r="L455" s="53"/>
      <c r="M455" s="53"/>
      <c r="N455" s="61"/>
    </row>
    <row r="456" spans="1:14" ht="21.75" customHeight="1" x14ac:dyDescent="0.4">
      <c r="A456" s="55"/>
      <c r="B456" s="56"/>
      <c r="C456" s="56"/>
      <c r="D456" s="73"/>
      <c r="E456" s="75"/>
      <c r="F456" s="75"/>
      <c r="G456" s="76"/>
      <c r="H456" s="315" t="s">
        <v>15</v>
      </c>
      <c r="I456" s="48">
        <f ca="1">IFERROR(__xludf.DUMMYFUNCTION("IMPORTRANGE(""https://docs.google.com/spreadsheets/d/1C3CXT74ZlgGe6_JY_1olB1XN4rF0dxEuIIF-xsYjHgg/edit?usp=sharing"",""งบกองทุน!dz30"")"),0)</f>
        <v>0</v>
      </c>
      <c r="J456" s="67">
        <v>0</v>
      </c>
      <c r="K456" s="233">
        <f t="shared" ca="1" si="102"/>
        <v>0</v>
      </c>
      <c r="L456" s="53"/>
      <c r="M456" s="53"/>
      <c r="N456" s="61"/>
    </row>
    <row r="457" spans="1:14" ht="21.75" customHeight="1" x14ac:dyDescent="0.4">
      <c r="A457" s="222"/>
      <c r="B457" s="223">
        <v>8</v>
      </c>
      <c r="C457" s="224" t="s">
        <v>188</v>
      </c>
      <c r="D457" s="224"/>
      <c r="E457" s="224"/>
      <c r="F457" s="224"/>
      <c r="G457" s="225"/>
      <c r="H457" s="226" t="s">
        <v>16</v>
      </c>
      <c r="I457" s="227">
        <f ca="1">I466</f>
        <v>1200</v>
      </c>
      <c r="J457" s="227">
        <f>+J466</f>
        <v>718</v>
      </c>
      <c r="K457" s="228">
        <f t="shared" ca="1" si="102"/>
        <v>59.833333333333336</v>
      </c>
      <c r="L457" s="229">
        <f t="shared" ref="L457:M457" ca="1" si="103">SUM(L458:L459)</f>
        <v>126480</v>
      </c>
      <c r="M457" s="229">
        <f t="shared" si="103"/>
        <v>3832</v>
      </c>
      <c r="N457" s="229">
        <f t="shared" ref="N457:N461" ca="1" si="104">+IF(L457&gt;0,M457*100/L457,0)</f>
        <v>3.0297280202403543</v>
      </c>
    </row>
    <row r="458" spans="1:14" ht="21.75" customHeight="1" x14ac:dyDescent="0.4">
      <c r="A458" s="42"/>
      <c r="B458" s="43"/>
      <c r="C458" s="43" t="s">
        <v>17</v>
      </c>
      <c r="D458" s="44" t="s">
        <v>18</v>
      </c>
      <c r="E458" s="45"/>
      <c r="F458" s="45"/>
      <c r="G458" s="46" t="s">
        <v>19</v>
      </c>
      <c r="H458" s="47" t="s">
        <v>20</v>
      </c>
      <c r="I458" s="48" t="s">
        <v>21</v>
      </c>
      <c r="J458" s="48"/>
      <c r="K458" s="49"/>
      <c r="L458" s="50">
        <v>0</v>
      </c>
      <c r="M458" s="53">
        <v>0</v>
      </c>
      <c r="N458" s="53">
        <f t="shared" si="104"/>
        <v>0</v>
      </c>
    </row>
    <row r="459" spans="1:14" ht="21.75" customHeight="1" x14ac:dyDescent="0.4">
      <c r="A459" s="42"/>
      <c r="B459" s="43"/>
      <c r="C459" s="43"/>
      <c r="D459" s="51"/>
      <c r="E459" s="45"/>
      <c r="F459" s="45" t="s">
        <v>21</v>
      </c>
      <c r="G459" s="46" t="s">
        <v>22</v>
      </c>
      <c r="H459" s="47" t="s">
        <v>20</v>
      </c>
      <c r="I459" s="48"/>
      <c r="J459" s="48"/>
      <c r="K459" s="49"/>
      <c r="L459" s="50">
        <f t="shared" ref="L459:M459" ca="1" si="105">SUM(L460:L461)</f>
        <v>126480</v>
      </c>
      <c r="M459" s="53">
        <f t="shared" si="105"/>
        <v>3832</v>
      </c>
      <c r="N459" s="53">
        <f t="shared" ca="1" si="104"/>
        <v>3.0297280202403543</v>
      </c>
    </row>
    <row r="460" spans="1:14" ht="21.75" customHeight="1" x14ac:dyDescent="0.4">
      <c r="A460" s="42"/>
      <c r="B460" s="43"/>
      <c r="C460" s="43"/>
      <c r="D460" s="51"/>
      <c r="E460" s="45"/>
      <c r="F460" s="45"/>
      <c r="G460" s="52" t="s">
        <v>110</v>
      </c>
      <c r="H460" s="47" t="s">
        <v>20</v>
      </c>
      <c r="I460" s="48"/>
      <c r="J460" s="48"/>
      <c r="K460" s="49"/>
      <c r="L460" s="53">
        <f ca="1">IFERROR(__xludf.DUMMYFUNCTION("IMPORTRANGE(""https://docs.google.com/spreadsheets/d/1C3CXT74ZlgGe6_JY_1olB1XN4rF0dxEuIIF-xsYjHgg/edit?usp=sharing"",""งบกองทุน!Eb30"")"),0)</f>
        <v>0</v>
      </c>
      <c r="M460" s="53">
        <v>0</v>
      </c>
      <c r="N460" s="53">
        <f t="shared" ca="1" si="104"/>
        <v>0</v>
      </c>
    </row>
    <row r="461" spans="1:14" ht="21.75" customHeight="1" x14ac:dyDescent="0.4">
      <c r="A461" s="42"/>
      <c r="B461" s="43"/>
      <c r="C461" s="43"/>
      <c r="D461" s="51"/>
      <c r="E461" s="45"/>
      <c r="F461" s="45"/>
      <c r="G461" s="52" t="s">
        <v>111</v>
      </c>
      <c r="H461" s="47" t="s">
        <v>20</v>
      </c>
      <c r="I461" s="48"/>
      <c r="J461" s="48"/>
      <c r="K461" s="49"/>
      <c r="L461" s="53">
        <f ca="1">IFERROR(__xludf.DUMMYFUNCTION("IMPORTRANGE(""https://docs.google.com/spreadsheets/d/1C3CXT74ZlgGe6_JY_1olB1XN4rF0dxEuIIF-xsYjHgg/edit?usp=sharing"",""งบกองทุน!Ec30"")"),126480)</f>
        <v>126480</v>
      </c>
      <c r="M461" s="53">
        <f>SUM(M462:M465)</f>
        <v>3832</v>
      </c>
      <c r="N461" s="53">
        <f t="shared" ca="1" si="104"/>
        <v>3.0297280202403543</v>
      </c>
    </row>
    <row r="462" spans="1:14" ht="21.75" customHeight="1" x14ac:dyDescent="0.4">
      <c r="A462" s="230"/>
      <c r="B462" s="231"/>
      <c r="C462" s="43"/>
      <c r="D462" s="232"/>
      <c r="E462" s="45"/>
      <c r="F462" s="45"/>
      <c r="G462" s="46" t="s">
        <v>112</v>
      </c>
      <c r="H462" s="47" t="s">
        <v>20</v>
      </c>
      <c r="I462" s="67"/>
      <c r="J462" s="67"/>
      <c r="K462" s="233"/>
      <c r="L462" s="53"/>
      <c r="M462" s="53">
        <v>0</v>
      </c>
      <c r="N462" s="53"/>
    </row>
    <row r="463" spans="1:14" ht="21.75" customHeight="1" x14ac:dyDescent="0.4">
      <c r="A463" s="230"/>
      <c r="B463" s="231"/>
      <c r="C463" s="43"/>
      <c r="D463" s="232"/>
      <c r="E463" s="45"/>
      <c r="F463" s="45"/>
      <c r="G463" s="46" t="s">
        <v>113</v>
      </c>
      <c r="H463" s="47" t="s">
        <v>20</v>
      </c>
      <c r="I463" s="67"/>
      <c r="J463" s="67"/>
      <c r="K463" s="233"/>
      <c r="L463" s="53"/>
      <c r="M463" s="53">
        <v>0</v>
      </c>
      <c r="N463" s="53"/>
    </row>
    <row r="464" spans="1:14" ht="21.75" customHeight="1" x14ac:dyDescent="0.4">
      <c r="A464" s="230"/>
      <c r="B464" s="231"/>
      <c r="C464" s="43"/>
      <c r="D464" s="232"/>
      <c r="E464" s="45"/>
      <c r="F464" s="45"/>
      <c r="G464" s="46" t="s">
        <v>114</v>
      </c>
      <c r="H464" s="47" t="s">
        <v>20</v>
      </c>
      <c r="I464" s="67"/>
      <c r="J464" s="67"/>
      <c r="K464" s="233"/>
      <c r="L464" s="53"/>
      <c r="M464" s="54">
        <v>0</v>
      </c>
      <c r="N464" s="53"/>
    </row>
    <row r="465" spans="1:14" ht="21.75" customHeight="1" x14ac:dyDescent="0.4">
      <c r="A465" s="230"/>
      <c r="B465" s="231"/>
      <c r="C465" s="43"/>
      <c r="D465" s="232"/>
      <c r="E465" s="45"/>
      <c r="F465" s="45"/>
      <c r="G465" s="46" t="s">
        <v>115</v>
      </c>
      <c r="H465" s="47" t="s">
        <v>20</v>
      </c>
      <c r="I465" s="67"/>
      <c r="J465" s="67"/>
      <c r="K465" s="233"/>
      <c r="L465" s="53"/>
      <c r="M465" s="54">
        <v>3832</v>
      </c>
      <c r="N465" s="53"/>
    </row>
    <row r="466" spans="1:14" ht="21.75" customHeight="1" x14ac:dyDescent="0.4">
      <c r="A466" s="55"/>
      <c r="B466" s="56"/>
      <c r="C466" s="56"/>
      <c r="D466" s="75"/>
      <c r="E466" s="74" t="s">
        <v>21</v>
      </c>
      <c r="F466" s="260" t="s">
        <v>189</v>
      </c>
      <c r="G466" s="240"/>
      <c r="H466" s="314" t="s">
        <v>16</v>
      </c>
      <c r="I466" s="265">
        <f ca="1">IFERROR(__xludf.DUMMYFUNCTION("IMPORTRANGE(""https://docs.google.com/spreadsheets/d/1C3CXT74ZlgGe6_JY_1olB1XN4rF0dxEuIIF-xsYjHgg/edit?usp=sharing"",""งบกองทุน!Ed30"")"),1200)</f>
        <v>1200</v>
      </c>
      <c r="J466" s="265">
        <f>+J469+J470+J471+J472</f>
        <v>718</v>
      </c>
      <c r="K466" s="80">
        <f ca="1">IF(I466&gt;0,J466*100/I466,0)</f>
        <v>59.833333333333336</v>
      </c>
      <c r="L466" s="61"/>
      <c r="M466" s="61"/>
      <c r="N466" s="61"/>
    </row>
    <row r="467" spans="1:14" ht="21.75" customHeight="1" x14ac:dyDescent="0.4">
      <c r="A467" s="55"/>
      <c r="B467" s="56"/>
      <c r="C467" s="56"/>
      <c r="D467" s="75"/>
      <c r="E467" s="75"/>
      <c r="F467" s="74" t="s">
        <v>190</v>
      </c>
      <c r="G467" s="76"/>
      <c r="H467" s="315"/>
      <c r="I467" s="48"/>
      <c r="J467" s="48"/>
      <c r="K467" s="49"/>
      <c r="L467" s="61"/>
      <c r="M467" s="61"/>
      <c r="N467" s="61"/>
    </row>
    <row r="468" spans="1:14" ht="21.75" customHeight="1" x14ac:dyDescent="0.4">
      <c r="A468" s="55"/>
      <c r="B468" s="56"/>
      <c r="C468" s="56"/>
      <c r="D468" s="75"/>
      <c r="E468" s="74" t="s">
        <v>21</v>
      </c>
      <c r="F468" s="74" t="s">
        <v>191</v>
      </c>
      <c r="G468" s="76"/>
      <c r="H468" s="315" t="s">
        <v>57</v>
      </c>
      <c r="I468" s="48">
        <v>0</v>
      </c>
      <c r="J468" s="68">
        <v>2</v>
      </c>
      <c r="K468" s="49">
        <f t="shared" ref="K468:K472" si="106">IF(I468&gt;0,J468*100/I468,0)</f>
        <v>0</v>
      </c>
      <c r="L468" s="61"/>
      <c r="M468" s="61"/>
      <c r="N468" s="61"/>
    </row>
    <row r="469" spans="1:14" ht="21.75" customHeight="1" x14ac:dyDescent="0.4">
      <c r="A469" s="55"/>
      <c r="B469" s="56"/>
      <c r="C469" s="56"/>
      <c r="D469" s="75"/>
      <c r="E469" s="75"/>
      <c r="F469" s="74" t="s">
        <v>192</v>
      </c>
      <c r="G469" s="76"/>
      <c r="H469" s="315" t="s">
        <v>16</v>
      </c>
      <c r="I469" s="48">
        <v>0</v>
      </c>
      <c r="J469" s="68">
        <v>96</v>
      </c>
      <c r="K469" s="49">
        <f t="shared" si="106"/>
        <v>0</v>
      </c>
      <c r="L469" s="61"/>
      <c r="M469" s="61"/>
      <c r="N469" s="61"/>
    </row>
    <row r="470" spans="1:14" ht="21.75" customHeight="1" x14ac:dyDescent="0.4">
      <c r="A470" s="55"/>
      <c r="B470" s="56"/>
      <c r="C470" s="56"/>
      <c r="D470" s="75"/>
      <c r="E470" s="75"/>
      <c r="F470" s="74" t="s">
        <v>193</v>
      </c>
      <c r="G470" s="76"/>
      <c r="H470" s="315" t="s">
        <v>16</v>
      </c>
      <c r="I470" s="48">
        <v>0</v>
      </c>
      <c r="J470" s="68">
        <v>622</v>
      </c>
      <c r="K470" s="49">
        <f t="shared" si="106"/>
        <v>0</v>
      </c>
      <c r="L470" s="61"/>
      <c r="M470" s="61"/>
      <c r="N470" s="61"/>
    </row>
    <row r="471" spans="1:14" ht="21.75" customHeight="1" x14ac:dyDescent="0.4">
      <c r="A471" s="55"/>
      <c r="B471" s="56"/>
      <c r="C471" s="56"/>
      <c r="D471" s="75"/>
      <c r="E471" s="75"/>
      <c r="F471" s="74" t="s">
        <v>194</v>
      </c>
      <c r="G471" s="266"/>
      <c r="H471" s="315" t="s">
        <v>16</v>
      </c>
      <c r="I471" s="48">
        <v>0</v>
      </c>
      <c r="J471" s="68">
        <v>0</v>
      </c>
      <c r="K471" s="49">
        <f t="shared" si="106"/>
        <v>0</v>
      </c>
      <c r="L471" s="61"/>
      <c r="M471" s="61"/>
      <c r="N471" s="61"/>
    </row>
    <row r="472" spans="1:14" ht="21.75" customHeight="1" x14ac:dyDescent="0.4">
      <c r="A472" s="55"/>
      <c r="B472" s="56"/>
      <c r="C472" s="56"/>
      <c r="D472" s="75"/>
      <c r="E472" s="75"/>
      <c r="F472" s="74" t="s">
        <v>195</v>
      </c>
      <c r="G472" s="266"/>
      <c r="H472" s="315" t="s">
        <v>16</v>
      </c>
      <c r="I472" s="48">
        <v>0</v>
      </c>
      <c r="J472" s="68">
        <v>0</v>
      </c>
      <c r="K472" s="49">
        <f t="shared" si="106"/>
        <v>0</v>
      </c>
      <c r="L472" s="61"/>
      <c r="M472" s="61"/>
      <c r="N472" s="61"/>
    </row>
    <row r="473" spans="1:14" ht="21.75" customHeight="1" x14ac:dyDescent="0.4">
      <c r="A473" s="222"/>
      <c r="B473" s="223">
        <v>9</v>
      </c>
      <c r="C473" s="224" t="s">
        <v>196</v>
      </c>
      <c r="D473" s="224"/>
      <c r="E473" s="224"/>
      <c r="F473" s="224"/>
      <c r="G473" s="225"/>
      <c r="H473" s="226" t="s">
        <v>16</v>
      </c>
      <c r="I473" s="227">
        <f ca="1">I484</f>
        <v>0</v>
      </c>
      <c r="J473" s="227">
        <f ca="1">J488</f>
        <v>0</v>
      </c>
      <c r="K473" s="228">
        <f ca="1">IF(I473&gt;0,J473*100/I473,0)</f>
        <v>0</v>
      </c>
      <c r="L473" s="229">
        <f ca="1">SUM(L474,L475)</f>
        <v>0</v>
      </c>
      <c r="M473" s="229">
        <f>SUM(M474:M475)</f>
        <v>0</v>
      </c>
      <c r="N473" s="229">
        <f t="shared" ref="N473:N477" ca="1" si="107">+IF(L473&gt;0,M473*100/L473,0)</f>
        <v>0</v>
      </c>
    </row>
    <row r="474" spans="1:14" ht="21.75" customHeight="1" x14ac:dyDescent="0.4">
      <c r="A474" s="42"/>
      <c r="B474" s="43"/>
      <c r="C474" s="43" t="s">
        <v>17</v>
      </c>
      <c r="D474" s="44" t="s">
        <v>18</v>
      </c>
      <c r="E474" s="45"/>
      <c r="F474" s="45"/>
      <c r="G474" s="46" t="s">
        <v>19</v>
      </c>
      <c r="H474" s="47" t="s">
        <v>20</v>
      </c>
      <c r="I474" s="48" t="s">
        <v>21</v>
      </c>
      <c r="J474" s="48"/>
      <c r="K474" s="49"/>
      <c r="L474" s="50">
        <v>0</v>
      </c>
      <c r="M474" s="53">
        <v>0</v>
      </c>
      <c r="N474" s="53">
        <f t="shared" si="107"/>
        <v>0</v>
      </c>
    </row>
    <row r="475" spans="1:14" ht="21.75" customHeight="1" x14ac:dyDescent="0.4">
      <c r="A475" s="42"/>
      <c r="B475" s="43"/>
      <c r="C475" s="43"/>
      <c r="D475" s="51"/>
      <c r="E475" s="45"/>
      <c r="F475" s="45" t="s">
        <v>21</v>
      </c>
      <c r="G475" s="46" t="s">
        <v>22</v>
      </c>
      <c r="H475" s="47" t="s">
        <v>20</v>
      </c>
      <c r="I475" s="48"/>
      <c r="J475" s="48"/>
      <c r="K475" s="49"/>
      <c r="L475" s="50">
        <f t="shared" ref="L475:M475" ca="1" si="108">SUM(L476:L477)</f>
        <v>0</v>
      </c>
      <c r="M475" s="53">
        <f t="shared" si="108"/>
        <v>0</v>
      </c>
      <c r="N475" s="53">
        <f t="shared" ca="1" si="107"/>
        <v>0</v>
      </c>
    </row>
    <row r="476" spans="1:14" ht="21.75" customHeight="1" x14ac:dyDescent="0.4">
      <c r="A476" s="42"/>
      <c r="B476" s="43"/>
      <c r="C476" s="43"/>
      <c r="D476" s="51"/>
      <c r="E476" s="45"/>
      <c r="F476" s="45"/>
      <c r="G476" s="52" t="s">
        <v>110</v>
      </c>
      <c r="H476" s="47" t="s">
        <v>20</v>
      </c>
      <c r="I476" s="48"/>
      <c r="J476" s="48"/>
      <c r="K476" s="49"/>
      <c r="L476" s="53">
        <f ca="1">IFERROR(__xludf.DUMMYFUNCTION("IMPORTRANGE(""https://docs.google.com/spreadsheets/d/1C3CXT74ZlgGe6_JY_1olB1XN4rF0dxEuIIF-xsYjHgg/edit?usp=sharing"",""งบกองทุน!Ek30"")"),0)</f>
        <v>0</v>
      </c>
      <c r="M476" s="53">
        <v>0</v>
      </c>
      <c r="N476" s="53">
        <f t="shared" ca="1" si="107"/>
        <v>0</v>
      </c>
    </row>
    <row r="477" spans="1:14" ht="21.75" customHeight="1" x14ac:dyDescent="0.4">
      <c r="A477" s="42"/>
      <c r="B477" s="43"/>
      <c r="C477" s="43"/>
      <c r="D477" s="51"/>
      <c r="E477" s="45"/>
      <c r="F477" s="45"/>
      <c r="G477" s="52" t="s">
        <v>111</v>
      </c>
      <c r="H477" s="47" t="s">
        <v>20</v>
      </c>
      <c r="I477" s="48"/>
      <c r="J477" s="67"/>
      <c r="K477" s="233"/>
      <c r="L477" s="53">
        <f ca="1">IFERROR(__xludf.DUMMYFUNCTION("IMPORTRANGE(""https://docs.google.com/spreadsheets/d/1C3CXT74ZlgGe6_JY_1olB1XN4rF0dxEuIIF-xsYjHgg/edit?usp=sharing"",""งบกองทุน!El30"")"),0)</f>
        <v>0</v>
      </c>
      <c r="M477" s="53">
        <f>SUM(M478:M481)</f>
        <v>0</v>
      </c>
      <c r="N477" s="53">
        <f t="shared" ca="1" si="107"/>
        <v>0</v>
      </c>
    </row>
    <row r="478" spans="1:14" ht="21.75" customHeight="1" x14ac:dyDescent="0.4">
      <c r="A478" s="230"/>
      <c r="B478" s="231"/>
      <c r="C478" s="43"/>
      <c r="D478" s="232"/>
      <c r="E478" s="45"/>
      <c r="F478" s="45"/>
      <c r="G478" s="46" t="s">
        <v>112</v>
      </c>
      <c r="H478" s="47" t="s">
        <v>20</v>
      </c>
      <c r="I478" s="67"/>
      <c r="J478" s="67"/>
      <c r="K478" s="233"/>
      <c r="L478" s="53"/>
      <c r="M478" s="53">
        <v>0</v>
      </c>
      <c r="N478" s="53"/>
    </row>
    <row r="479" spans="1:14" ht="21.75" customHeight="1" x14ac:dyDescent="0.4">
      <c r="A479" s="230"/>
      <c r="B479" s="231"/>
      <c r="C479" s="43"/>
      <c r="D479" s="232"/>
      <c r="E479" s="45"/>
      <c r="F479" s="45"/>
      <c r="G479" s="46" t="s">
        <v>113</v>
      </c>
      <c r="H479" s="47" t="s">
        <v>20</v>
      </c>
      <c r="I479" s="67"/>
      <c r="J479" s="67"/>
      <c r="K479" s="233"/>
      <c r="L479" s="53"/>
      <c r="M479" s="53">
        <v>0</v>
      </c>
      <c r="N479" s="53"/>
    </row>
    <row r="480" spans="1:14" ht="21.75" customHeight="1" x14ac:dyDescent="0.4">
      <c r="A480" s="230"/>
      <c r="B480" s="231"/>
      <c r="C480" s="43"/>
      <c r="D480" s="232"/>
      <c r="E480" s="45"/>
      <c r="F480" s="45"/>
      <c r="G480" s="46" t="s">
        <v>114</v>
      </c>
      <c r="H480" s="47" t="s">
        <v>20</v>
      </c>
      <c r="I480" s="67"/>
      <c r="J480" s="67"/>
      <c r="K480" s="233"/>
      <c r="L480" s="53"/>
      <c r="M480" s="53">
        <v>0</v>
      </c>
      <c r="N480" s="53"/>
    </row>
    <row r="481" spans="1:14" ht="21.75" customHeight="1" x14ac:dyDescent="0.4">
      <c r="A481" s="230"/>
      <c r="B481" s="231"/>
      <c r="C481" s="43"/>
      <c r="D481" s="232"/>
      <c r="E481" s="45"/>
      <c r="F481" s="45"/>
      <c r="G481" s="46" t="s">
        <v>115</v>
      </c>
      <c r="H481" s="47" t="s">
        <v>20</v>
      </c>
      <c r="I481" s="67"/>
      <c r="J481" s="67"/>
      <c r="K481" s="233"/>
      <c r="L481" s="53"/>
      <c r="M481" s="53">
        <v>0</v>
      </c>
      <c r="N481" s="53"/>
    </row>
    <row r="482" spans="1:14" ht="21.75" customHeight="1" x14ac:dyDescent="0.4">
      <c r="A482" s="316"/>
      <c r="B482" s="51"/>
      <c r="C482" s="43"/>
      <c r="D482" s="155"/>
      <c r="E482" s="74" t="s">
        <v>197</v>
      </c>
      <c r="F482" s="75"/>
      <c r="G482" s="76"/>
      <c r="H482" s="60" t="s">
        <v>15</v>
      </c>
      <c r="I482" s="200">
        <f ca="1">IFERROR(__xludf.DUMMYFUNCTION("IMPORTRANGE(""https://docs.google.com/spreadsheets/d/1C3CXT74ZlgGe6_JY_1olB1XN4rF0dxEuIIF-xsYjHgg/edit?usp=sharing"",""งบกองทุน!Em30"")"),0)</f>
        <v>0</v>
      </c>
      <c r="J482" s="67">
        <f ca="1">IFERROR(__xludf.DUMMYFUNCTION("IMPORTRANGE(""https://docs.google.com/spreadsheets/d/1AGHcLOeeYFL3K4b9R1dSzyJy00PE_ra89DNTVfnxSWM/edit?usp=sharing"",""รวมที่ชุมชน!G19"")"),0)</f>
        <v>0</v>
      </c>
      <c r="K482" s="233">
        <f t="shared" ref="K482:K489" ca="1" si="109">IF(I482&gt;0,J482*100/I482,0)</f>
        <v>0</v>
      </c>
      <c r="L482" s="53"/>
      <c r="M482" s="53"/>
      <c r="N482" s="53"/>
    </row>
    <row r="483" spans="1:14" ht="21.75" customHeight="1" x14ac:dyDescent="0.4">
      <c r="A483" s="316"/>
      <c r="B483" s="51"/>
      <c r="C483" s="43"/>
      <c r="D483" s="155"/>
      <c r="E483" s="75"/>
      <c r="F483" s="75"/>
      <c r="G483" s="76"/>
      <c r="H483" s="60" t="s">
        <v>103</v>
      </c>
      <c r="I483" s="200">
        <f ca="1">IFERROR(__xludf.DUMMYFUNCTION("IMPORTRANGE(""https://docs.google.com/spreadsheets/d/1C3CXT74ZlgGe6_JY_1olB1XN4rF0dxEuIIF-xsYjHgg/edit?usp=sharing"",""งบกองทุน!En30"")"),0)</f>
        <v>0</v>
      </c>
      <c r="J483" s="67">
        <f ca="1">IFERROR(__xludf.DUMMYFUNCTION("IMPORTRANGE(""https://docs.google.com/spreadsheets/d/1AGHcLOeeYFL3K4b9R1dSzyJy00PE_ra89DNTVfnxSWM/edit?usp=sharing"",""รวมที่ชุมชน!H19"")"),0)</f>
        <v>0</v>
      </c>
      <c r="K483" s="233">
        <f t="shared" ca="1" si="109"/>
        <v>0</v>
      </c>
      <c r="L483" s="53"/>
      <c r="M483" s="53"/>
      <c r="N483" s="53"/>
    </row>
    <row r="484" spans="1:14" ht="21.75" customHeight="1" x14ac:dyDescent="0.4">
      <c r="A484" s="316"/>
      <c r="B484" s="51"/>
      <c r="C484" s="43"/>
      <c r="D484" s="155"/>
      <c r="E484" s="74" t="s">
        <v>104</v>
      </c>
      <c r="F484" s="75"/>
      <c r="G484" s="76"/>
      <c r="H484" s="60" t="s">
        <v>16</v>
      </c>
      <c r="I484" s="200">
        <f ca="1">IFERROR(__xludf.DUMMYFUNCTION("IMPORTRANGE(""https://docs.google.com/spreadsheets/d/1C3CXT74ZlgGe6_JY_1olB1XN4rF0dxEuIIF-xsYjHgg/edit?usp=sharing"",""งบกองทุน!Eo30"")"),0)</f>
        <v>0</v>
      </c>
      <c r="J484" s="67">
        <f ca="1">IFERROR(__xludf.DUMMYFUNCTION("IMPORTRANGE(""https://docs.google.com/spreadsheets/d/1AGHcLOeeYFL3K4b9R1dSzyJy00PE_ra89DNTVfnxSWM/edit?usp=sharing"",""รวมที่ชุมชน!J19"")"),0)</f>
        <v>0</v>
      </c>
      <c r="K484" s="233">
        <f t="shared" ca="1" si="109"/>
        <v>0</v>
      </c>
      <c r="L484" s="53"/>
      <c r="M484" s="53"/>
      <c r="N484" s="53"/>
    </row>
    <row r="485" spans="1:14" ht="21.75" customHeight="1" x14ac:dyDescent="0.4">
      <c r="A485" s="316"/>
      <c r="B485" s="51"/>
      <c r="C485" s="43"/>
      <c r="D485" s="155"/>
      <c r="E485" s="75"/>
      <c r="F485" s="75"/>
      <c r="G485" s="76"/>
      <c r="H485" s="60" t="s">
        <v>103</v>
      </c>
      <c r="I485" s="200">
        <f ca="1">IFERROR(__xludf.DUMMYFUNCTION("IMPORTRANGE(""https://docs.google.com/spreadsheets/d/1C3CXT74ZlgGe6_JY_1olB1XN4rF0dxEuIIF-xsYjHgg/edit?usp=sharing"",""งบกองทุน!Ep30"")"),0)</f>
        <v>0</v>
      </c>
      <c r="J485" s="67">
        <f ca="1">IFERROR(__xludf.DUMMYFUNCTION("IMPORTRANGE(""https://docs.google.com/spreadsheets/d/1AGHcLOeeYFL3K4b9R1dSzyJy00PE_ra89DNTVfnxSWM/edit?usp=sharing"",""รวมที่ชุมชน!L19"")"),0)</f>
        <v>0</v>
      </c>
      <c r="K485" s="233">
        <f t="shared" ca="1" si="109"/>
        <v>0</v>
      </c>
      <c r="L485" s="53"/>
      <c r="M485" s="53"/>
      <c r="N485" s="53"/>
    </row>
    <row r="486" spans="1:14" ht="21.75" customHeight="1" x14ac:dyDescent="0.4">
      <c r="A486" s="316"/>
      <c r="B486" s="51"/>
      <c r="C486" s="43"/>
      <c r="D486" s="155"/>
      <c r="E486" s="74" t="s">
        <v>105</v>
      </c>
      <c r="F486" s="75"/>
      <c r="G486" s="76"/>
      <c r="H486" s="60" t="s">
        <v>16</v>
      </c>
      <c r="I486" s="200">
        <f ca="1">IFERROR(__xludf.DUMMYFUNCTION("IMPORTRANGE(""https://docs.google.com/spreadsheets/d/1C3CXT74ZlgGe6_JY_1olB1XN4rF0dxEuIIF-xsYjHgg/edit?usp=sharing"",""งบกองทุน!Eq30"")"),0)</f>
        <v>0</v>
      </c>
      <c r="J486" s="67">
        <f ca="1">IFERROR(__xludf.DUMMYFUNCTION("IMPORTRANGE(""https://docs.google.com/spreadsheets/d/1AGHcLOeeYFL3K4b9R1dSzyJy00PE_ra89DNTVfnxSWM/edit?usp=sharing"",""รวมที่ชุมชน!S19"")"),0)</f>
        <v>0</v>
      </c>
      <c r="K486" s="233">
        <f t="shared" ca="1" si="109"/>
        <v>0</v>
      </c>
      <c r="L486" s="53"/>
      <c r="M486" s="53"/>
      <c r="N486" s="53"/>
    </row>
    <row r="487" spans="1:14" ht="21.75" customHeight="1" x14ac:dyDescent="0.4">
      <c r="A487" s="316"/>
      <c r="B487" s="51"/>
      <c r="C487" s="43"/>
      <c r="D487" s="155"/>
      <c r="E487" s="75"/>
      <c r="F487" s="75"/>
      <c r="G487" s="76"/>
      <c r="H487" s="60" t="s">
        <v>103</v>
      </c>
      <c r="I487" s="200">
        <f ca="1">IFERROR(__xludf.DUMMYFUNCTION("IMPORTRANGE(""https://docs.google.com/spreadsheets/d/1C3CXT74ZlgGe6_JY_1olB1XN4rF0dxEuIIF-xsYjHgg/edit?usp=sharing"",""งบกองทุน!Er30"")"),0)</f>
        <v>0</v>
      </c>
      <c r="J487" s="67">
        <f ca="1">IFERROR(__xludf.DUMMYFUNCTION("IMPORTRANGE(""https://docs.google.com/spreadsheets/d/1AGHcLOeeYFL3K4b9R1dSzyJy00PE_ra89DNTVfnxSWM/edit?usp=sharing"",""รวมที่ชุมชน!U19"")"),0)</f>
        <v>0</v>
      </c>
      <c r="K487" s="233">
        <f t="shared" ca="1" si="109"/>
        <v>0</v>
      </c>
      <c r="L487" s="53"/>
      <c r="M487" s="53"/>
      <c r="N487" s="53"/>
    </row>
    <row r="488" spans="1:14" ht="21.75" customHeight="1" x14ac:dyDescent="0.4">
      <c r="A488" s="316"/>
      <c r="B488" s="51"/>
      <c r="C488" s="43"/>
      <c r="D488" s="155"/>
      <c r="E488" s="74" t="s">
        <v>106</v>
      </c>
      <c r="F488" s="75"/>
      <c r="G488" s="76"/>
      <c r="H488" s="60" t="s">
        <v>16</v>
      </c>
      <c r="I488" s="200">
        <f ca="1">IFERROR(__xludf.DUMMYFUNCTION("IMPORTRANGE(""https://docs.google.com/spreadsheets/d/1C3CXT74ZlgGe6_JY_1olB1XN4rF0dxEuIIF-xsYjHgg/edit?usp=sharing"",""งบกองทุน!Es30"")"),0)</f>
        <v>0</v>
      </c>
      <c r="J488" s="67">
        <f ca="1">IFERROR(__xludf.DUMMYFUNCTION("IMPORTRANGE(""https://docs.google.com/spreadsheets/d/1AGHcLOeeYFL3K4b9R1dSzyJy00PE_ra89DNTVfnxSWM/edit?usp=sharing"",""รวมที่ชุมชน!V19"")"),0)</f>
        <v>0</v>
      </c>
      <c r="K488" s="49">
        <f t="shared" ca="1" si="109"/>
        <v>0</v>
      </c>
      <c r="L488" s="61"/>
      <c r="M488" s="61"/>
      <c r="N488" s="61"/>
    </row>
    <row r="489" spans="1:14" ht="21.75" customHeight="1" x14ac:dyDescent="0.4">
      <c r="A489" s="317"/>
      <c r="B489" s="318"/>
      <c r="C489" s="319"/>
      <c r="D489" s="320"/>
      <c r="E489" s="295"/>
      <c r="F489" s="295"/>
      <c r="G489" s="296"/>
      <c r="H489" s="321" t="s">
        <v>103</v>
      </c>
      <c r="I489" s="322">
        <f ca="1">IFERROR(__xludf.DUMMYFUNCTION("IMPORTRANGE(""https://docs.google.com/spreadsheets/d/1C3CXT74ZlgGe6_JY_1olB1XN4rF0dxEuIIF-xsYjHgg/edit?usp=sharing"",""งบกองทุน!Et30"")"),0)</f>
        <v>0</v>
      </c>
      <c r="J489" s="112">
        <f ca="1">IFERROR(__xludf.DUMMYFUNCTION("IMPORTRANGE(""https://docs.google.com/spreadsheets/d/1AGHcLOeeYFL3K4b9R1dSzyJy00PE_ra89DNTVfnxSWM/edit?usp=sharing"",""รวมที่ชุมชน!X19"")"),0)</f>
        <v>0</v>
      </c>
      <c r="K489" s="114">
        <f t="shared" ca="1" si="109"/>
        <v>0</v>
      </c>
      <c r="L489" s="300"/>
      <c r="M489" s="300"/>
      <c r="N489" s="300"/>
    </row>
    <row r="490" spans="1:14" ht="21.75" customHeight="1" x14ac:dyDescent="0.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10">I504</f>
        <v>50</v>
      </c>
      <c r="J490" s="375">
        <f t="shared" si="110"/>
        <v>0</v>
      </c>
      <c r="K490" s="301">
        <f ca="1">IF(I490&gt;0,J490*100/I490,0)</f>
        <v>0</v>
      </c>
      <c r="L490" s="259">
        <f ca="1">SUM(L491,L492)</f>
        <v>4550</v>
      </c>
      <c r="M490" s="259">
        <f>SUM(M491:M492)</f>
        <v>432</v>
      </c>
      <c r="N490" s="259">
        <f t="shared" ref="N490:N494" ca="1" si="111">+IF(L490&gt;0,M490*100/L490,0)</f>
        <v>9.4945054945054945</v>
      </c>
    </row>
    <row r="491" spans="1:14" ht="21.75" customHeight="1" x14ac:dyDescent="0.4">
      <c r="A491" s="42"/>
      <c r="B491" s="43"/>
      <c r="C491" s="43" t="s">
        <v>17</v>
      </c>
      <c r="D491" s="44" t="s">
        <v>18</v>
      </c>
      <c r="E491" s="45"/>
      <c r="F491" s="45"/>
      <c r="G491" s="46" t="s">
        <v>19</v>
      </c>
      <c r="H491" s="47" t="s">
        <v>20</v>
      </c>
      <c r="I491" s="48" t="s">
        <v>21</v>
      </c>
      <c r="J491" s="48"/>
      <c r="K491" s="49"/>
      <c r="L491" s="50">
        <v>0</v>
      </c>
      <c r="M491" s="53">
        <v>0</v>
      </c>
      <c r="N491" s="53">
        <f t="shared" si="111"/>
        <v>0</v>
      </c>
    </row>
    <row r="492" spans="1:14" ht="21.75" customHeight="1" x14ac:dyDescent="0.4">
      <c r="A492" s="42"/>
      <c r="B492" s="43"/>
      <c r="C492" s="43"/>
      <c r="D492" s="51"/>
      <c r="E492" s="45"/>
      <c r="F492" s="45" t="s">
        <v>21</v>
      </c>
      <c r="G492" s="46" t="s">
        <v>22</v>
      </c>
      <c r="H492" s="47" t="s">
        <v>20</v>
      </c>
      <c r="I492" s="48"/>
      <c r="J492" s="48"/>
      <c r="K492" s="49"/>
      <c r="L492" s="50">
        <f t="shared" ref="L492:M492" ca="1" si="112">SUM(L493:L494)</f>
        <v>4550</v>
      </c>
      <c r="M492" s="53">
        <f t="shared" si="112"/>
        <v>432</v>
      </c>
      <c r="N492" s="53">
        <f t="shared" ca="1" si="111"/>
        <v>9.4945054945054945</v>
      </c>
    </row>
    <row r="493" spans="1:14" ht="21.75" customHeight="1" x14ac:dyDescent="0.4">
      <c r="A493" s="42"/>
      <c r="B493" s="43"/>
      <c r="C493" s="43"/>
      <c r="D493" s="51"/>
      <c r="E493" s="45"/>
      <c r="F493" s="45"/>
      <c r="G493" s="52" t="s">
        <v>110</v>
      </c>
      <c r="H493" s="47" t="s">
        <v>20</v>
      </c>
      <c r="I493" s="48"/>
      <c r="J493" s="48"/>
      <c r="K493" s="49"/>
      <c r="L493" s="53">
        <f ca="1">IFERROR(__xludf.DUMMYFUNCTION("IMPORTRANGE(""https://docs.google.com/spreadsheets/d/1C3CXT74ZlgGe6_JY_1olB1XN4rF0dxEuIIF-xsYjHgg/edit?usp=sharing"",""งบกองทุน!Ev30"")"),0)</f>
        <v>0</v>
      </c>
      <c r="M493" s="53">
        <v>0</v>
      </c>
      <c r="N493" s="53">
        <f t="shared" ca="1" si="111"/>
        <v>0</v>
      </c>
    </row>
    <row r="494" spans="1:14" ht="21.75" customHeight="1" x14ac:dyDescent="0.4">
      <c r="A494" s="42"/>
      <c r="B494" s="43"/>
      <c r="C494" s="43"/>
      <c r="D494" s="51"/>
      <c r="E494" s="45"/>
      <c r="F494" s="45"/>
      <c r="G494" s="52" t="s">
        <v>111</v>
      </c>
      <c r="H494" s="47" t="s">
        <v>20</v>
      </c>
      <c r="I494" s="48"/>
      <c r="J494" s="48"/>
      <c r="K494" s="49"/>
      <c r="L494" s="53">
        <f ca="1">IFERROR(__xludf.DUMMYFUNCTION("IMPORTRANGE(""https://docs.google.com/spreadsheets/d/1C3CXT74ZlgGe6_JY_1olB1XN4rF0dxEuIIF-xsYjHgg/edit?usp=sharing"",""งบกองทุน!Ew30"")"),4550)</f>
        <v>4550</v>
      </c>
      <c r="M494" s="53">
        <f>SUM(M495:M498)</f>
        <v>432</v>
      </c>
      <c r="N494" s="53">
        <f t="shared" ca="1" si="111"/>
        <v>9.4945054945054945</v>
      </c>
    </row>
    <row r="495" spans="1:14" ht="21.75" customHeight="1" x14ac:dyDescent="0.4">
      <c r="A495" s="230"/>
      <c r="B495" s="231"/>
      <c r="C495" s="43"/>
      <c r="D495" s="232"/>
      <c r="E495" s="45"/>
      <c r="F495" s="45"/>
      <c r="G495" s="46" t="s">
        <v>112</v>
      </c>
      <c r="H495" s="47" t="s">
        <v>20</v>
      </c>
      <c r="I495" s="67"/>
      <c r="J495" s="67"/>
      <c r="K495" s="233"/>
      <c r="L495" s="53"/>
      <c r="M495" s="53">
        <v>0</v>
      </c>
      <c r="N495" s="53"/>
    </row>
    <row r="496" spans="1:14" ht="21.75" customHeight="1" x14ac:dyDescent="0.4">
      <c r="A496" s="230"/>
      <c r="B496" s="231"/>
      <c r="C496" s="43"/>
      <c r="D496" s="232"/>
      <c r="E496" s="45"/>
      <c r="F496" s="45"/>
      <c r="G496" s="46" t="s">
        <v>113</v>
      </c>
      <c r="H496" s="47" t="s">
        <v>20</v>
      </c>
      <c r="I496" s="67"/>
      <c r="J496" s="67"/>
      <c r="K496" s="233"/>
      <c r="L496" s="53"/>
      <c r="M496" s="53">
        <v>0</v>
      </c>
      <c r="N496" s="53"/>
    </row>
    <row r="497" spans="1:14" ht="21.75" customHeight="1" x14ac:dyDescent="0.4">
      <c r="A497" s="230"/>
      <c r="B497" s="231"/>
      <c r="C497" s="43"/>
      <c r="D497" s="232"/>
      <c r="E497" s="45"/>
      <c r="F497" s="45"/>
      <c r="G497" s="46" t="s">
        <v>114</v>
      </c>
      <c r="H497" s="47" t="s">
        <v>20</v>
      </c>
      <c r="I497" s="67"/>
      <c r="J497" s="67"/>
      <c r="K497" s="233"/>
      <c r="L497" s="53"/>
      <c r="M497" s="54">
        <v>0</v>
      </c>
      <c r="N497" s="53"/>
    </row>
    <row r="498" spans="1:14" ht="21.75" customHeight="1" x14ac:dyDescent="0.4">
      <c r="A498" s="230"/>
      <c r="B498" s="231"/>
      <c r="C498" s="43"/>
      <c r="D498" s="232"/>
      <c r="E498" s="45"/>
      <c r="F498" s="45"/>
      <c r="G498" s="46" t="s">
        <v>115</v>
      </c>
      <c r="H498" s="47" t="s">
        <v>20</v>
      </c>
      <c r="I498" s="67"/>
      <c r="J498" s="67"/>
      <c r="K498" s="233"/>
      <c r="L498" s="53"/>
      <c r="M498" s="54">
        <v>432</v>
      </c>
      <c r="N498" s="53"/>
    </row>
    <row r="499" spans="1:14" ht="21.75" customHeight="1" x14ac:dyDescent="0.4">
      <c r="A499" s="55"/>
      <c r="B499" s="56"/>
      <c r="C499" s="43" t="s">
        <v>17</v>
      </c>
      <c r="D499" s="57" t="s">
        <v>25</v>
      </c>
      <c r="E499" s="58"/>
      <c r="F499" s="58"/>
      <c r="G499" s="59"/>
      <c r="H499" s="60"/>
      <c r="I499" s="48"/>
      <c r="J499" s="48"/>
      <c r="K499" s="49"/>
      <c r="L499" s="61"/>
      <c r="M499" s="61"/>
      <c r="N499" s="61"/>
    </row>
    <row r="500" spans="1:14" ht="21.75" customHeight="1" x14ac:dyDescent="0.4">
      <c r="A500" s="55"/>
      <c r="B500" s="56"/>
      <c r="C500" s="56"/>
      <c r="D500" s="62">
        <v>1</v>
      </c>
      <c r="E500" s="63" t="s">
        <v>26</v>
      </c>
      <c r="F500" s="64"/>
      <c r="G500" s="65"/>
      <c r="H500" s="66"/>
      <c r="I500" s="67"/>
      <c r="J500" s="68">
        <v>0</v>
      </c>
      <c r="K500" s="49"/>
      <c r="L500" s="61"/>
      <c r="M500" s="61"/>
      <c r="N500" s="61"/>
    </row>
    <row r="501" spans="1:14" ht="21.75" customHeight="1" x14ac:dyDescent="0.4">
      <c r="A501" s="55"/>
      <c r="B501" s="56"/>
      <c r="C501" s="56"/>
      <c r="D501" s="69">
        <v>2</v>
      </c>
      <c r="E501" s="70" t="s">
        <v>27</v>
      </c>
      <c r="F501" s="71"/>
      <c r="G501" s="72"/>
      <c r="H501" s="66"/>
      <c r="I501" s="67"/>
      <c r="J501" s="68">
        <v>1</v>
      </c>
      <c r="K501" s="49"/>
      <c r="L501" s="61" t="s">
        <v>21</v>
      </c>
      <c r="M501" s="61" t="s">
        <v>21</v>
      </c>
      <c r="N501" s="61"/>
    </row>
    <row r="502" spans="1:14" ht="21.75" hidden="1" customHeight="1" x14ac:dyDescent="0.4">
      <c r="A502" s="376"/>
      <c r="B502" s="377"/>
      <c r="C502" s="377"/>
      <c r="D502" s="378"/>
      <c r="E502" s="379" t="s">
        <v>28</v>
      </c>
      <c r="F502" s="380"/>
      <c r="G502" s="381"/>
      <c r="H502" s="330"/>
      <c r="I502" s="331"/>
      <c r="J502" s="331">
        <v>0</v>
      </c>
      <c r="K502" s="382"/>
      <c r="L502" s="383"/>
      <c r="M502" s="383"/>
      <c r="N502" s="383"/>
    </row>
    <row r="503" spans="1:14" ht="21.75" hidden="1" customHeight="1" x14ac:dyDescent="0.4">
      <c r="A503" s="376"/>
      <c r="B503" s="377"/>
      <c r="C503" s="377"/>
      <c r="D503" s="378"/>
      <c r="E503" s="379" t="s">
        <v>29</v>
      </c>
      <c r="F503" s="380"/>
      <c r="G503" s="381"/>
      <c r="H503" s="330"/>
      <c r="I503" s="331"/>
      <c r="J503" s="331">
        <v>0</v>
      </c>
      <c r="K503" s="382"/>
      <c r="L503" s="383"/>
      <c r="M503" s="383"/>
      <c r="N503" s="383"/>
    </row>
    <row r="504" spans="1:14" ht="21.75" customHeight="1" x14ac:dyDescent="0.4">
      <c r="A504" s="55"/>
      <c r="B504" s="56"/>
      <c r="C504" s="56"/>
      <c r="D504" s="73"/>
      <c r="E504" s="75"/>
      <c r="F504" s="75" t="s">
        <v>199</v>
      </c>
      <c r="G504" s="76"/>
      <c r="H504" s="60" t="s">
        <v>103</v>
      </c>
      <c r="I504" s="67">
        <f ca="1">IFERROR(__xludf.DUMMYFUNCTION("IMPORTRANGE(""https://docs.google.com/spreadsheets/d/1C3CXT74ZlgGe6_JY_1olB1XN4rF0dxEuIIF-xsYjHgg/edit?usp=sharing"",""งบกองทุน!EZ30"")"),50)</f>
        <v>50</v>
      </c>
      <c r="J504" s="48">
        <f>+J510</f>
        <v>0</v>
      </c>
      <c r="K504" s="49">
        <f t="shared" ref="K504:K512" ca="1" si="113">IF(I$504&gt;0,J504*100/I$504,0)</f>
        <v>0</v>
      </c>
      <c r="L504" s="61"/>
      <c r="M504" s="61"/>
      <c r="N504" s="61"/>
    </row>
    <row r="505" spans="1:14" ht="21.75" customHeight="1" x14ac:dyDescent="0.4">
      <c r="A505" s="55"/>
      <c r="B505" s="56"/>
      <c r="C505" s="56"/>
      <c r="D505" s="73"/>
      <c r="E505" s="77"/>
      <c r="F505" s="75"/>
      <c r="G505" s="99" t="s">
        <v>200</v>
      </c>
      <c r="H505" s="60" t="s">
        <v>103</v>
      </c>
      <c r="I505" s="67">
        <v>0</v>
      </c>
      <c r="J505" s="68">
        <v>0</v>
      </c>
      <c r="K505" s="49">
        <f t="shared" ca="1" si="113"/>
        <v>0</v>
      </c>
      <c r="L505" s="61"/>
      <c r="M505" s="61"/>
      <c r="N505" s="61"/>
    </row>
    <row r="506" spans="1:14" ht="21.75" customHeight="1" x14ac:dyDescent="0.4">
      <c r="A506" s="55"/>
      <c r="B506" s="56"/>
      <c r="C506" s="56"/>
      <c r="D506" s="73"/>
      <c r="E506" s="77"/>
      <c r="F506" s="75"/>
      <c r="G506" s="99" t="s">
        <v>201</v>
      </c>
      <c r="H506" s="60" t="s">
        <v>103</v>
      </c>
      <c r="I506" s="67">
        <v>0</v>
      </c>
      <c r="J506" s="68">
        <v>0</v>
      </c>
      <c r="K506" s="49">
        <f t="shared" ca="1" si="113"/>
        <v>0</v>
      </c>
      <c r="L506" s="61"/>
      <c r="M506" s="61"/>
      <c r="N506" s="61"/>
    </row>
    <row r="507" spans="1:14" ht="21.75" customHeight="1" x14ac:dyDescent="0.4">
      <c r="A507" s="55"/>
      <c r="B507" s="56"/>
      <c r="C507" s="56"/>
      <c r="D507" s="73"/>
      <c r="E507" s="77"/>
      <c r="F507" s="75"/>
      <c r="G507" s="99" t="s">
        <v>202</v>
      </c>
      <c r="H507" s="60" t="s">
        <v>103</v>
      </c>
      <c r="I507" s="67">
        <v>0</v>
      </c>
      <c r="J507" s="68">
        <v>0</v>
      </c>
      <c r="K507" s="49">
        <f t="shared" ca="1" si="113"/>
        <v>0</v>
      </c>
      <c r="L507" s="61"/>
      <c r="M507" s="61"/>
      <c r="N507" s="61"/>
    </row>
    <row r="508" spans="1:14" ht="21.75" customHeight="1" x14ac:dyDescent="0.4">
      <c r="A508" s="55"/>
      <c r="B508" s="56"/>
      <c r="C508" s="56"/>
      <c r="D508" s="73"/>
      <c r="E508" s="77"/>
      <c r="F508" s="75"/>
      <c r="G508" s="99" t="s">
        <v>203</v>
      </c>
      <c r="H508" s="60" t="s">
        <v>103</v>
      </c>
      <c r="I508" s="67">
        <v>0</v>
      </c>
      <c r="J508" s="68">
        <v>0</v>
      </c>
      <c r="K508" s="49">
        <f t="shared" ca="1" si="113"/>
        <v>0</v>
      </c>
      <c r="L508" s="61"/>
      <c r="M508" s="61"/>
      <c r="N508" s="61"/>
    </row>
    <row r="509" spans="1:14" ht="21.75" customHeight="1" x14ac:dyDescent="0.4">
      <c r="A509" s="55"/>
      <c r="B509" s="56"/>
      <c r="C509" s="56"/>
      <c r="D509" s="73"/>
      <c r="E509" s="77"/>
      <c r="F509" s="75"/>
      <c r="G509" s="74" t="s">
        <v>204</v>
      </c>
      <c r="H509" s="60" t="s">
        <v>103</v>
      </c>
      <c r="I509" s="67">
        <v>0</v>
      </c>
      <c r="J509" s="68">
        <v>0</v>
      </c>
      <c r="K509" s="49">
        <f t="shared" ca="1" si="113"/>
        <v>0</v>
      </c>
      <c r="L509" s="61"/>
      <c r="M509" s="61"/>
      <c r="N509" s="61"/>
    </row>
    <row r="510" spans="1:14" ht="21.75" customHeight="1" x14ac:dyDescent="0.4">
      <c r="A510" s="55"/>
      <c r="B510" s="56"/>
      <c r="C510" s="56"/>
      <c r="D510" s="73"/>
      <c r="E510" s="77"/>
      <c r="F510" s="75"/>
      <c r="G510" s="74" t="s">
        <v>205</v>
      </c>
      <c r="H510" s="60" t="s">
        <v>103</v>
      </c>
      <c r="I510" s="67">
        <f t="shared" ref="I510:J510" si="114">I511+I512</f>
        <v>0</v>
      </c>
      <c r="J510" s="67">
        <f t="shared" si="114"/>
        <v>0</v>
      </c>
      <c r="K510" s="49">
        <f t="shared" ca="1" si="113"/>
        <v>0</v>
      </c>
      <c r="L510" s="61"/>
      <c r="M510" s="61"/>
      <c r="N510" s="61"/>
    </row>
    <row r="511" spans="1:14" ht="21.75" customHeight="1" x14ac:dyDescent="0.4">
      <c r="A511" s="55"/>
      <c r="B511" s="56"/>
      <c r="C511" s="56"/>
      <c r="D511" s="73"/>
      <c r="E511" s="77"/>
      <c r="F511" s="75"/>
      <c r="G511" s="334" t="s">
        <v>206</v>
      </c>
      <c r="H511" s="60" t="s">
        <v>103</v>
      </c>
      <c r="I511" s="67">
        <v>0</v>
      </c>
      <c r="J511" s="68">
        <v>0</v>
      </c>
      <c r="K511" s="49">
        <f t="shared" ca="1" si="113"/>
        <v>0</v>
      </c>
      <c r="L511" s="61"/>
      <c r="M511" s="61"/>
      <c r="N511" s="61"/>
    </row>
    <row r="512" spans="1:14" ht="21.75" customHeight="1" x14ac:dyDescent="0.4">
      <c r="A512" s="55"/>
      <c r="B512" s="56"/>
      <c r="C512" s="56"/>
      <c r="D512" s="73"/>
      <c r="E512" s="77"/>
      <c r="F512" s="75"/>
      <c r="G512" s="334" t="s">
        <v>207</v>
      </c>
      <c r="H512" s="60" t="s">
        <v>103</v>
      </c>
      <c r="I512" s="67">
        <v>0</v>
      </c>
      <c r="J512" s="68">
        <v>0</v>
      </c>
      <c r="K512" s="49">
        <f t="shared" ca="1" si="113"/>
        <v>0</v>
      </c>
      <c r="L512" s="61"/>
      <c r="M512" s="61"/>
      <c r="N512" s="61"/>
    </row>
    <row r="513" spans="1:14" ht="21.75" customHeight="1" x14ac:dyDescent="0.4">
      <c r="A513" s="55"/>
      <c r="B513" s="56"/>
      <c r="C513" s="56"/>
      <c r="D513" s="73"/>
      <c r="E513" s="75"/>
      <c r="F513" s="74" t="s">
        <v>208</v>
      </c>
      <c r="G513" s="76"/>
      <c r="H513" s="60" t="s">
        <v>103</v>
      </c>
      <c r="I513" s="67">
        <f ca="1">IFERROR(__xludf.DUMMYFUNCTION("IMPORTRANGE(""https://docs.google.com/spreadsheets/d/1C3CXT74ZlgGe6_JY_1olB1XN4rF0dxEuIIF-xsYjHgg/edit?usp=sharing"",""งบกองทุน!ff30"")"),0)</f>
        <v>0</v>
      </c>
      <c r="J513" s="48">
        <f>J514</f>
        <v>0</v>
      </c>
      <c r="K513" s="49">
        <f t="shared" ref="K513:K519" ca="1" si="115">IF(I$513&gt;0,J513*100/I$513,0)</f>
        <v>0</v>
      </c>
      <c r="L513" s="61"/>
      <c r="M513" s="61"/>
      <c r="N513" s="61"/>
    </row>
    <row r="514" spans="1:14" ht="21.75" customHeight="1" x14ac:dyDescent="0.4">
      <c r="A514" s="55"/>
      <c r="B514" s="56"/>
      <c r="C514" s="56"/>
      <c r="D514" s="73"/>
      <c r="E514" s="77"/>
      <c r="F514" s="75"/>
      <c r="G514" s="99" t="s">
        <v>205</v>
      </c>
      <c r="H514" s="60" t="s">
        <v>103</v>
      </c>
      <c r="I514" s="48">
        <f t="shared" ref="I514:J514" si="116">I515+I516</f>
        <v>0</v>
      </c>
      <c r="J514" s="48">
        <f t="shared" si="116"/>
        <v>0</v>
      </c>
      <c r="K514" s="49">
        <f t="shared" ca="1" si="115"/>
        <v>0</v>
      </c>
      <c r="L514" s="61"/>
      <c r="M514" s="61"/>
      <c r="N514" s="61"/>
    </row>
    <row r="515" spans="1:14" ht="21.75" customHeight="1" x14ac:dyDescent="0.4">
      <c r="A515" s="55"/>
      <c r="B515" s="56"/>
      <c r="C515" s="56"/>
      <c r="D515" s="73"/>
      <c r="E515" s="77"/>
      <c r="F515" s="75"/>
      <c r="G515" s="334" t="s">
        <v>206</v>
      </c>
      <c r="H515" s="60" t="s">
        <v>103</v>
      </c>
      <c r="I515" s="67">
        <v>0</v>
      </c>
      <c r="J515" s="68">
        <v>0</v>
      </c>
      <c r="K515" s="49">
        <f t="shared" ca="1" si="115"/>
        <v>0</v>
      </c>
      <c r="L515" s="61"/>
      <c r="M515" s="61"/>
      <c r="N515" s="61"/>
    </row>
    <row r="516" spans="1:14" ht="21.75" customHeight="1" x14ac:dyDescent="0.4">
      <c r="A516" s="55"/>
      <c r="B516" s="56"/>
      <c r="C516" s="56"/>
      <c r="D516" s="73"/>
      <c r="E516" s="77"/>
      <c r="F516" s="75"/>
      <c r="G516" s="334" t="s">
        <v>207</v>
      </c>
      <c r="H516" s="60" t="s">
        <v>103</v>
      </c>
      <c r="I516" s="67">
        <v>0</v>
      </c>
      <c r="J516" s="68">
        <v>0</v>
      </c>
      <c r="K516" s="49">
        <f t="shared" ca="1" si="115"/>
        <v>0</v>
      </c>
      <c r="L516" s="61"/>
      <c r="M516" s="61"/>
      <c r="N516" s="61"/>
    </row>
    <row r="517" spans="1:14" ht="21.75" customHeight="1" x14ac:dyDescent="0.4">
      <c r="A517" s="55"/>
      <c r="B517" s="56"/>
      <c r="C517" s="56"/>
      <c r="D517" s="73"/>
      <c r="E517" s="77"/>
      <c r="F517" s="75"/>
      <c r="G517" s="99" t="s">
        <v>209</v>
      </c>
      <c r="H517" s="60" t="s">
        <v>103</v>
      </c>
      <c r="I517" s="67">
        <f t="shared" ref="I517:J517" si="117">SUM(I518:I519)</f>
        <v>0</v>
      </c>
      <c r="J517" s="67">
        <f t="shared" si="117"/>
        <v>0</v>
      </c>
      <c r="K517" s="49">
        <f t="shared" ca="1" si="115"/>
        <v>0</v>
      </c>
      <c r="L517" s="61"/>
      <c r="M517" s="61"/>
      <c r="N517" s="61"/>
    </row>
    <row r="518" spans="1:14" ht="21.75" customHeight="1" x14ac:dyDescent="0.4">
      <c r="A518" s="55"/>
      <c r="B518" s="56"/>
      <c r="C518" s="56"/>
      <c r="D518" s="73"/>
      <c r="E518" s="77"/>
      <c r="F518" s="75"/>
      <c r="G518" s="334" t="s">
        <v>210</v>
      </c>
      <c r="H518" s="60" t="s">
        <v>103</v>
      </c>
      <c r="I518" s="67">
        <v>0</v>
      </c>
      <c r="J518" s="68">
        <v>0</v>
      </c>
      <c r="K518" s="49">
        <f t="shared" ca="1" si="115"/>
        <v>0</v>
      </c>
      <c r="L518" s="61"/>
      <c r="M518" s="61"/>
      <c r="N518" s="61"/>
    </row>
    <row r="519" spans="1:14" ht="21.75" customHeight="1" x14ac:dyDescent="0.4">
      <c r="A519" s="55"/>
      <c r="B519" s="56"/>
      <c r="C519" s="56"/>
      <c r="D519" s="73"/>
      <c r="E519" s="77"/>
      <c r="F519" s="75"/>
      <c r="G519" s="334" t="s">
        <v>211</v>
      </c>
      <c r="H519" s="60" t="s">
        <v>103</v>
      </c>
      <c r="I519" s="67">
        <v>0</v>
      </c>
      <c r="J519" s="68">
        <v>0</v>
      </c>
      <c r="K519" s="49">
        <f t="shared" ca="1" si="115"/>
        <v>0</v>
      </c>
      <c r="L519" s="61"/>
      <c r="M519" s="61"/>
      <c r="N519" s="61"/>
    </row>
    <row r="520" spans="1:14" ht="21.75" customHeight="1" x14ac:dyDescent="0.4">
      <c r="A520" s="335" t="s">
        <v>212</v>
      </c>
      <c r="B520" s="336"/>
      <c r="C520" s="336"/>
      <c r="D520" s="336"/>
      <c r="E520" s="336"/>
      <c r="F520" s="336"/>
      <c r="G520" s="337"/>
      <c r="H520" s="338"/>
      <c r="I520" s="339"/>
      <c r="J520" s="339"/>
      <c r="K520" s="340"/>
      <c r="L520" s="340"/>
      <c r="M520" s="340"/>
      <c r="N520" s="341"/>
    </row>
    <row r="521" spans="1:14" ht="21.75" customHeight="1" x14ac:dyDescent="0.4">
      <c r="A521" s="316"/>
      <c r="B521" s="45" t="s">
        <v>213</v>
      </c>
      <c r="C521" s="43"/>
      <c r="D521" s="51"/>
      <c r="E521" s="45"/>
      <c r="F521" s="45"/>
      <c r="G521" s="46"/>
      <c r="H521" s="342" t="s">
        <v>20</v>
      </c>
      <c r="I521" s="200">
        <f ca="1">IFERROR(__xludf.DUMMYFUNCTION("IMPORTRANGE(""https://docs.google.com/spreadsheets/d/1muirlRDkqiswvy_NRZ3Yh955hx-PF6_HhssUYiSJj8o/edit?usp=sharing"",""กองทุน!D30"")"),3480000)</f>
        <v>3480000</v>
      </c>
      <c r="J521" s="200">
        <f ca="1">IFERROR(__xludf.DUMMYFUNCTION("IMPORTRANGE(""https://docs.google.com/spreadsheets/d/1muirlRDkqiswvy_NRZ3Yh955hx-PF6_HhssUYiSJj8o/edit?usp=sharing"",""กองทุน!F30"")"),0)</f>
        <v>0</v>
      </c>
      <c r="K521" s="201">
        <f t="shared" ref="K521:K528" ca="1" si="118">IF(I521&gt;0,J521*100/I521,0)</f>
        <v>0</v>
      </c>
      <c r="L521" s="201"/>
      <c r="M521" s="201"/>
      <c r="N521" s="53"/>
    </row>
    <row r="522" spans="1:14" ht="21.75" customHeight="1" x14ac:dyDescent="0.4">
      <c r="A522" s="316"/>
      <c r="B522" s="43"/>
      <c r="C522" s="43"/>
      <c r="D522" s="51"/>
      <c r="E522" s="45"/>
      <c r="F522" s="45"/>
      <c r="G522" s="46"/>
      <c r="H522" s="342" t="s">
        <v>16</v>
      </c>
      <c r="I522" s="200">
        <f ca="1">IFERROR(__xludf.DUMMYFUNCTION("IMPORTRANGE(""https://docs.google.com/spreadsheets/d/1muirlRDkqiswvy_NRZ3Yh955hx-PF6_HhssUYiSJj8o/edit?usp=sharing"",""กองทุน!C30"")"),160)</f>
        <v>160</v>
      </c>
      <c r="J522" s="200">
        <f ca="1">IFERROR(__xludf.DUMMYFUNCTION("IMPORTRANGE(""https://docs.google.com/spreadsheets/d/1muirlRDkqiswvy_NRZ3Yh955hx-PF6_HhssUYiSJj8o/edit?usp=sharing"",""กองทุน!E30"")"),0)</f>
        <v>0</v>
      </c>
      <c r="K522" s="201">
        <f t="shared" ca="1" si="118"/>
        <v>0</v>
      </c>
      <c r="L522" s="201"/>
      <c r="M522" s="201"/>
      <c r="N522" s="53"/>
    </row>
    <row r="523" spans="1:14" ht="21.75" customHeight="1" x14ac:dyDescent="0.4">
      <c r="A523" s="316"/>
      <c r="B523" s="45" t="s">
        <v>214</v>
      </c>
      <c r="C523" s="43"/>
      <c r="D523" s="51"/>
      <c r="E523" s="45"/>
      <c r="F523" s="45"/>
      <c r="G523" s="46"/>
      <c r="H523" s="342" t="s">
        <v>20</v>
      </c>
      <c r="I523" s="200">
        <f ca="1">IFERROR(__xludf.DUMMYFUNCTION("IMPORTRANGE(""https://docs.google.com/spreadsheets/d/1muirlRDkqiswvy_NRZ3Yh955hx-PF6_HhssUYiSJj8o/edit?usp=sharing"",""กองทุน!I30"")"),664125.88)</f>
        <v>664125.88</v>
      </c>
      <c r="J523" s="200">
        <f ca="1">IFERROR(__xludf.DUMMYFUNCTION("IMPORTRANGE(""https://docs.google.com/spreadsheets/d/1muirlRDkqiswvy_NRZ3Yh955hx-PF6_HhssUYiSJj8o/edit?usp=sharing"",""กองทุน!K30"")"),3125.8)</f>
        <v>3125.8</v>
      </c>
      <c r="K523" s="201">
        <f t="shared" ca="1" si="118"/>
        <v>0.47066378440183659</v>
      </c>
      <c r="L523" s="201"/>
      <c r="M523" s="201"/>
      <c r="N523" s="53"/>
    </row>
    <row r="524" spans="1:14" ht="21.75" customHeight="1" x14ac:dyDescent="0.4">
      <c r="A524" s="316"/>
      <c r="B524" s="43"/>
      <c r="C524" s="43"/>
      <c r="D524" s="51"/>
      <c r="E524" s="45"/>
      <c r="F524" s="45"/>
      <c r="G524" s="46"/>
      <c r="H524" s="342" t="s">
        <v>16</v>
      </c>
      <c r="I524" s="200">
        <f ca="1">IFERROR(__xludf.DUMMYFUNCTION("IMPORTRANGE(""https://docs.google.com/spreadsheets/d/1muirlRDkqiswvy_NRZ3Yh955hx-PF6_HhssUYiSJj8o/edit?usp=sharing"",""กองทุน!H30"")"),54)</f>
        <v>54</v>
      </c>
      <c r="J524" s="200">
        <f ca="1">IFERROR(__xludf.DUMMYFUNCTION("IMPORTRANGE(""https://docs.google.com/spreadsheets/d/1muirlRDkqiswvy_NRZ3Yh955hx-PF6_HhssUYiSJj8o/edit?usp=sharing"",""กองทุน!J30"")"),10)</f>
        <v>10</v>
      </c>
      <c r="K524" s="201">
        <f t="shared" ca="1" si="118"/>
        <v>18.518518518518519</v>
      </c>
      <c r="L524" s="201"/>
      <c r="M524" s="201"/>
      <c r="N524" s="53"/>
    </row>
    <row r="525" spans="1:14" ht="21.75" customHeight="1" x14ac:dyDescent="0.4">
      <c r="A525" s="316"/>
      <c r="B525" s="45" t="s">
        <v>215</v>
      </c>
      <c r="C525" s="43"/>
      <c r="D525" s="51"/>
      <c r="E525" s="45"/>
      <c r="F525" s="45"/>
      <c r="G525" s="46"/>
      <c r="H525" s="342" t="s">
        <v>20</v>
      </c>
      <c r="I525" s="200">
        <f ca="1">IFERROR(__xludf.DUMMYFUNCTION("IMPORTRANGE(""https://docs.google.com/spreadsheets/d/1muirlRDkqiswvy_NRZ3Yh955hx-PF6_HhssUYiSJj8o/edit?usp=sharing"",""กองทุน!N30"")"),0)</f>
        <v>0</v>
      </c>
      <c r="J525" s="200">
        <f ca="1">IFERROR(__xludf.DUMMYFUNCTION("IMPORTRANGE(""https://docs.google.com/spreadsheets/d/1muirlRDkqiswvy_NRZ3Yh955hx-PF6_HhssUYiSJj8o/edit?usp=sharing"",""กองทุน!P30"")"),0)</f>
        <v>0</v>
      </c>
      <c r="K525" s="201">
        <f t="shared" ca="1" si="118"/>
        <v>0</v>
      </c>
      <c r="L525" s="201"/>
      <c r="M525" s="201"/>
      <c r="N525" s="53"/>
    </row>
    <row r="526" spans="1:14" ht="21.75" customHeight="1" x14ac:dyDescent="0.4">
      <c r="A526" s="316"/>
      <c r="B526" s="45"/>
      <c r="C526" s="43"/>
      <c r="D526" s="51"/>
      <c r="E526" s="45"/>
      <c r="F526" s="45"/>
      <c r="G526" s="46"/>
      <c r="H526" s="342" t="s">
        <v>16</v>
      </c>
      <c r="I526" s="200">
        <f ca="1">IFERROR(__xludf.DUMMYFUNCTION("IMPORTRANGE(""https://docs.google.com/spreadsheets/d/1muirlRDkqiswvy_NRZ3Yh955hx-PF6_HhssUYiSJj8o/edit?usp=sharing"",""กองทุน!M30"")"),0)</f>
        <v>0</v>
      </c>
      <c r="J526" s="200">
        <f ca="1">IFERROR(__xludf.DUMMYFUNCTION("IMPORTRANGE(""https://docs.google.com/spreadsheets/d/1muirlRDkqiswvy_NRZ3Yh955hx-PF6_HhssUYiSJj8o/edit?usp=sharing"",""กองทุน!O30"")"),0)</f>
        <v>0</v>
      </c>
      <c r="K526" s="201">
        <f t="shared" ca="1" si="118"/>
        <v>0</v>
      </c>
      <c r="L526" s="201"/>
      <c r="M526" s="201"/>
      <c r="N526" s="53"/>
    </row>
    <row r="527" spans="1:14" ht="21.75" customHeight="1" x14ac:dyDescent="0.4">
      <c r="A527" s="316"/>
      <c r="B527" s="45" t="s">
        <v>216</v>
      </c>
      <c r="C527" s="43"/>
      <c r="D527" s="51"/>
      <c r="E527" s="45"/>
      <c r="F527" s="45"/>
      <c r="G527" s="46"/>
      <c r="H527" s="342" t="s">
        <v>20</v>
      </c>
      <c r="I527" s="200">
        <f ca="1">IFERROR(__xludf.DUMMYFUNCTION("IMPORTRANGE(""https://docs.google.com/spreadsheets/d/1muirlRDkqiswvy_NRZ3Yh955hx-PF6_HhssUYiSJj8o/edit?usp=sharing"",""กองทุน!S30"")"),3500000)</f>
        <v>3500000</v>
      </c>
      <c r="J527" s="200">
        <f ca="1">IFERROR(__xludf.DUMMYFUNCTION("IMPORTRANGE(""https://docs.google.com/spreadsheets/d/1muirlRDkqiswvy_NRZ3Yh955hx-PF6_HhssUYiSJj8o/edit?usp=sharing"",""กองทุน!U30"")"),0)</f>
        <v>0</v>
      </c>
      <c r="K527" s="201">
        <f t="shared" ca="1" si="118"/>
        <v>0</v>
      </c>
      <c r="L527" s="201"/>
      <c r="M527" s="201"/>
      <c r="N527" s="53"/>
    </row>
    <row r="528" spans="1:14" ht="21.75" customHeight="1" x14ac:dyDescent="0.4">
      <c r="A528" s="317"/>
      <c r="B528" s="319"/>
      <c r="C528" s="319"/>
      <c r="D528" s="318"/>
      <c r="E528" s="343"/>
      <c r="F528" s="343"/>
      <c r="G528" s="344"/>
      <c r="H528" s="345" t="s">
        <v>16</v>
      </c>
      <c r="I528" s="322">
        <f ca="1">IFERROR(__xludf.DUMMYFUNCTION("IMPORTRANGE(""https://docs.google.com/spreadsheets/d/1muirlRDkqiswvy_NRZ3Yh955hx-PF6_HhssUYiSJj8o/edit?usp=sharing"",""กองทุน!R30"")"),140)</f>
        <v>140</v>
      </c>
      <c r="J528" s="322">
        <f ca="1">IFERROR(__xludf.DUMMYFUNCTION("IMPORTRANGE(""https://docs.google.com/spreadsheets/d/1muirlRDkqiswvy_NRZ3Yh955hx-PF6_HhssUYiSJj8o/edit?usp=sharing"",""กองทุน!T30"")"),0)</f>
        <v>0</v>
      </c>
      <c r="K528" s="323">
        <f t="shared" ca="1" si="118"/>
        <v>0</v>
      </c>
      <c r="L528" s="323"/>
      <c r="M528" s="323"/>
      <c r="N528" s="346"/>
    </row>
    <row r="529" spans="1:14" ht="21.75" customHeight="1" x14ac:dyDescent="0.4">
      <c r="A529" s="347"/>
      <c r="B529" s="347"/>
      <c r="C529" s="347"/>
      <c r="D529" s="347"/>
      <c r="E529" s="348" t="s">
        <v>217</v>
      </c>
      <c r="F529" s="348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&amp;P/&amp;N&amp;R&amp;F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L18" sqref="L18"/>
      <selection pane="bottomLeft" activeCell="L18" sqref="L18"/>
    </sheetView>
  </sheetViews>
  <sheetFormatPr defaultColWidth="12.625" defaultRowHeight="15" customHeight="1" x14ac:dyDescent="0.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4">
      <c r="A1" s="403" t="s">
        <v>0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</row>
    <row r="2" spans="1:14" ht="18" customHeight="1" x14ac:dyDescent="0.4">
      <c r="A2" s="403" t="s">
        <v>241</v>
      </c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404"/>
    </row>
    <row r="3" spans="1:14" ht="18" customHeight="1" x14ac:dyDescent="0.4">
      <c r="A3" s="403" t="s">
        <v>249</v>
      </c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04"/>
    </row>
    <row r="4" spans="1:14" ht="33.75" customHeight="1" x14ac:dyDescent="0.4">
      <c r="A4" s="2"/>
      <c r="B4" s="2"/>
      <c r="C4" s="2"/>
      <c r="D4" s="2"/>
      <c r="E4" s="2"/>
      <c r="F4" s="2"/>
      <c r="G4" s="2"/>
      <c r="H4" s="2"/>
      <c r="I4" s="2"/>
      <c r="J4" s="354" t="s">
        <v>2</v>
      </c>
      <c r="K4" s="4"/>
      <c r="L4" s="5"/>
      <c r="M4" s="355" t="s">
        <v>3</v>
      </c>
      <c r="N4" s="2"/>
    </row>
    <row r="5" spans="1:14" ht="21.75" customHeight="1" x14ac:dyDescent="0.55000000000000004">
      <c r="A5" s="405" t="s">
        <v>4</v>
      </c>
      <c r="B5" s="406"/>
      <c r="C5" s="406"/>
      <c r="D5" s="406"/>
      <c r="E5" s="406"/>
      <c r="F5" s="406"/>
      <c r="G5" s="407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1184375</v>
      </c>
      <c r="M6" s="16">
        <f t="shared" si="0"/>
        <v>19295</v>
      </c>
      <c r="N6" s="17">
        <f ca="1">IF(L6&gt;0,M6*100/L6,0)</f>
        <v>1.6291292875989445</v>
      </c>
    </row>
    <row r="7" spans="1:14" ht="21.75" customHeight="1" x14ac:dyDescent="0.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41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41">
        <f ca="1">IF(L9&gt;0,M9*100/L9,0)</f>
        <v>0</v>
      </c>
    </row>
    <row r="10" spans="1:14" ht="21.75" customHeight="1" x14ac:dyDescent="0.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41">
        <f t="shared" ca="1" si="2"/>
        <v>0</v>
      </c>
      <c r="L10" s="40"/>
      <c r="M10" s="40"/>
      <c r="N10" s="41"/>
    </row>
    <row r="11" spans="1:14" ht="21.75" customHeight="1" x14ac:dyDescent="0.4">
      <c r="A11" s="42"/>
      <c r="B11" s="43"/>
      <c r="C11" s="43" t="s">
        <v>17</v>
      </c>
      <c r="D11" s="44" t="s">
        <v>18</v>
      </c>
      <c r="E11" s="45"/>
      <c r="F11" s="45"/>
      <c r="G11" s="46" t="s">
        <v>19</v>
      </c>
      <c r="H11" s="47" t="s">
        <v>20</v>
      </c>
      <c r="I11" s="48" t="s">
        <v>21</v>
      </c>
      <c r="J11" s="48"/>
      <c r="K11" s="49"/>
      <c r="L11" s="50">
        <v>0</v>
      </c>
      <c r="M11" s="50">
        <v>0</v>
      </c>
      <c r="N11" s="50">
        <f t="shared" ref="N11:N14" si="4">+IF(L11&gt;0,M11*100/L11,0)</f>
        <v>0</v>
      </c>
    </row>
    <row r="12" spans="1:14" ht="21.75" customHeight="1" x14ac:dyDescent="0.4">
      <c r="A12" s="42"/>
      <c r="B12" s="43"/>
      <c r="C12" s="43"/>
      <c r="D12" s="51"/>
      <c r="E12" s="45"/>
      <c r="F12" s="45" t="s">
        <v>21</v>
      </c>
      <c r="G12" s="46" t="s">
        <v>22</v>
      </c>
      <c r="H12" s="47" t="s">
        <v>20</v>
      </c>
      <c r="I12" s="48"/>
      <c r="J12" s="48"/>
      <c r="K12" s="49"/>
      <c r="L12" s="53">
        <f ca="1">IFERROR(__xludf.DUMMYFUNCTION("IMPORTRANGE(""https://docs.google.com/spreadsheets/d/1C3CXT74ZlgGe6_JY_1olB1XN4rF0dxEuIIF-xsYjHgg/edit?usp=sharing"",""พรบ!C31"")"),0)</f>
        <v>0</v>
      </c>
      <c r="M12" s="50">
        <f>SUM(M13:M14)</f>
        <v>0</v>
      </c>
      <c r="N12" s="50">
        <f t="shared" ca="1" si="4"/>
        <v>0</v>
      </c>
    </row>
    <row r="13" spans="1:14" ht="21.75" customHeight="1" x14ac:dyDescent="0.4">
      <c r="A13" s="42"/>
      <c r="B13" s="43"/>
      <c r="C13" s="43"/>
      <c r="D13" s="51"/>
      <c r="E13" s="45"/>
      <c r="F13" s="45"/>
      <c r="G13" s="52" t="s">
        <v>23</v>
      </c>
      <c r="H13" s="47" t="s">
        <v>20</v>
      </c>
      <c r="I13" s="48"/>
      <c r="J13" s="67"/>
      <c r="K13" s="233"/>
      <c r="L13" s="53">
        <f ca="1">IFERROR(__xludf.DUMMYFUNCTION("IMPORTRANGE(""https://docs.google.com/spreadsheets/d/1C3CXT74ZlgGe6_JY_1olB1XN4rF0dxEuIIF-xsYjHgg/edit?usp=sharing"",""พรบ!D31"")"),0)</f>
        <v>0</v>
      </c>
      <c r="M13" s="53">
        <v>0</v>
      </c>
      <c r="N13" s="53">
        <f t="shared" ca="1" si="4"/>
        <v>0</v>
      </c>
    </row>
    <row r="14" spans="1:14" ht="21.75" customHeight="1" x14ac:dyDescent="0.4">
      <c r="A14" s="42"/>
      <c r="B14" s="43"/>
      <c r="C14" s="43"/>
      <c r="D14" s="51"/>
      <c r="E14" s="45"/>
      <c r="F14" s="45"/>
      <c r="G14" s="52" t="s">
        <v>24</v>
      </c>
      <c r="H14" s="47" t="s">
        <v>20</v>
      </c>
      <c r="I14" s="48"/>
      <c r="J14" s="67"/>
      <c r="K14" s="233"/>
      <c r="L14" s="53">
        <f ca="1">IFERROR(__xludf.DUMMYFUNCTION("IMPORTRANGE(""https://docs.google.com/spreadsheets/d/1C3CXT74ZlgGe6_JY_1olB1XN4rF0dxEuIIF-xsYjHgg/edit?usp=sharing"",""พรบ!E31"")"),0)</f>
        <v>0</v>
      </c>
      <c r="M14" s="53">
        <v>0</v>
      </c>
      <c r="N14" s="53">
        <f t="shared" ca="1" si="4"/>
        <v>0</v>
      </c>
    </row>
    <row r="15" spans="1:14" ht="21.75" customHeight="1" x14ac:dyDescent="0.4">
      <c r="A15" s="55"/>
      <c r="B15" s="56"/>
      <c r="C15" s="43" t="s">
        <v>17</v>
      </c>
      <c r="D15" s="57" t="s">
        <v>25</v>
      </c>
      <c r="E15" s="58"/>
      <c r="F15" s="58"/>
      <c r="G15" s="59"/>
      <c r="H15" s="60"/>
      <c r="I15" s="48"/>
      <c r="J15" s="67"/>
      <c r="K15" s="233"/>
      <c r="L15" s="53"/>
      <c r="M15" s="53"/>
      <c r="N15" s="61"/>
    </row>
    <row r="16" spans="1:14" ht="21.75" customHeight="1" x14ac:dyDescent="0.4">
      <c r="A16" s="55"/>
      <c r="B16" s="56"/>
      <c r="C16" s="56"/>
      <c r="D16" s="62">
        <v>1</v>
      </c>
      <c r="E16" s="63" t="s">
        <v>26</v>
      </c>
      <c r="F16" s="64"/>
      <c r="G16" s="65"/>
      <c r="H16" s="66"/>
      <c r="I16" s="67"/>
      <c r="J16" s="67">
        <v>0</v>
      </c>
      <c r="K16" s="233"/>
      <c r="L16" s="53"/>
      <c r="M16" s="53"/>
      <c r="N16" s="61"/>
    </row>
    <row r="17" spans="1:14" ht="21.75" customHeight="1" x14ac:dyDescent="0.4">
      <c r="A17" s="55"/>
      <c r="B17" s="56"/>
      <c r="C17" s="56"/>
      <c r="D17" s="69">
        <v>2</v>
      </c>
      <c r="E17" s="70" t="s">
        <v>27</v>
      </c>
      <c r="F17" s="71"/>
      <c r="G17" s="72"/>
      <c r="H17" s="66"/>
      <c r="I17" s="67"/>
      <c r="J17" s="67">
        <v>0</v>
      </c>
      <c r="K17" s="233"/>
      <c r="L17" s="53" t="s">
        <v>21</v>
      </c>
      <c r="M17" s="53" t="s">
        <v>21</v>
      </c>
      <c r="N17" s="61"/>
    </row>
    <row r="18" spans="1:14" ht="21.75" customHeight="1" x14ac:dyDescent="0.4">
      <c r="A18" s="55"/>
      <c r="B18" s="56"/>
      <c r="C18" s="56"/>
      <c r="D18" s="73"/>
      <c r="E18" s="74" t="s">
        <v>28</v>
      </c>
      <c r="F18" s="75"/>
      <c r="G18" s="76"/>
      <c r="H18" s="66"/>
      <c r="I18" s="67"/>
      <c r="J18" s="67">
        <v>0</v>
      </c>
      <c r="K18" s="233"/>
      <c r="L18" s="53"/>
      <c r="M18" s="53"/>
      <c r="N18" s="61"/>
    </row>
    <row r="19" spans="1:14" ht="21.75" customHeight="1" x14ac:dyDescent="0.4">
      <c r="A19" s="55"/>
      <c r="B19" s="56"/>
      <c r="C19" s="56"/>
      <c r="D19" s="73"/>
      <c r="E19" s="74" t="s">
        <v>29</v>
      </c>
      <c r="F19" s="75"/>
      <c r="G19" s="76"/>
      <c r="H19" s="66"/>
      <c r="I19" s="67"/>
      <c r="J19" s="67">
        <v>0</v>
      </c>
      <c r="K19" s="233"/>
      <c r="L19" s="53"/>
      <c r="M19" s="53"/>
      <c r="N19" s="61"/>
    </row>
    <row r="20" spans="1:14" ht="21.75" customHeight="1" x14ac:dyDescent="0.4">
      <c r="A20" s="55"/>
      <c r="B20" s="56"/>
      <c r="C20" s="56"/>
      <c r="D20" s="73"/>
      <c r="E20" s="77"/>
      <c r="F20" s="74" t="s">
        <v>30</v>
      </c>
      <c r="G20" s="75"/>
      <c r="H20" s="78" t="s">
        <v>15</v>
      </c>
      <c r="I20" s="79">
        <f t="shared" ref="I20:J20" ca="1" si="5">+I22+I24+I26</f>
        <v>0</v>
      </c>
      <c r="J20" s="79">
        <f t="shared" si="5"/>
        <v>0</v>
      </c>
      <c r="K20" s="362">
        <f t="shared" ref="K20:K28" ca="1" si="6">IF(I20&gt;0,J20*100/I20,0)</f>
        <v>0</v>
      </c>
      <c r="L20" s="53"/>
      <c r="M20" s="53"/>
      <c r="N20" s="61"/>
    </row>
    <row r="21" spans="1:14" ht="21.75" customHeight="1" x14ac:dyDescent="0.4">
      <c r="A21" s="55"/>
      <c r="B21" s="56"/>
      <c r="C21" s="56"/>
      <c r="D21" s="73"/>
      <c r="E21" s="77"/>
      <c r="F21" s="75"/>
      <c r="G21" s="76"/>
      <c r="H21" s="78" t="s">
        <v>16</v>
      </c>
      <c r="I21" s="79">
        <f t="shared" ref="I21:J21" ca="1" si="7">+I23+I25+I27</f>
        <v>0</v>
      </c>
      <c r="J21" s="79">
        <f t="shared" si="7"/>
        <v>0</v>
      </c>
      <c r="K21" s="362">
        <f t="shared" ca="1" si="6"/>
        <v>0</v>
      </c>
      <c r="L21" s="53"/>
      <c r="M21" s="53"/>
      <c r="N21" s="61"/>
    </row>
    <row r="22" spans="1:14" ht="21.75" customHeight="1" x14ac:dyDescent="0.4">
      <c r="A22" s="55"/>
      <c r="B22" s="56"/>
      <c r="C22" s="56"/>
      <c r="D22" s="73"/>
      <c r="E22" s="77"/>
      <c r="F22" s="75"/>
      <c r="G22" s="75" t="s">
        <v>31</v>
      </c>
      <c r="H22" s="60" t="s">
        <v>15</v>
      </c>
      <c r="I22" s="48">
        <f ca="1">IFERROR(__xludf.DUMMYFUNCTION("IMPORTRANGE(""https://docs.google.com/spreadsheets/d/1C3CXT74ZlgGe6_JY_1olB1XN4rF0dxEuIIF-xsYjHgg/edit?usp=sharing"",""พรบ!H31"")"),0)</f>
        <v>0</v>
      </c>
      <c r="J22" s="67">
        <v>0</v>
      </c>
      <c r="K22" s="233">
        <f t="shared" ca="1" si="6"/>
        <v>0</v>
      </c>
      <c r="L22" s="53"/>
      <c r="M22" s="53"/>
      <c r="N22" s="61"/>
    </row>
    <row r="23" spans="1:14" ht="21.75" customHeight="1" x14ac:dyDescent="0.4">
      <c r="A23" s="55"/>
      <c r="B23" s="56"/>
      <c r="C23" s="56"/>
      <c r="D23" s="73"/>
      <c r="E23" s="77"/>
      <c r="F23" s="75"/>
      <c r="G23" s="76"/>
      <c r="H23" s="60" t="s">
        <v>16</v>
      </c>
      <c r="I23" s="48">
        <f ca="1">IFERROR(__xludf.DUMMYFUNCTION("IMPORTRANGE(""https://docs.google.com/spreadsheets/d/1C3CXT74ZlgGe6_JY_1olB1XN4rF0dxEuIIF-xsYjHgg/edit?usp=sharing"",""พรบ!I31"")"),0)</f>
        <v>0</v>
      </c>
      <c r="J23" s="67">
        <v>0</v>
      </c>
      <c r="K23" s="233">
        <f t="shared" ca="1" si="6"/>
        <v>0</v>
      </c>
      <c r="L23" s="53"/>
      <c r="M23" s="53"/>
      <c r="N23" s="61"/>
    </row>
    <row r="24" spans="1:14" ht="21.75" customHeight="1" x14ac:dyDescent="0.4">
      <c r="A24" s="55"/>
      <c r="B24" s="56"/>
      <c r="C24" s="56"/>
      <c r="D24" s="73"/>
      <c r="E24" s="77"/>
      <c r="F24" s="75"/>
      <c r="G24" s="75" t="s">
        <v>32</v>
      </c>
      <c r="H24" s="60" t="s">
        <v>15</v>
      </c>
      <c r="I24" s="48">
        <f ca="1">IFERROR(__xludf.DUMMYFUNCTION("IMPORTRANGE(""https://docs.google.com/spreadsheets/d/1C3CXT74ZlgGe6_JY_1olB1XN4rF0dxEuIIF-xsYjHgg/edit?usp=sharing"",""พรบ!J31"")"),0)</f>
        <v>0</v>
      </c>
      <c r="J24" s="67">
        <v>0</v>
      </c>
      <c r="K24" s="233">
        <f t="shared" ca="1" si="6"/>
        <v>0</v>
      </c>
      <c r="L24" s="53"/>
      <c r="M24" s="53"/>
      <c r="N24" s="61"/>
    </row>
    <row r="25" spans="1:14" ht="21.75" customHeight="1" x14ac:dyDescent="0.4">
      <c r="A25" s="55"/>
      <c r="B25" s="56"/>
      <c r="C25" s="56"/>
      <c r="D25" s="73"/>
      <c r="E25" s="77"/>
      <c r="F25" s="75"/>
      <c r="G25" s="76"/>
      <c r="H25" s="60" t="s">
        <v>16</v>
      </c>
      <c r="I25" s="48">
        <f ca="1">IFERROR(__xludf.DUMMYFUNCTION("IMPORTRANGE(""https://docs.google.com/spreadsheets/d/1C3CXT74ZlgGe6_JY_1olB1XN4rF0dxEuIIF-xsYjHgg/edit?usp=sharing"",""พรบ!K31"")"),0)</f>
        <v>0</v>
      </c>
      <c r="J25" s="67">
        <v>0</v>
      </c>
      <c r="K25" s="233">
        <f t="shared" ca="1" si="6"/>
        <v>0</v>
      </c>
      <c r="L25" s="53"/>
      <c r="M25" s="53"/>
      <c r="N25" s="61"/>
    </row>
    <row r="26" spans="1:14" ht="21.75" customHeight="1" x14ac:dyDescent="0.4">
      <c r="A26" s="55"/>
      <c r="B26" s="56"/>
      <c r="C26" s="56"/>
      <c r="D26" s="73"/>
      <c r="E26" s="77"/>
      <c r="F26" s="75"/>
      <c r="G26" s="75" t="s">
        <v>33</v>
      </c>
      <c r="H26" s="60" t="s">
        <v>15</v>
      </c>
      <c r="I26" s="48">
        <f ca="1">IFERROR(__xludf.DUMMYFUNCTION("IMPORTRANGE(""https://docs.google.com/spreadsheets/d/1C3CXT74ZlgGe6_JY_1olB1XN4rF0dxEuIIF-xsYjHgg/edit?usp=sharing"",""พรบ!L31"")"),0)</f>
        <v>0</v>
      </c>
      <c r="J26" s="67">
        <v>0</v>
      </c>
      <c r="K26" s="233">
        <f t="shared" ca="1" si="6"/>
        <v>0</v>
      </c>
      <c r="L26" s="53"/>
      <c r="M26" s="53"/>
      <c r="N26" s="61"/>
    </row>
    <row r="27" spans="1:14" ht="21.75" customHeight="1" x14ac:dyDescent="0.4">
      <c r="A27" s="55"/>
      <c r="B27" s="56"/>
      <c r="C27" s="56"/>
      <c r="D27" s="73"/>
      <c r="E27" s="77"/>
      <c r="F27" s="75"/>
      <c r="G27" s="76"/>
      <c r="H27" s="60" t="s">
        <v>16</v>
      </c>
      <c r="I27" s="48">
        <f ca="1">IFERROR(__xludf.DUMMYFUNCTION("IMPORTRANGE(""https://docs.google.com/spreadsheets/d/1C3CXT74ZlgGe6_JY_1olB1XN4rF0dxEuIIF-xsYjHgg/edit?usp=sharing"",""พรบ!M31"")"),0)</f>
        <v>0</v>
      </c>
      <c r="J27" s="67">
        <v>0</v>
      </c>
      <c r="K27" s="233">
        <f t="shared" ca="1" si="6"/>
        <v>0</v>
      </c>
      <c r="L27" s="53"/>
      <c r="M27" s="53"/>
      <c r="N27" s="61"/>
    </row>
    <row r="28" spans="1:14" ht="21.75" customHeight="1" x14ac:dyDescent="0.4">
      <c r="A28" s="55"/>
      <c r="B28" s="56"/>
      <c r="C28" s="56"/>
      <c r="D28" s="73"/>
      <c r="E28" s="77"/>
      <c r="F28" s="74" t="s">
        <v>34</v>
      </c>
      <c r="G28" s="75"/>
      <c r="H28" s="60" t="s">
        <v>16</v>
      </c>
      <c r="I28" s="48">
        <f ca="1">IFERROR(__xludf.DUMMYFUNCTION("IMPORTRANGE(""https://docs.google.com/spreadsheets/d/1C3CXT74ZlgGe6_JY_1olB1XN4rF0dxEuIIF-xsYjHgg/edit?usp=sharing"",""พรบ!N31"")"),0)</f>
        <v>0</v>
      </c>
      <c r="J28" s="67">
        <v>0</v>
      </c>
      <c r="K28" s="233">
        <f t="shared" ca="1" si="6"/>
        <v>0</v>
      </c>
      <c r="L28" s="53"/>
      <c r="M28" s="53"/>
      <c r="N28" s="61"/>
    </row>
    <row r="29" spans="1:14" ht="21.75" customHeight="1" x14ac:dyDescent="0.4">
      <c r="A29" s="55"/>
      <c r="B29" s="56"/>
      <c r="C29" s="56"/>
      <c r="D29" s="73"/>
      <c r="E29" s="74" t="s">
        <v>35</v>
      </c>
      <c r="F29" s="75"/>
      <c r="G29" s="76"/>
      <c r="H29" s="66"/>
      <c r="I29" s="67"/>
      <c r="J29" s="67">
        <v>0</v>
      </c>
      <c r="K29" s="233"/>
      <c r="L29" s="53"/>
      <c r="M29" s="53"/>
      <c r="N29" s="61"/>
    </row>
    <row r="30" spans="1:14" ht="21.75" customHeight="1" x14ac:dyDescent="0.4">
      <c r="A30" s="55"/>
      <c r="B30" s="56"/>
      <c r="C30" s="56"/>
      <c r="D30" s="81">
        <v>3</v>
      </c>
      <c r="E30" s="82" t="s">
        <v>36</v>
      </c>
      <c r="F30" s="83"/>
      <c r="G30" s="84"/>
      <c r="H30" s="66"/>
      <c r="I30" s="67"/>
      <c r="J30" s="360">
        <v>0</v>
      </c>
      <c r="K30" s="233"/>
      <c r="L30" s="53"/>
      <c r="M30" s="53"/>
      <c r="N30" s="61"/>
    </row>
    <row r="31" spans="1:14" ht="21.75" customHeight="1" x14ac:dyDescent="0.4">
      <c r="A31" s="86" t="s">
        <v>37</v>
      </c>
      <c r="B31" s="87"/>
      <c r="C31" s="88"/>
      <c r="D31" s="87"/>
      <c r="E31" s="89"/>
      <c r="F31" s="89"/>
      <c r="G31" s="90"/>
      <c r="H31" s="91"/>
      <c r="I31" s="92"/>
      <c r="J31" s="92"/>
      <c r="K31" s="93"/>
      <c r="L31" s="94"/>
      <c r="M31" s="94"/>
      <c r="N31" s="95"/>
    </row>
    <row r="32" spans="1:14" ht="21.75" customHeight="1" x14ac:dyDescent="0.4">
      <c r="A32" s="34"/>
      <c r="B32" s="35" t="s">
        <v>38</v>
      </c>
      <c r="C32" s="35"/>
      <c r="D32" s="36"/>
      <c r="E32" s="35"/>
      <c r="F32" s="35"/>
      <c r="G32" s="96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41">
        <f t="shared" ref="K32:K33" ca="1" si="9">IF(I32&gt;0,J32*100/I32,0)</f>
        <v>0</v>
      </c>
      <c r="L32" s="97">
        <f ca="1">L34+L35</f>
        <v>0</v>
      </c>
      <c r="M32" s="97">
        <f>SUM(M34:M35)</f>
        <v>0</v>
      </c>
      <c r="N32" s="41">
        <f ca="1">IF(L32&gt;0,M32*100/L32,0)</f>
        <v>0</v>
      </c>
    </row>
    <row r="33" spans="1:14" ht="21.75" customHeight="1" x14ac:dyDescent="0.4">
      <c r="A33" s="34"/>
      <c r="B33" s="35"/>
      <c r="C33" s="35"/>
      <c r="D33" s="36" t="s">
        <v>39</v>
      </c>
      <c r="E33" s="35"/>
      <c r="F33" s="35"/>
      <c r="G33" s="96"/>
      <c r="H33" s="37" t="s">
        <v>40</v>
      </c>
      <c r="I33" s="38">
        <f ca="1">I48</f>
        <v>0</v>
      </c>
      <c r="J33" s="38">
        <f>+J48</f>
        <v>0</v>
      </c>
      <c r="K33" s="41">
        <f t="shared" ca="1" si="9"/>
        <v>0</v>
      </c>
      <c r="L33" s="97"/>
      <c r="M33" s="97"/>
      <c r="N33" s="41"/>
    </row>
    <row r="34" spans="1:14" ht="21.75" customHeight="1" x14ac:dyDescent="0.4">
      <c r="A34" s="42"/>
      <c r="B34" s="43"/>
      <c r="C34" s="43" t="s">
        <v>17</v>
      </c>
      <c r="D34" s="44" t="s">
        <v>18</v>
      </c>
      <c r="E34" s="45"/>
      <c r="F34" s="45"/>
      <c r="G34" s="46" t="s">
        <v>19</v>
      </c>
      <c r="H34" s="47" t="s">
        <v>20</v>
      </c>
      <c r="I34" s="48" t="s">
        <v>21</v>
      </c>
      <c r="J34" s="48"/>
      <c r="K34" s="49"/>
      <c r="L34" s="53">
        <v>0</v>
      </c>
      <c r="M34" s="50">
        <v>0</v>
      </c>
      <c r="N34" s="50">
        <f t="shared" ref="N34:N37" si="10">+IF(L34&gt;0,M34*100/L34,0)</f>
        <v>0</v>
      </c>
    </row>
    <row r="35" spans="1:14" ht="21.75" customHeight="1" x14ac:dyDescent="0.4">
      <c r="A35" s="42"/>
      <c r="B35" s="43"/>
      <c r="C35" s="43"/>
      <c r="D35" s="51"/>
      <c r="E35" s="45"/>
      <c r="F35" s="45" t="s">
        <v>21</v>
      </c>
      <c r="G35" s="46" t="s">
        <v>22</v>
      </c>
      <c r="H35" s="47" t="s">
        <v>20</v>
      </c>
      <c r="I35" s="48"/>
      <c r="J35" s="48"/>
      <c r="K35" s="49"/>
      <c r="L35" s="53">
        <f ca="1">IFERROR(__xludf.DUMMYFUNCTION("IMPORTRANGE(""https://docs.google.com/spreadsheets/d/1C3CXT74ZlgGe6_JY_1olB1XN4rF0dxEuIIF-xsYjHgg/edit?usp=sharing"",""พรบ!O31"")"),0)</f>
        <v>0</v>
      </c>
      <c r="M35" s="50">
        <f>SUM(M36:M37)</f>
        <v>0</v>
      </c>
      <c r="N35" s="50">
        <f t="shared" ca="1" si="10"/>
        <v>0</v>
      </c>
    </row>
    <row r="36" spans="1:14" ht="21.75" customHeight="1" x14ac:dyDescent="0.4">
      <c r="A36" s="42"/>
      <c r="B36" s="43"/>
      <c r="C36" s="43"/>
      <c r="D36" s="51"/>
      <c r="E36" s="45"/>
      <c r="F36" s="45"/>
      <c r="G36" s="52" t="s">
        <v>23</v>
      </c>
      <c r="H36" s="47" t="s">
        <v>20</v>
      </c>
      <c r="I36" s="48"/>
      <c r="J36" s="48"/>
      <c r="K36" s="49"/>
      <c r="L36" s="53">
        <f ca="1">IFERROR(__xludf.DUMMYFUNCTION("IMPORTRANGE(""https://docs.google.com/spreadsheets/d/1C3CXT74ZlgGe6_JY_1olB1XN4rF0dxEuIIF-xsYjHgg/edit?usp=sharing"",""พรบ!P31"")"),0)</f>
        <v>0</v>
      </c>
      <c r="M36" s="53">
        <v>0</v>
      </c>
      <c r="N36" s="53">
        <f t="shared" ca="1" si="10"/>
        <v>0</v>
      </c>
    </row>
    <row r="37" spans="1:14" ht="21.75" customHeight="1" x14ac:dyDescent="0.4">
      <c r="A37" s="42"/>
      <c r="B37" s="43"/>
      <c r="C37" s="43"/>
      <c r="D37" s="51"/>
      <c r="E37" s="45"/>
      <c r="F37" s="45"/>
      <c r="G37" s="52" t="s">
        <v>24</v>
      </c>
      <c r="H37" s="47" t="s">
        <v>20</v>
      </c>
      <c r="I37" s="48"/>
      <c r="J37" s="67"/>
      <c r="K37" s="233"/>
      <c r="L37" s="53">
        <f ca="1">IFERROR(__xludf.DUMMYFUNCTION("IMPORTRANGE(""https://docs.google.com/spreadsheets/d/1C3CXT74ZlgGe6_JY_1olB1XN4rF0dxEuIIF-xsYjHgg/edit?usp=sharing"",""พรบ!Q31"")"),0)</f>
        <v>0</v>
      </c>
      <c r="M37" s="53">
        <v>0</v>
      </c>
      <c r="N37" s="53">
        <f t="shared" ca="1" si="10"/>
        <v>0</v>
      </c>
    </row>
    <row r="38" spans="1:14" ht="21.75" customHeight="1" x14ac:dyDescent="0.4">
      <c r="A38" s="55"/>
      <c r="B38" s="56"/>
      <c r="C38" s="43" t="s">
        <v>17</v>
      </c>
      <c r="D38" s="57" t="s">
        <v>25</v>
      </c>
      <c r="E38" s="58"/>
      <c r="F38" s="58"/>
      <c r="G38" s="59"/>
      <c r="H38" s="60"/>
      <c r="I38" s="48"/>
      <c r="J38" s="67"/>
      <c r="K38" s="233"/>
      <c r="L38" s="53"/>
      <c r="M38" s="53"/>
      <c r="N38" s="61"/>
    </row>
    <row r="39" spans="1:14" ht="21.75" customHeight="1" x14ac:dyDescent="0.4">
      <c r="A39" s="55"/>
      <c r="B39" s="56"/>
      <c r="C39" s="56"/>
      <c r="D39" s="62">
        <v>1</v>
      </c>
      <c r="E39" s="63" t="s">
        <v>26</v>
      </c>
      <c r="F39" s="64"/>
      <c r="G39" s="65"/>
      <c r="H39" s="66"/>
      <c r="I39" s="67"/>
      <c r="J39" s="67">
        <v>0</v>
      </c>
      <c r="K39" s="233"/>
      <c r="L39" s="53"/>
      <c r="M39" s="53"/>
      <c r="N39" s="61"/>
    </row>
    <row r="40" spans="1:14" ht="21.75" customHeight="1" x14ac:dyDescent="0.4">
      <c r="A40" s="55"/>
      <c r="B40" s="56"/>
      <c r="C40" s="56"/>
      <c r="D40" s="69">
        <v>2</v>
      </c>
      <c r="E40" s="70" t="s">
        <v>27</v>
      </c>
      <c r="F40" s="71"/>
      <c r="G40" s="72"/>
      <c r="H40" s="66"/>
      <c r="I40" s="67"/>
      <c r="J40" s="67">
        <v>0</v>
      </c>
      <c r="K40" s="233"/>
      <c r="L40" s="53" t="s">
        <v>21</v>
      </c>
      <c r="M40" s="53" t="s">
        <v>21</v>
      </c>
      <c r="N40" s="61"/>
    </row>
    <row r="41" spans="1:14" ht="21.75" customHeight="1" x14ac:dyDescent="0.4">
      <c r="A41" s="55"/>
      <c r="B41" s="56"/>
      <c r="C41" s="56"/>
      <c r="D41" s="73"/>
      <c r="E41" s="74" t="s">
        <v>28</v>
      </c>
      <c r="F41" s="75"/>
      <c r="G41" s="76"/>
      <c r="H41" s="66"/>
      <c r="I41" s="67"/>
      <c r="J41" s="67">
        <v>0</v>
      </c>
      <c r="K41" s="233"/>
      <c r="L41" s="53"/>
      <c r="M41" s="53"/>
      <c r="N41" s="61"/>
    </row>
    <row r="42" spans="1:14" ht="21.75" customHeight="1" x14ac:dyDescent="0.4">
      <c r="A42" s="55"/>
      <c r="B42" s="56"/>
      <c r="C42" s="56"/>
      <c r="D42" s="73"/>
      <c r="E42" s="74" t="s">
        <v>29</v>
      </c>
      <c r="F42" s="75"/>
      <c r="G42" s="76"/>
      <c r="H42" s="66"/>
      <c r="I42" s="67"/>
      <c r="J42" s="67">
        <v>0</v>
      </c>
      <c r="K42" s="233"/>
      <c r="L42" s="53"/>
      <c r="M42" s="53"/>
      <c r="N42" s="61"/>
    </row>
    <row r="43" spans="1:14" ht="21.75" customHeight="1" x14ac:dyDescent="0.4">
      <c r="A43" s="55"/>
      <c r="B43" s="56"/>
      <c r="C43" s="56"/>
      <c r="D43" s="73"/>
      <c r="E43" s="75"/>
      <c r="F43" s="75" t="s">
        <v>41</v>
      </c>
      <c r="G43" s="75"/>
      <c r="H43" s="60" t="s">
        <v>42</v>
      </c>
      <c r="I43" s="48">
        <f ca="1">IFERROR(__xludf.DUMMYFUNCTION("IMPORTRANGE(""https://docs.google.com/spreadsheets/d/1C3CXT74ZlgGe6_JY_1olB1XN4rF0dxEuIIF-xsYjHgg/edit?usp=sharing"",""พรบ!R31"")"),0)</f>
        <v>0</v>
      </c>
      <c r="J43" s="67">
        <v>0</v>
      </c>
      <c r="K43" s="233">
        <f t="shared" ref="K43:K48" ca="1" si="11">IF(I43&gt;0,J43*100/I43,0)</f>
        <v>0</v>
      </c>
      <c r="L43" s="53"/>
      <c r="M43" s="53"/>
      <c r="N43" s="61"/>
    </row>
    <row r="44" spans="1:14" ht="21.75" customHeight="1" x14ac:dyDescent="0.4">
      <c r="A44" s="55"/>
      <c r="B44" s="56"/>
      <c r="C44" s="56"/>
      <c r="D44" s="73"/>
      <c r="E44" s="77"/>
      <c r="F44" s="74" t="s">
        <v>43</v>
      </c>
      <c r="G44" s="75"/>
      <c r="H44" s="60" t="s">
        <v>16</v>
      </c>
      <c r="I44" s="48">
        <f ca="1">IFERROR(__xludf.DUMMYFUNCTION("IMPORTRANGE(""https://docs.google.com/spreadsheets/d/1C3CXT74ZlgGe6_JY_1olB1XN4rF0dxEuIIF-xsYjHgg/edit?usp=sharing"",""พรบ!S31"")"),0)</f>
        <v>0</v>
      </c>
      <c r="J44" s="67">
        <v>0</v>
      </c>
      <c r="K44" s="233">
        <f t="shared" ca="1" si="11"/>
        <v>0</v>
      </c>
      <c r="L44" s="53"/>
      <c r="M44" s="53"/>
      <c r="N44" s="61"/>
    </row>
    <row r="45" spans="1:14" ht="21.75" customHeight="1" x14ac:dyDescent="0.4">
      <c r="A45" s="55"/>
      <c r="B45" s="56"/>
      <c r="C45" s="56"/>
      <c r="D45" s="73"/>
      <c r="E45" s="77"/>
      <c r="F45" s="75"/>
      <c r="G45" s="98" t="s">
        <v>44</v>
      </c>
      <c r="H45" s="60" t="s">
        <v>16</v>
      </c>
      <c r="I45" s="48">
        <f ca="1">IFERROR(__xludf.DUMMYFUNCTION("IMPORTRANGE(""https://docs.google.com/spreadsheets/d/1C3CXT74ZlgGe6_JY_1olB1XN4rF0dxEuIIF-xsYjHgg/edit?usp=sharing"",""พรบ!T31"")"),0)</f>
        <v>0</v>
      </c>
      <c r="J45" s="67">
        <v>0</v>
      </c>
      <c r="K45" s="233">
        <f t="shared" ca="1" si="11"/>
        <v>0</v>
      </c>
      <c r="L45" s="53"/>
      <c r="M45" s="53"/>
      <c r="N45" s="61"/>
    </row>
    <row r="46" spans="1:14" ht="21.75" customHeight="1" x14ac:dyDescent="0.4">
      <c r="A46" s="55"/>
      <c r="B46" s="56"/>
      <c r="C46" s="56"/>
      <c r="D46" s="73"/>
      <c r="E46" s="77"/>
      <c r="F46" s="75"/>
      <c r="G46" s="98" t="s">
        <v>45</v>
      </c>
      <c r="H46" s="60" t="s">
        <v>16</v>
      </c>
      <c r="I46" s="48">
        <f ca="1">IFERROR(__xludf.DUMMYFUNCTION("IMPORTRANGE(""https://docs.google.com/spreadsheets/d/1C3CXT74ZlgGe6_JY_1olB1XN4rF0dxEuIIF-xsYjHgg/edit?usp=sharing"",""พรบ!U31"")"),0)</f>
        <v>0</v>
      </c>
      <c r="J46" s="67">
        <v>0</v>
      </c>
      <c r="K46" s="233">
        <f t="shared" ca="1" si="11"/>
        <v>0</v>
      </c>
      <c r="L46" s="53"/>
      <c r="M46" s="53"/>
      <c r="N46" s="61"/>
    </row>
    <row r="47" spans="1:14" ht="21.75" customHeight="1" x14ac:dyDescent="0.4">
      <c r="A47" s="55"/>
      <c r="B47" s="56"/>
      <c r="C47" s="56"/>
      <c r="D47" s="73"/>
      <c r="E47" s="77"/>
      <c r="F47" s="75"/>
      <c r="G47" s="99" t="s">
        <v>46</v>
      </c>
      <c r="H47" s="60" t="s">
        <v>16</v>
      </c>
      <c r="I47" s="48">
        <f ca="1">IFERROR(__xludf.DUMMYFUNCTION("IMPORTRANGE(""https://docs.google.com/spreadsheets/d/1C3CXT74ZlgGe6_JY_1olB1XN4rF0dxEuIIF-xsYjHgg/edit?usp=sharing"",""พรบ!V31"")"),0)</f>
        <v>0</v>
      </c>
      <c r="J47" s="67">
        <v>0</v>
      </c>
      <c r="K47" s="233">
        <f t="shared" ca="1" si="11"/>
        <v>0</v>
      </c>
      <c r="L47" s="53"/>
      <c r="M47" s="53"/>
      <c r="N47" s="61"/>
    </row>
    <row r="48" spans="1:14" ht="21.75" customHeight="1" x14ac:dyDescent="0.4">
      <c r="A48" s="55"/>
      <c r="B48" s="56"/>
      <c r="C48" s="56"/>
      <c r="D48" s="73"/>
      <c r="E48" s="77"/>
      <c r="F48" s="75" t="s">
        <v>47</v>
      </c>
      <c r="G48" s="75"/>
      <c r="H48" s="60" t="s">
        <v>40</v>
      </c>
      <c r="I48" s="48">
        <f ca="1">IFERROR(__xludf.DUMMYFUNCTION("IMPORTRANGE(""https://docs.google.com/spreadsheets/d/1C3CXT74ZlgGe6_JY_1olB1XN4rF0dxEuIIF-xsYjHgg/edit?usp=sharing"",""พรบ!W31"")"),0)</f>
        <v>0</v>
      </c>
      <c r="J48" s="67">
        <v>0</v>
      </c>
      <c r="K48" s="233">
        <f t="shared" ca="1" si="11"/>
        <v>0</v>
      </c>
      <c r="L48" s="53"/>
      <c r="M48" s="53"/>
      <c r="N48" s="61"/>
    </row>
    <row r="49" spans="1:14" ht="21.75" customHeight="1" x14ac:dyDescent="0.4">
      <c r="A49" s="55"/>
      <c r="B49" s="56"/>
      <c r="C49" s="56"/>
      <c r="D49" s="73"/>
      <c r="E49" s="74" t="s">
        <v>35</v>
      </c>
      <c r="F49" s="75"/>
      <c r="G49" s="76"/>
      <c r="H49" s="66"/>
      <c r="I49" s="67"/>
      <c r="J49" s="67">
        <v>0</v>
      </c>
      <c r="K49" s="233"/>
      <c r="L49" s="53"/>
      <c r="M49" s="53"/>
      <c r="N49" s="61"/>
    </row>
    <row r="50" spans="1:14" ht="21.75" customHeight="1" x14ac:dyDescent="0.4">
      <c r="A50" s="55"/>
      <c r="B50" s="56"/>
      <c r="C50" s="56"/>
      <c r="D50" s="81">
        <v>3</v>
      </c>
      <c r="E50" s="82" t="s">
        <v>36</v>
      </c>
      <c r="F50" s="83"/>
      <c r="G50" s="84"/>
      <c r="H50" s="66"/>
      <c r="I50" s="67"/>
      <c r="J50" s="360">
        <v>0</v>
      </c>
      <c r="K50" s="233"/>
      <c r="L50" s="53"/>
      <c r="M50" s="53"/>
      <c r="N50" s="61"/>
    </row>
    <row r="51" spans="1:14" ht="21.75" customHeight="1" x14ac:dyDescent="0.4">
      <c r="A51" s="86" t="s">
        <v>48</v>
      </c>
      <c r="B51" s="100"/>
      <c r="C51" s="101"/>
      <c r="D51" s="100"/>
      <c r="E51" s="102"/>
      <c r="F51" s="102"/>
      <c r="G51" s="103"/>
      <c r="H51" s="91"/>
      <c r="I51" s="92"/>
      <c r="J51" s="92"/>
      <c r="K51" s="93"/>
      <c r="L51" s="94"/>
      <c r="M51" s="94"/>
      <c r="N51" s="95"/>
    </row>
    <row r="52" spans="1:14" ht="21.75" customHeight="1" x14ac:dyDescent="0.4">
      <c r="A52" s="34"/>
      <c r="B52" s="35" t="s">
        <v>49</v>
      </c>
      <c r="C52" s="104"/>
      <c r="D52" s="36"/>
      <c r="E52" s="35"/>
      <c r="F52" s="35"/>
      <c r="G52" s="96"/>
      <c r="H52" s="37" t="s">
        <v>16</v>
      </c>
      <c r="I52" s="38">
        <f ca="1">I62</f>
        <v>20</v>
      </c>
      <c r="J52" s="38">
        <f>+J62</f>
        <v>0</v>
      </c>
      <c r="K52" s="41">
        <f ca="1">IF(I52&gt;0,J52*100/I52,0)</f>
        <v>0</v>
      </c>
      <c r="L52" s="40">
        <f ca="1">L53+L54</f>
        <v>82440</v>
      </c>
      <c r="M52" s="40">
        <f>SUM(M53:M54)</f>
        <v>0</v>
      </c>
      <c r="N52" s="41">
        <f ca="1">IF(L52&gt;0,M52*100/L52,0)</f>
        <v>0</v>
      </c>
    </row>
    <row r="53" spans="1:14" ht="21.75" customHeight="1" x14ac:dyDescent="0.4">
      <c r="A53" s="42"/>
      <c r="B53" s="43"/>
      <c r="C53" s="43" t="s">
        <v>17</v>
      </c>
      <c r="D53" s="44" t="s">
        <v>18</v>
      </c>
      <c r="E53" s="45"/>
      <c r="F53" s="45"/>
      <c r="G53" s="46" t="s">
        <v>19</v>
      </c>
      <c r="H53" s="47" t="s">
        <v>20</v>
      </c>
      <c r="I53" s="48" t="s">
        <v>21</v>
      </c>
      <c r="J53" s="48"/>
      <c r="K53" s="49"/>
      <c r="L53" s="50">
        <v>0</v>
      </c>
      <c r="M53" s="50">
        <v>0</v>
      </c>
      <c r="N53" s="50">
        <f t="shared" ref="N53:N56" si="12">+IF(L53&gt;0,M53*100/L53,0)</f>
        <v>0</v>
      </c>
    </row>
    <row r="54" spans="1:14" ht="21.75" customHeight="1" x14ac:dyDescent="0.4">
      <c r="A54" s="42"/>
      <c r="B54" s="43"/>
      <c r="C54" s="43"/>
      <c r="D54" s="51"/>
      <c r="E54" s="45"/>
      <c r="F54" s="45" t="s">
        <v>21</v>
      </c>
      <c r="G54" s="46" t="s">
        <v>22</v>
      </c>
      <c r="H54" s="47" t="s">
        <v>20</v>
      </c>
      <c r="I54" s="48"/>
      <c r="J54" s="48"/>
      <c r="K54" s="49"/>
      <c r="L54" s="50">
        <f t="shared" ref="L54:M54" ca="1" si="13">SUM(L55:L56)</f>
        <v>82440</v>
      </c>
      <c r="M54" s="50">
        <f t="shared" si="13"/>
        <v>0</v>
      </c>
      <c r="N54" s="50">
        <f t="shared" ca="1" si="12"/>
        <v>0</v>
      </c>
    </row>
    <row r="55" spans="1:14" ht="21.75" customHeight="1" x14ac:dyDescent="0.4">
      <c r="A55" s="42"/>
      <c r="B55" s="43"/>
      <c r="C55" s="43"/>
      <c r="D55" s="51"/>
      <c r="E55" s="45"/>
      <c r="F55" s="45"/>
      <c r="G55" s="52" t="s">
        <v>23</v>
      </c>
      <c r="H55" s="47" t="s">
        <v>20</v>
      </c>
      <c r="I55" s="48"/>
      <c r="J55" s="48"/>
      <c r="K55" s="49"/>
      <c r="L55" s="53">
        <f ca="1">IFERROR(__xludf.DUMMYFUNCTION("IMPORTRANGE(""https://docs.google.com/spreadsheets/d/1C3CXT74ZlgGe6_JY_1olB1XN4rF0dxEuIIF-xsYjHgg/edit?usp=sharing"",""พรบ!Y31"")"),0)</f>
        <v>0</v>
      </c>
      <c r="M55" s="53">
        <v>0</v>
      </c>
      <c r="N55" s="53">
        <f t="shared" ca="1" si="12"/>
        <v>0</v>
      </c>
    </row>
    <row r="56" spans="1:14" ht="21.75" customHeight="1" x14ac:dyDescent="0.4">
      <c r="A56" s="42"/>
      <c r="B56" s="43"/>
      <c r="C56" s="43"/>
      <c r="D56" s="51"/>
      <c r="E56" s="45"/>
      <c r="F56" s="45"/>
      <c r="G56" s="52" t="s">
        <v>24</v>
      </c>
      <c r="H56" s="47" t="s">
        <v>20</v>
      </c>
      <c r="I56" s="48"/>
      <c r="J56" s="48"/>
      <c r="K56" s="49"/>
      <c r="L56" s="53">
        <f ca="1">IFERROR(__xludf.DUMMYFUNCTION("IMPORTRANGE(""https://docs.google.com/spreadsheets/d/1C3CXT74ZlgGe6_JY_1olB1XN4rF0dxEuIIF-xsYjHgg/edit?usp=sharing"",""พรบ!Z31"")"),82440)</f>
        <v>82440</v>
      </c>
      <c r="M56" s="54">
        <v>0</v>
      </c>
      <c r="N56" s="53">
        <f t="shared" ca="1" si="12"/>
        <v>0</v>
      </c>
    </row>
    <row r="57" spans="1:14" ht="21.75" customHeight="1" x14ac:dyDescent="0.4">
      <c r="A57" s="55"/>
      <c r="B57" s="56"/>
      <c r="C57" s="43" t="s">
        <v>17</v>
      </c>
      <c r="D57" s="57" t="s">
        <v>250</v>
      </c>
      <c r="E57" s="58"/>
      <c r="F57" s="58"/>
      <c r="G57" s="59"/>
      <c r="H57" s="60"/>
      <c r="I57" s="48"/>
      <c r="J57" s="48"/>
      <c r="K57" s="49"/>
      <c r="L57" s="61"/>
      <c r="M57" s="61"/>
      <c r="N57" s="61"/>
    </row>
    <row r="58" spans="1:14" ht="21.75" customHeight="1" x14ac:dyDescent="0.4">
      <c r="A58" s="55"/>
      <c r="B58" s="56"/>
      <c r="C58" s="56"/>
      <c r="D58" s="62">
        <v>1</v>
      </c>
      <c r="E58" s="63" t="s">
        <v>26</v>
      </c>
      <c r="F58" s="64"/>
      <c r="G58" s="65"/>
      <c r="H58" s="66"/>
      <c r="I58" s="67"/>
      <c r="J58" s="68">
        <v>0</v>
      </c>
      <c r="K58" s="49"/>
      <c r="L58" s="61"/>
      <c r="M58" s="61"/>
      <c r="N58" s="61"/>
    </row>
    <row r="59" spans="1:14" ht="21.75" customHeight="1" x14ac:dyDescent="0.4">
      <c r="A59" s="55"/>
      <c r="B59" s="56"/>
      <c r="C59" s="56"/>
      <c r="D59" s="69">
        <v>2</v>
      </c>
      <c r="E59" s="70" t="s">
        <v>27</v>
      </c>
      <c r="F59" s="71"/>
      <c r="G59" s="72"/>
      <c r="H59" s="66"/>
      <c r="I59" s="67"/>
      <c r="J59" s="68">
        <v>1</v>
      </c>
      <c r="K59" s="49"/>
      <c r="L59" s="61" t="s">
        <v>21</v>
      </c>
      <c r="M59" s="61" t="s">
        <v>21</v>
      </c>
      <c r="N59" s="61"/>
    </row>
    <row r="60" spans="1:14" ht="21.75" customHeight="1" x14ac:dyDescent="0.4">
      <c r="A60" s="55"/>
      <c r="B60" s="56"/>
      <c r="C60" s="56"/>
      <c r="D60" s="73"/>
      <c r="E60" s="74" t="s">
        <v>28</v>
      </c>
      <c r="F60" s="75"/>
      <c r="G60" s="76"/>
      <c r="H60" s="66"/>
      <c r="I60" s="67"/>
      <c r="J60" s="68">
        <v>1</v>
      </c>
      <c r="K60" s="49"/>
      <c r="L60" s="61"/>
      <c r="M60" s="61"/>
      <c r="N60" s="61"/>
    </row>
    <row r="61" spans="1:14" ht="21.75" customHeight="1" x14ac:dyDescent="0.4">
      <c r="A61" s="55"/>
      <c r="B61" s="56"/>
      <c r="C61" s="56"/>
      <c r="D61" s="73"/>
      <c r="E61" s="74" t="s">
        <v>29</v>
      </c>
      <c r="F61" s="75"/>
      <c r="G61" s="76"/>
      <c r="H61" s="66"/>
      <c r="I61" s="67"/>
      <c r="J61" s="68">
        <v>0</v>
      </c>
      <c r="K61" s="49"/>
      <c r="L61" s="61"/>
      <c r="M61" s="61"/>
      <c r="N61" s="61"/>
    </row>
    <row r="62" spans="1:14" ht="21.75" customHeight="1" x14ac:dyDescent="0.4">
      <c r="A62" s="55"/>
      <c r="B62" s="56"/>
      <c r="C62" s="56"/>
      <c r="D62" s="73"/>
      <c r="E62" s="77"/>
      <c r="F62" s="74" t="s">
        <v>50</v>
      </c>
      <c r="G62" s="76"/>
      <c r="H62" s="60" t="s">
        <v>16</v>
      </c>
      <c r="I62" s="67">
        <f ca="1">IFERROR(__xludf.DUMMYFUNCTION("IMPORTRANGE(""https://docs.google.com/spreadsheets/d/1C3CXT74ZlgGe6_JY_1olB1XN4rF0dxEuIIF-xsYjHgg/edit?usp=sharing"",""พรบ!AA31"")"),20)</f>
        <v>20</v>
      </c>
      <c r="J62" s="68">
        <v>0</v>
      </c>
      <c r="K62" s="49">
        <f t="shared" ref="K62:K63" ca="1" si="14">IF(I62&gt;0,J62*100/I62,0)</f>
        <v>0</v>
      </c>
      <c r="L62" s="61"/>
      <c r="M62" s="61"/>
      <c r="N62" s="61"/>
    </row>
    <row r="63" spans="1:14" ht="21.75" customHeight="1" x14ac:dyDescent="0.4">
      <c r="A63" s="55"/>
      <c r="B63" s="56"/>
      <c r="C63" s="56"/>
      <c r="D63" s="73"/>
      <c r="E63" s="77"/>
      <c r="F63" s="74" t="s">
        <v>51</v>
      </c>
      <c r="G63" s="76"/>
      <c r="H63" s="60" t="s">
        <v>16</v>
      </c>
      <c r="I63" s="67">
        <f ca="1">I62</f>
        <v>20</v>
      </c>
      <c r="J63" s="68">
        <v>0</v>
      </c>
      <c r="K63" s="49">
        <f t="shared" ca="1" si="14"/>
        <v>0</v>
      </c>
      <c r="L63" s="61"/>
      <c r="M63" s="61"/>
      <c r="N63" s="61"/>
    </row>
    <row r="64" spans="1:14" ht="21.75" customHeight="1" x14ac:dyDescent="0.4">
      <c r="A64" s="55"/>
      <c r="B64" s="56"/>
      <c r="C64" s="56"/>
      <c r="D64" s="73"/>
      <c r="E64" s="74" t="s">
        <v>35</v>
      </c>
      <c r="F64" s="75"/>
      <c r="G64" s="76"/>
      <c r="H64" s="66"/>
      <c r="I64" s="67"/>
      <c r="J64" s="68">
        <v>0</v>
      </c>
      <c r="K64" s="49"/>
      <c r="L64" s="61"/>
      <c r="M64" s="61"/>
      <c r="N64" s="61"/>
    </row>
    <row r="65" spans="1:14" ht="21.75" customHeight="1" x14ac:dyDescent="0.4">
      <c r="A65" s="105"/>
      <c r="B65" s="106"/>
      <c r="C65" s="106"/>
      <c r="D65" s="107">
        <v>3</v>
      </c>
      <c r="E65" s="108" t="s">
        <v>36</v>
      </c>
      <c r="F65" s="109"/>
      <c r="G65" s="110"/>
      <c r="H65" s="111"/>
      <c r="I65" s="112"/>
      <c r="J65" s="113">
        <v>0</v>
      </c>
      <c r="K65" s="114"/>
      <c r="L65" s="115"/>
      <c r="M65" s="115"/>
      <c r="N65" s="115"/>
    </row>
    <row r="66" spans="1:14" ht="21.75" customHeight="1" x14ac:dyDescent="0.4">
      <c r="A66" s="116" t="s">
        <v>52</v>
      </c>
      <c r="B66" s="117"/>
      <c r="C66" s="117"/>
      <c r="D66" s="117"/>
      <c r="E66" s="118"/>
      <c r="F66" s="118"/>
      <c r="G66" s="119"/>
      <c r="H66" s="120"/>
      <c r="I66" s="121"/>
      <c r="J66" s="121"/>
      <c r="K66" s="122"/>
      <c r="L66" s="123"/>
      <c r="M66" s="123"/>
      <c r="N66" s="123"/>
    </row>
    <row r="67" spans="1:14" ht="21.75" customHeight="1" x14ac:dyDescent="0.4">
      <c r="A67" s="124" t="s">
        <v>53</v>
      </c>
      <c r="B67" s="125"/>
      <c r="C67" s="125"/>
      <c r="D67" s="126"/>
      <c r="E67" s="126"/>
      <c r="F67" s="126"/>
      <c r="G67" s="127"/>
      <c r="H67" s="128"/>
      <c r="I67" s="129"/>
      <c r="J67" s="129"/>
      <c r="K67" s="130"/>
      <c r="L67" s="130"/>
      <c r="M67" s="130"/>
      <c r="N67" s="131"/>
    </row>
    <row r="68" spans="1:14" ht="21.75" customHeight="1" x14ac:dyDescent="0.4">
      <c r="A68" s="132"/>
      <c r="B68" s="133" t="s">
        <v>54</v>
      </c>
      <c r="C68" s="134"/>
      <c r="D68" s="133"/>
      <c r="E68" s="133"/>
      <c r="F68" s="133"/>
      <c r="G68" s="135"/>
      <c r="H68" s="136" t="s">
        <v>16</v>
      </c>
      <c r="I68" s="137">
        <f t="shared" ref="I68:J68" ca="1" si="15">I126+I129</f>
        <v>0</v>
      </c>
      <c r="J68" s="137">
        <f t="shared" si="15"/>
        <v>0</v>
      </c>
      <c r="K68" s="138">
        <f ca="1">IF(I68&gt;0,J68*100/I68,0)</f>
        <v>0</v>
      </c>
      <c r="L68" s="139">
        <f t="shared" ref="L68:M68" ca="1" si="16">SUM(L70:L71)</f>
        <v>69500</v>
      </c>
      <c r="M68" s="139">
        <f t="shared" si="16"/>
        <v>0</v>
      </c>
      <c r="N68" s="138">
        <f ca="1">IF(L68&gt;0,M68*100/L68,0)</f>
        <v>0</v>
      </c>
    </row>
    <row r="69" spans="1:14" ht="21.75" customHeight="1" x14ac:dyDescent="0.4">
      <c r="A69" s="132"/>
      <c r="B69" s="133" t="s">
        <v>55</v>
      </c>
      <c r="C69" s="134"/>
      <c r="D69" s="133"/>
      <c r="E69" s="133"/>
      <c r="F69" s="133"/>
      <c r="G69" s="135"/>
      <c r="H69" s="136"/>
      <c r="I69" s="137"/>
      <c r="J69" s="137"/>
      <c r="K69" s="138"/>
      <c r="L69" s="139"/>
      <c r="M69" s="139"/>
      <c r="N69" s="138"/>
    </row>
    <row r="70" spans="1:14" ht="21.75" customHeight="1" x14ac:dyDescent="0.4">
      <c r="A70" s="42"/>
      <c r="B70" s="43"/>
      <c r="C70" s="43" t="s">
        <v>17</v>
      </c>
      <c r="D70" s="44" t="s">
        <v>18</v>
      </c>
      <c r="E70" s="45"/>
      <c r="F70" s="45"/>
      <c r="G70" s="46" t="s">
        <v>19</v>
      </c>
      <c r="H70" s="47" t="s">
        <v>20</v>
      </c>
      <c r="I70" s="48" t="s">
        <v>21</v>
      </c>
      <c r="J70" s="48"/>
      <c r="K70" s="49"/>
      <c r="L70" s="50">
        <v>0</v>
      </c>
      <c r="M70" s="50">
        <v>0</v>
      </c>
      <c r="N70" s="50">
        <f t="shared" ref="N70:N77" si="17">+IF(L70&gt;0,M70*100/L70,0)</f>
        <v>0</v>
      </c>
    </row>
    <row r="71" spans="1:14" ht="21.75" customHeight="1" x14ac:dyDescent="0.4">
      <c r="A71" s="42"/>
      <c r="B71" s="43"/>
      <c r="C71" s="43"/>
      <c r="D71" s="51"/>
      <c r="E71" s="45"/>
      <c r="F71" s="45" t="s">
        <v>21</v>
      </c>
      <c r="G71" s="46" t="s">
        <v>22</v>
      </c>
      <c r="H71" s="47" t="s">
        <v>20</v>
      </c>
      <c r="I71" s="48"/>
      <c r="J71" s="48"/>
      <c r="K71" s="49"/>
      <c r="L71" s="50">
        <f ca="1">L72+L73</f>
        <v>69500</v>
      </c>
      <c r="M71" s="140">
        <f>SUM(M72:M73)</f>
        <v>0</v>
      </c>
      <c r="N71" s="50">
        <f t="shared" ca="1" si="17"/>
        <v>0</v>
      </c>
    </row>
    <row r="72" spans="1:14" ht="21.75" customHeight="1" x14ac:dyDescent="0.4">
      <c r="A72" s="42"/>
      <c r="B72" s="43"/>
      <c r="C72" s="43"/>
      <c r="D72" s="51"/>
      <c r="E72" s="45"/>
      <c r="F72" s="45"/>
      <c r="G72" s="52" t="s">
        <v>23</v>
      </c>
      <c r="H72" s="47" t="s">
        <v>20</v>
      </c>
      <c r="I72" s="48"/>
      <c r="J72" s="48"/>
      <c r="K72" s="49"/>
      <c r="L72" s="53">
        <f ca="1">IFERROR(__xludf.DUMMYFUNCTION("IMPORTRANGE(""https://docs.google.com/spreadsheets/d/1C3CXT74ZlgGe6_JY_1olB1XN4rF0dxEuIIF-xsYjHgg/edit?usp=sharing"",""พรบ!AD31"")"),0)</f>
        <v>0</v>
      </c>
      <c r="M72" s="54">
        <v>0</v>
      </c>
      <c r="N72" s="53">
        <f t="shared" ca="1" si="17"/>
        <v>0</v>
      </c>
    </row>
    <row r="73" spans="1:14" ht="21.75" customHeight="1" x14ac:dyDescent="0.4">
      <c r="A73" s="42"/>
      <c r="B73" s="43"/>
      <c r="C73" s="43"/>
      <c r="D73" s="51"/>
      <c r="E73" s="45"/>
      <c r="F73" s="45"/>
      <c r="G73" s="52" t="s">
        <v>24</v>
      </c>
      <c r="H73" s="47" t="s">
        <v>20</v>
      </c>
      <c r="I73" s="48"/>
      <c r="J73" s="48"/>
      <c r="K73" s="49"/>
      <c r="L73" s="53">
        <f t="shared" ref="L73:M73" ca="1" si="18">L77+L92+L104+L117+L132</f>
        <v>69500</v>
      </c>
      <c r="M73" s="53">
        <f t="shared" si="18"/>
        <v>0</v>
      </c>
      <c r="N73" s="53">
        <f t="shared" ca="1" si="17"/>
        <v>0</v>
      </c>
    </row>
    <row r="74" spans="1:14" ht="21.75" customHeight="1" x14ac:dyDescent="0.4">
      <c r="A74" s="141"/>
      <c r="B74" s="142"/>
      <c r="C74" s="143" t="s">
        <v>56</v>
      </c>
      <c r="D74" s="143"/>
      <c r="E74" s="143"/>
      <c r="F74" s="143"/>
      <c r="G74" s="144"/>
      <c r="H74" s="145" t="s">
        <v>57</v>
      </c>
      <c r="I74" s="146">
        <f t="shared" ref="I74:J74" ca="1" si="19">I83</f>
        <v>4</v>
      </c>
      <c r="J74" s="146">
        <f t="shared" si="19"/>
        <v>0</v>
      </c>
      <c r="K74" s="147">
        <f ca="1">IF(I74&gt;0,J74*100/I74,0)</f>
        <v>0</v>
      </c>
      <c r="L74" s="148">
        <f ca="1">L75+L76</f>
        <v>7500</v>
      </c>
      <c r="M74" s="148">
        <f>SUM(M75:M76)</f>
        <v>0</v>
      </c>
      <c r="N74" s="148">
        <f t="shared" ca="1" si="17"/>
        <v>0</v>
      </c>
    </row>
    <row r="75" spans="1:14" ht="21.75" customHeight="1" x14ac:dyDescent="0.4">
      <c r="A75" s="42"/>
      <c r="B75" s="43"/>
      <c r="C75" s="43" t="s">
        <v>17</v>
      </c>
      <c r="D75" s="44" t="s">
        <v>18</v>
      </c>
      <c r="E75" s="45"/>
      <c r="F75" s="45"/>
      <c r="G75" s="46" t="s">
        <v>19</v>
      </c>
      <c r="H75" s="47" t="s">
        <v>20</v>
      </c>
      <c r="I75" s="48" t="s">
        <v>21</v>
      </c>
      <c r="J75" s="48"/>
      <c r="K75" s="49"/>
      <c r="L75" s="50">
        <v>0</v>
      </c>
      <c r="M75" s="50">
        <v>0</v>
      </c>
      <c r="N75" s="50">
        <f t="shared" si="17"/>
        <v>0</v>
      </c>
    </row>
    <row r="76" spans="1:14" ht="21.75" customHeight="1" x14ac:dyDescent="0.4">
      <c r="A76" s="42"/>
      <c r="B76" s="43"/>
      <c r="C76" s="43"/>
      <c r="D76" s="51"/>
      <c r="E76" s="45"/>
      <c r="F76" s="45" t="s">
        <v>21</v>
      </c>
      <c r="G76" s="46" t="s">
        <v>22</v>
      </c>
      <c r="H76" s="47" t="s">
        <v>20</v>
      </c>
      <c r="I76" s="48"/>
      <c r="J76" s="48"/>
      <c r="K76" s="49"/>
      <c r="L76" s="50">
        <f t="shared" ref="L76:M76" ca="1" si="20">L77</f>
        <v>7500</v>
      </c>
      <c r="M76" s="50">
        <f t="shared" si="20"/>
        <v>0</v>
      </c>
      <c r="N76" s="50">
        <f t="shared" ca="1" si="17"/>
        <v>0</v>
      </c>
    </row>
    <row r="77" spans="1:14" ht="21.75" customHeight="1" x14ac:dyDescent="0.4">
      <c r="A77" s="42"/>
      <c r="B77" s="43"/>
      <c r="C77" s="43"/>
      <c r="D77" s="51"/>
      <c r="E77" s="45"/>
      <c r="F77" s="45"/>
      <c r="G77" s="52" t="s">
        <v>24</v>
      </c>
      <c r="H77" s="47" t="s">
        <v>20</v>
      </c>
      <c r="I77" s="48"/>
      <c r="J77" s="48"/>
      <c r="K77" s="49"/>
      <c r="L77" s="53">
        <f ca="1">IFERROR(__xludf.DUMMYFUNCTION("IMPORTRANGE(""https://docs.google.com/spreadsheets/d/1C3CXT74ZlgGe6_JY_1olB1XN4rF0dxEuIIF-xsYjHgg/edit?usp=sharing"",""พรบ!AF31"")"),7500)</f>
        <v>7500</v>
      </c>
      <c r="M77" s="54">
        <v>0</v>
      </c>
      <c r="N77" s="53">
        <f t="shared" ca="1" si="17"/>
        <v>0</v>
      </c>
    </row>
    <row r="78" spans="1:14" ht="21.75" customHeight="1" x14ac:dyDescent="0.4">
      <c r="A78" s="55"/>
      <c r="B78" s="56"/>
      <c r="C78" s="43" t="s">
        <v>17</v>
      </c>
      <c r="D78" s="57" t="s">
        <v>25</v>
      </c>
      <c r="E78" s="58"/>
      <c r="F78" s="58"/>
      <c r="G78" s="59"/>
      <c r="H78" s="60"/>
      <c r="I78" s="48"/>
      <c r="J78" s="48"/>
      <c r="K78" s="49"/>
      <c r="L78" s="61"/>
      <c r="M78" s="61"/>
      <c r="N78" s="61"/>
    </row>
    <row r="79" spans="1:14" ht="21.75" customHeight="1" x14ac:dyDescent="0.4">
      <c r="A79" s="55"/>
      <c r="B79" s="56"/>
      <c r="C79" s="56"/>
      <c r="D79" s="62">
        <v>1</v>
      </c>
      <c r="E79" s="63" t="s">
        <v>26</v>
      </c>
      <c r="F79" s="64"/>
      <c r="G79" s="65"/>
      <c r="H79" s="66"/>
      <c r="I79" s="67"/>
      <c r="J79" s="68">
        <v>0</v>
      </c>
      <c r="K79" s="49"/>
      <c r="L79" s="61"/>
      <c r="M79" s="61"/>
      <c r="N79" s="61"/>
    </row>
    <row r="80" spans="1:14" ht="21.75" customHeight="1" x14ac:dyDescent="0.4">
      <c r="A80" s="55"/>
      <c r="B80" s="56"/>
      <c r="C80" s="56"/>
      <c r="D80" s="69">
        <v>2</v>
      </c>
      <c r="E80" s="70" t="s">
        <v>27</v>
      </c>
      <c r="F80" s="71"/>
      <c r="G80" s="72"/>
      <c r="H80" s="66"/>
      <c r="I80" s="67"/>
      <c r="J80" s="68">
        <v>1</v>
      </c>
      <c r="K80" s="49"/>
      <c r="L80" s="61" t="s">
        <v>21</v>
      </c>
      <c r="M80" s="61" t="s">
        <v>21</v>
      </c>
      <c r="N80" s="61"/>
    </row>
    <row r="81" spans="1:14" ht="21.75" customHeight="1" x14ac:dyDescent="0.4">
      <c r="A81" s="55"/>
      <c r="B81" s="56"/>
      <c r="C81" s="56"/>
      <c r="D81" s="73"/>
      <c r="E81" s="74" t="s">
        <v>28</v>
      </c>
      <c r="F81" s="75"/>
      <c r="G81" s="76"/>
      <c r="H81" s="66"/>
      <c r="I81" s="67"/>
      <c r="J81" s="68">
        <v>1</v>
      </c>
      <c r="K81" s="49"/>
      <c r="L81" s="61"/>
      <c r="M81" s="61"/>
      <c r="N81" s="61"/>
    </row>
    <row r="82" spans="1:14" ht="21.75" customHeight="1" x14ac:dyDescent="0.4">
      <c r="A82" s="55"/>
      <c r="B82" s="56"/>
      <c r="C82" s="56"/>
      <c r="D82" s="73"/>
      <c r="E82" s="74" t="s">
        <v>29</v>
      </c>
      <c r="F82" s="75"/>
      <c r="G82" s="76"/>
      <c r="H82" s="66"/>
      <c r="I82" s="67"/>
      <c r="J82" s="68">
        <v>0</v>
      </c>
      <c r="K82" s="49"/>
      <c r="L82" s="61"/>
      <c r="M82" s="61"/>
      <c r="N82" s="61"/>
    </row>
    <row r="83" spans="1:14" ht="21.75" customHeight="1" x14ac:dyDescent="0.4">
      <c r="A83" s="55"/>
      <c r="B83" s="56"/>
      <c r="C83" s="56"/>
      <c r="D83" s="73"/>
      <c r="E83" s="77"/>
      <c r="F83" s="74" t="s">
        <v>58</v>
      </c>
      <c r="G83" s="76"/>
      <c r="H83" s="60" t="s">
        <v>57</v>
      </c>
      <c r="I83" s="67">
        <f ca="1">IFERROR(__xludf.DUMMYFUNCTION("IMPORTRANGE(""https://docs.google.com/spreadsheets/d/1C3CXT74ZlgGe6_JY_1olB1XN4rF0dxEuIIF-xsYjHgg/edit?usp=sharing"",""พรบ!AG31"")"),4)</f>
        <v>4</v>
      </c>
      <c r="J83" s="68">
        <v>0</v>
      </c>
      <c r="K83" s="49">
        <f ca="1">IF(I83&gt;0,J83*100/I83,0)</f>
        <v>0</v>
      </c>
      <c r="L83" s="61"/>
      <c r="M83" s="61"/>
      <c r="N83" s="61"/>
    </row>
    <row r="84" spans="1:14" ht="21.75" customHeight="1" x14ac:dyDescent="0.4">
      <c r="A84" s="55"/>
      <c r="B84" s="56"/>
      <c r="C84" s="56"/>
      <c r="D84" s="73"/>
      <c r="E84" s="75"/>
      <c r="F84" s="75" t="s">
        <v>59</v>
      </c>
      <c r="G84" s="76"/>
      <c r="H84" s="66" t="s">
        <v>16</v>
      </c>
      <c r="I84" s="67"/>
      <c r="J84" s="67">
        <f>J85+J86</f>
        <v>0</v>
      </c>
      <c r="K84" s="49"/>
      <c r="L84" s="61"/>
      <c r="M84" s="61"/>
      <c r="N84" s="61"/>
    </row>
    <row r="85" spans="1:14" ht="21.75" customHeight="1" x14ac:dyDescent="0.4">
      <c r="A85" s="55"/>
      <c r="B85" s="56"/>
      <c r="C85" s="56"/>
      <c r="D85" s="73"/>
      <c r="E85" s="75"/>
      <c r="F85" s="75"/>
      <c r="G85" s="76" t="s">
        <v>60</v>
      </c>
      <c r="H85" s="66" t="s">
        <v>16</v>
      </c>
      <c r="I85" s="67"/>
      <c r="J85" s="68">
        <v>0</v>
      </c>
      <c r="K85" s="49"/>
      <c r="L85" s="61"/>
      <c r="M85" s="61"/>
      <c r="N85" s="61"/>
    </row>
    <row r="86" spans="1:14" ht="21.75" customHeight="1" x14ac:dyDescent="0.4">
      <c r="A86" s="55"/>
      <c r="B86" s="56"/>
      <c r="C86" s="56"/>
      <c r="D86" s="73"/>
      <c r="E86" s="75"/>
      <c r="F86" s="75"/>
      <c r="G86" s="76" t="s">
        <v>61</v>
      </c>
      <c r="H86" s="66" t="s">
        <v>16</v>
      </c>
      <c r="I86" s="67"/>
      <c r="J86" s="68">
        <v>0</v>
      </c>
      <c r="K86" s="49"/>
      <c r="L86" s="61"/>
      <c r="M86" s="61"/>
      <c r="N86" s="61"/>
    </row>
    <row r="87" spans="1:14" ht="21.75" customHeight="1" x14ac:dyDescent="0.4">
      <c r="A87" s="55"/>
      <c r="B87" s="56"/>
      <c r="C87" s="56"/>
      <c r="D87" s="73"/>
      <c r="E87" s="74" t="s">
        <v>35</v>
      </c>
      <c r="F87" s="75"/>
      <c r="G87" s="76"/>
      <c r="H87" s="66"/>
      <c r="I87" s="67"/>
      <c r="J87" s="68">
        <v>0</v>
      </c>
      <c r="K87" s="49"/>
      <c r="L87" s="61"/>
      <c r="M87" s="61"/>
      <c r="N87" s="61"/>
    </row>
    <row r="88" spans="1:14" ht="21.75" customHeight="1" x14ac:dyDescent="0.4">
      <c r="A88" s="55"/>
      <c r="B88" s="56"/>
      <c r="C88" s="56"/>
      <c r="D88" s="81">
        <v>3</v>
      </c>
      <c r="E88" s="82" t="s">
        <v>36</v>
      </c>
      <c r="F88" s="83"/>
      <c r="G88" s="84"/>
      <c r="H88" s="66"/>
      <c r="I88" s="67"/>
      <c r="J88" s="85">
        <v>0</v>
      </c>
      <c r="K88" s="49"/>
      <c r="L88" s="61"/>
      <c r="M88" s="61"/>
      <c r="N88" s="61"/>
    </row>
    <row r="89" spans="1:14" ht="21.75" customHeight="1" x14ac:dyDescent="0.4">
      <c r="A89" s="141"/>
      <c r="B89" s="142"/>
      <c r="C89" s="143" t="s">
        <v>62</v>
      </c>
      <c r="D89" s="143"/>
      <c r="E89" s="143"/>
      <c r="F89" s="143"/>
      <c r="G89" s="144"/>
      <c r="H89" s="149" t="s">
        <v>63</v>
      </c>
      <c r="I89" s="150">
        <f t="shared" ref="I89:J89" ca="1" si="21">I98</f>
        <v>2</v>
      </c>
      <c r="J89" s="150">
        <f t="shared" si="21"/>
        <v>0</v>
      </c>
      <c r="K89" s="151">
        <f ca="1">IF(I89&gt;0,J89*100/I89,0)</f>
        <v>0</v>
      </c>
      <c r="L89" s="148">
        <f ca="1">L90+L91</f>
        <v>28000</v>
      </c>
      <c r="M89" s="148">
        <f>SUM(M90:M91)</f>
        <v>0</v>
      </c>
      <c r="N89" s="148">
        <f t="shared" ref="N89:N92" ca="1" si="22">+IF(L89&gt;0,M89*100/L89,0)</f>
        <v>0</v>
      </c>
    </row>
    <row r="90" spans="1:14" ht="21.75" customHeight="1" x14ac:dyDescent="0.4">
      <c r="A90" s="42"/>
      <c r="B90" s="43"/>
      <c r="C90" s="43" t="s">
        <v>17</v>
      </c>
      <c r="D90" s="44" t="s">
        <v>18</v>
      </c>
      <c r="E90" s="45"/>
      <c r="F90" s="45"/>
      <c r="G90" s="46" t="s">
        <v>19</v>
      </c>
      <c r="H90" s="47" t="s">
        <v>20</v>
      </c>
      <c r="I90" s="48" t="s">
        <v>21</v>
      </c>
      <c r="J90" s="48"/>
      <c r="K90" s="49"/>
      <c r="L90" s="50">
        <v>0</v>
      </c>
      <c r="M90" s="50">
        <v>0</v>
      </c>
      <c r="N90" s="50">
        <f t="shared" si="22"/>
        <v>0</v>
      </c>
    </row>
    <row r="91" spans="1:14" ht="21.75" customHeight="1" x14ac:dyDescent="0.4">
      <c r="A91" s="42"/>
      <c r="B91" s="43"/>
      <c r="C91" s="43"/>
      <c r="D91" s="51"/>
      <c r="E91" s="45"/>
      <c r="F91" s="45" t="s">
        <v>21</v>
      </c>
      <c r="G91" s="46" t="s">
        <v>22</v>
      </c>
      <c r="H91" s="47" t="s">
        <v>20</v>
      </c>
      <c r="I91" s="48"/>
      <c r="J91" s="48"/>
      <c r="K91" s="49"/>
      <c r="L91" s="50">
        <f t="shared" ref="L91:M91" ca="1" si="23">L92</f>
        <v>28000</v>
      </c>
      <c r="M91" s="50">
        <f t="shared" si="23"/>
        <v>0</v>
      </c>
      <c r="N91" s="50">
        <f t="shared" ca="1" si="22"/>
        <v>0</v>
      </c>
    </row>
    <row r="92" spans="1:14" ht="21.75" customHeight="1" x14ac:dyDescent="0.4">
      <c r="A92" s="42"/>
      <c r="B92" s="43"/>
      <c r="C92" s="43"/>
      <c r="D92" s="51"/>
      <c r="E92" s="45"/>
      <c r="F92" s="45"/>
      <c r="G92" s="52" t="s">
        <v>24</v>
      </c>
      <c r="H92" s="47" t="s">
        <v>20</v>
      </c>
      <c r="I92" s="48"/>
      <c r="J92" s="48"/>
      <c r="K92" s="49"/>
      <c r="L92" s="53">
        <f ca="1">IFERROR(__xludf.DUMMYFUNCTION("IMPORTRANGE(""https://docs.google.com/spreadsheets/d/1C3CXT74ZlgGe6_JY_1olB1XN4rF0dxEuIIF-xsYjHgg/edit?usp=sharing"",""พรบ!AH31"")"),28000)</f>
        <v>28000</v>
      </c>
      <c r="M92" s="54">
        <v>0</v>
      </c>
      <c r="N92" s="53">
        <f t="shared" ca="1" si="22"/>
        <v>0</v>
      </c>
    </row>
    <row r="93" spans="1:14" ht="21.75" customHeight="1" x14ac:dyDescent="0.4">
      <c r="A93" s="55"/>
      <c r="B93" s="56"/>
      <c r="C93" s="43" t="s">
        <v>17</v>
      </c>
      <c r="D93" s="57" t="s">
        <v>25</v>
      </c>
      <c r="E93" s="58"/>
      <c r="F93" s="58"/>
      <c r="G93" s="59"/>
      <c r="H93" s="60"/>
      <c r="I93" s="48"/>
      <c r="J93" s="48"/>
      <c r="K93" s="49"/>
      <c r="L93" s="61"/>
      <c r="M93" s="61"/>
      <c r="N93" s="61"/>
    </row>
    <row r="94" spans="1:14" ht="21.75" customHeight="1" x14ac:dyDescent="0.4">
      <c r="A94" s="55"/>
      <c r="B94" s="56"/>
      <c r="C94" s="56"/>
      <c r="D94" s="62">
        <v>1</v>
      </c>
      <c r="E94" s="63" t="s">
        <v>26</v>
      </c>
      <c r="F94" s="64"/>
      <c r="G94" s="65"/>
      <c r="H94" s="66"/>
      <c r="I94" s="67"/>
      <c r="J94" s="68">
        <v>0</v>
      </c>
      <c r="K94" s="49"/>
      <c r="L94" s="61"/>
      <c r="M94" s="61"/>
      <c r="N94" s="61"/>
    </row>
    <row r="95" spans="1:14" ht="21.75" customHeight="1" x14ac:dyDescent="0.4">
      <c r="A95" s="55"/>
      <c r="B95" s="56"/>
      <c r="C95" s="56"/>
      <c r="D95" s="69">
        <v>2</v>
      </c>
      <c r="E95" s="70" t="s">
        <v>27</v>
      </c>
      <c r="F95" s="71"/>
      <c r="G95" s="72"/>
      <c r="H95" s="66"/>
      <c r="I95" s="67"/>
      <c r="J95" s="68">
        <v>1</v>
      </c>
      <c r="K95" s="49"/>
      <c r="L95" s="61" t="s">
        <v>21</v>
      </c>
      <c r="M95" s="61" t="s">
        <v>21</v>
      </c>
      <c r="N95" s="61"/>
    </row>
    <row r="96" spans="1:14" ht="21.75" customHeight="1" x14ac:dyDescent="0.4">
      <c r="A96" s="55"/>
      <c r="B96" s="56"/>
      <c r="C96" s="56"/>
      <c r="D96" s="73"/>
      <c r="E96" s="74" t="s">
        <v>28</v>
      </c>
      <c r="F96" s="75"/>
      <c r="G96" s="76"/>
      <c r="H96" s="66"/>
      <c r="I96" s="67"/>
      <c r="J96" s="68">
        <v>1</v>
      </c>
      <c r="K96" s="49"/>
      <c r="L96" s="61"/>
      <c r="M96" s="61"/>
      <c r="N96" s="61"/>
    </row>
    <row r="97" spans="1:14" ht="21.75" customHeight="1" x14ac:dyDescent="0.4">
      <c r="A97" s="55"/>
      <c r="B97" s="56"/>
      <c r="C97" s="56"/>
      <c r="D97" s="73"/>
      <c r="E97" s="74" t="s">
        <v>29</v>
      </c>
      <c r="F97" s="75"/>
      <c r="G97" s="76"/>
      <c r="H97" s="66"/>
      <c r="I97" s="67"/>
      <c r="J97" s="68">
        <v>0</v>
      </c>
      <c r="K97" s="49"/>
      <c r="L97" s="61"/>
      <c r="M97" s="61"/>
      <c r="N97" s="61"/>
    </row>
    <row r="98" spans="1:14" ht="21.75" customHeight="1" x14ac:dyDescent="0.4">
      <c r="A98" s="55"/>
      <c r="B98" s="56"/>
      <c r="C98" s="56"/>
      <c r="D98" s="73"/>
      <c r="E98" s="77"/>
      <c r="F98" s="74" t="s">
        <v>64</v>
      </c>
      <c r="G98" s="76"/>
      <c r="H98" s="60" t="s">
        <v>63</v>
      </c>
      <c r="I98" s="67">
        <f ca="1">IFERROR(__xludf.DUMMYFUNCTION("IMPORTRANGE(""https://docs.google.com/spreadsheets/d/1C3CXT74ZlgGe6_JY_1olB1XN4rF0dxEuIIF-xsYjHgg/edit?usp=sharing"",""พรบ!AI31"")"),2)</f>
        <v>2</v>
      </c>
      <c r="J98" s="68">
        <v>0</v>
      </c>
      <c r="K98" s="49">
        <f ca="1">IF(I98&gt;0,J98*100/I98,0)</f>
        <v>0</v>
      </c>
      <c r="L98" s="53">
        <f ca="1">IFERROR(__xludf.DUMMYFUNCTION("IMPORTRANGE(""https://docs.google.com/spreadsheets/d/1C3CXT74ZlgGe6_JY_1olB1XN4rF0dxEuIIF-xsYjHgg/edit?usp=sharing"",""กปร!C31"")"),24000)</f>
        <v>24000</v>
      </c>
      <c r="M98" s="359">
        <v>0</v>
      </c>
      <c r="N98" s="53">
        <f ca="1">+IF(L98&gt;0,M98*100/L98,0)</f>
        <v>0</v>
      </c>
    </row>
    <row r="99" spans="1:14" ht="21.75" customHeight="1" x14ac:dyDescent="0.4">
      <c r="A99" s="55"/>
      <c r="B99" s="56"/>
      <c r="C99" s="56"/>
      <c r="D99" s="73"/>
      <c r="E99" s="74" t="s">
        <v>35</v>
      </c>
      <c r="F99" s="75"/>
      <c r="G99" s="76"/>
      <c r="H99" s="66"/>
      <c r="I99" s="67"/>
      <c r="J99" s="68">
        <v>0</v>
      </c>
      <c r="K99" s="49"/>
      <c r="L99" s="61"/>
      <c r="M99" s="61"/>
      <c r="N99" s="61"/>
    </row>
    <row r="100" spans="1:14" ht="21.75" customHeight="1" x14ac:dyDescent="0.4">
      <c r="A100" s="55"/>
      <c r="B100" s="56"/>
      <c r="C100" s="56"/>
      <c r="D100" s="81">
        <v>3</v>
      </c>
      <c r="E100" s="82" t="s">
        <v>36</v>
      </c>
      <c r="F100" s="83"/>
      <c r="G100" s="84"/>
      <c r="H100" s="66"/>
      <c r="I100" s="67"/>
      <c r="J100" s="85">
        <v>0</v>
      </c>
      <c r="K100" s="49"/>
      <c r="L100" s="61"/>
      <c r="M100" s="61"/>
      <c r="N100" s="61"/>
    </row>
    <row r="101" spans="1:14" ht="21.75" customHeight="1" x14ac:dyDescent="0.4">
      <c r="A101" s="141"/>
      <c r="B101" s="142"/>
      <c r="C101" s="143" t="s">
        <v>65</v>
      </c>
      <c r="D101" s="143"/>
      <c r="E101" s="143"/>
      <c r="F101" s="143"/>
      <c r="G101" s="144"/>
      <c r="H101" s="149" t="s">
        <v>63</v>
      </c>
      <c r="I101" s="150">
        <f t="shared" ref="I101:J101" ca="1" si="24">I111</f>
        <v>0</v>
      </c>
      <c r="J101" s="150">
        <f t="shared" si="24"/>
        <v>0</v>
      </c>
      <c r="K101" s="151">
        <f ca="1">IF(I101&gt;0,J101*100/I101,0)</f>
        <v>0</v>
      </c>
      <c r="L101" s="148">
        <f ca="1">L102+L103</f>
        <v>0</v>
      </c>
      <c r="M101" s="148">
        <f>SUM(M102:M103)</f>
        <v>0</v>
      </c>
      <c r="N101" s="148">
        <f t="shared" ref="N101:N104" ca="1" si="25">+IF(L101&gt;0,M101*100/L101,0)</f>
        <v>0</v>
      </c>
    </row>
    <row r="102" spans="1:14" ht="21.75" customHeight="1" x14ac:dyDescent="0.4">
      <c r="A102" s="42"/>
      <c r="B102" s="43"/>
      <c r="C102" s="43" t="s">
        <v>17</v>
      </c>
      <c r="D102" s="44" t="s">
        <v>18</v>
      </c>
      <c r="E102" s="45"/>
      <c r="F102" s="45"/>
      <c r="G102" s="46" t="s">
        <v>19</v>
      </c>
      <c r="H102" s="47" t="s">
        <v>20</v>
      </c>
      <c r="I102" s="48" t="s">
        <v>21</v>
      </c>
      <c r="J102" s="48"/>
      <c r="K102" s="49"/>
      <c r="L102" s="50">
        <v>0</v>
      </c>
      <c r="M102" s="50">
        <v>0</v>
      </c>
      <c r="N102" s="50">
        <f t="shared" si="25"/>
        <v>0</v>
      </c>
    </row>
    <row r="103" spans="1:14" ht="21.75" customHeight="1" x14ac:dyDescent="0.4">
      <c r="A103" s="42"/>
      <c r="B103" s="43"/>
      <c r="C103" s="43"/>
      <c r="D103" s="51"/>
      <c r="E103" s="45"/>
      <c r="F103" s="45" t="s">
        <v>21</v>
      </c>
      <c r="G103" s="46" t="s">
        <v>22</v>
      </c>
      <c r="H103" s="47" t="s">
        <v>20</v>
      </c>
      <c r="I103" s="48"/>
      <c r="J103" s="67"/>
      <c r="K103" s="233"/>
      <c r="L103" s="50">
        <f ca="1">SUM(L104)</f>
        <v>0</v>
      </c>
      <c r="M103" s="50">
        <f>M104</f>
        <v>0</v>
      </c>
      <c r="N103" s="50">
        <f t="shared" ca="1" si="25"/>
        <v>0</v>
      </c>
    </row>
    <row r="104" spans="1:14" ht="21.75" customHeight="1" x14ac:dyDescent="0.4">
      <c r="A104" s="42"/>
      <c r="B104" s="43"/>
      <c r="C104" s="43"/>
      <c r="D104" s="51"/>
      <c r="E104" s="45"/>
      <c r="F104" s="45"/>
      <c r="G104" s="52" t="s">
        <v>24</v>
      </c>
      <c r="H104" s="47" t="s">
        <v>20</v>
      </c>
      <c r="I104" s="48"/>
      <c r="J104" s="67"/>
      <c r="K104" s="233"/>
      <c r="L104" s="53">
        <f ca="1">IFERROR(__xludf.DUMMYFUNCTION("IMPORTRANGE(""https://docs.google.com/spreadsheets/d/1C3CXT74ZlgGe6_JY_1olB1XN4rF0dxEuIIF-xsYjHgg/edit?usp=sharing"",""พรบ!AJ31"")"),0)</f>
        <v>0</v>
      </c>
      <c r="M104" s="53">
        <v>0</v>
      </c>
      <c r="N104" s="53">
        <f t="shared" ca="1" si="25"/>
        <v>0</v>
      </c>
    </row>
    <row r="105" spans="1:14" ht="21.75" customHeight="1" x14ac:dyDescent="0.4">
      <c r="A105" s="55"/>
      <c r="B105" s="56"/>
      <c r="C105" s="43" t="s">
        <v>17</v>
      </c>
      <c r="D105" s="57" t="s">
        <v>25</v>
      </c>
      <c r="E105" s="58"/>
      <c r="F105" s="58"/>
      <c r="G105" s="59"/>
      <c r="H105" s="60"/>
      <c r="I105" s="48"/>
      <c r="J105" s="67"/>
      <c r="K105" s="233"/>
      <c r="L105" s="53"/>
      <c r="M105" s="53"/>
      <c r="N105" s="61"/>
    </row>
    <row r="106" spans="1:14" ht="21.75" customHeight="1" x14ac:dyDescent="0.4">
      <c r="A106" s="55"/>
      <c r="B106" s="56"/>
      <c r="C106" s="56"/>
      <c r="D106" s="62">
        <v>1</v>
      </c>
      <c r="E106" s="63" t="s">
        <v>26</v>
      </c>
      <c r="F106" s="64"/>
      <c r="G106" s="65"/>
      <c r="H106" s="66"/>
      <c r="I106" s="67"/>
      <c r="J106" s="67">
        <v>0</v>
      </c>
      <c r="K106" s="233"/>
      <c r="L106" s="53"/>
      <c r="M106" s="53"/>
      <c r="N106" s="61"/>
    </row>
    <row r="107" spans="1:14" ht="21.75" customHeight="1" x14ac:dyDescent="0.4">
      <c r="A107" s="55"/>
      <c r="B107" s="56"/>
      <c r="C107" s="56"/>
      <c r="D107" s="69">
        <v>2</v>
      </c>
      <c r="E107" s="70" t="s">
        <v>27</v>
      </c>
      <c r="F107" s="71"/>
      <c r="G107" s="72"/>
      <c r="H107" s="66"/>
      <c r="I107" s="67"/>
      <c r="J107" s="67">
        <v>0</v>
      </c>
      <c r="K107" s="233"/>
      <c r="L107" s="53" t="s">
        <v>21</v>
      </c>
      <c r="M107" s="53" t="s">
        <v>21</v>
      </c>
      <c r="N107" s="61"/>
    </row>
    <row r="108" spans="1:14" ht="21.75" customHeight="1" x14ac:dyDescent="0.4">
      <c r="A108" s="55"/>
      <c r="B108" s="56"/>
      <c r="C108" s="56"/>
      <c r="D108" s="73"/>
      <c r="E108" s="74" t="s">
        <v>28</v>
      </c>
      <c r="F108" s="75"/>
      <c r="G108" s="76"/>
      <c r="H108" s="66"/>
      <c r="I108" s="67"/>
      <c r="J108" s="67">
        <v>0</v>
      </c>
      <c r="K108" s="233"/>
      <c r="L108" s="53"/>
      <c r="M108" s="53"/>
      <c r="N108" s="61"/>
    </row>
    <row r="109" spans="1:14" ht="21.75" customHeight="1" x14ac:dyDescent="0.4">
      <c r="A109" s="55"/>
      <c r="B109" s="56"/>
      <c r="C109" s="56"/>
      <c r="D109" s="73"/>
      <c r="E109" s="74" t="s">
        <v>29</v>
      </c>
      <c r="F109" s="75"/>
      <c r="G109" s="76"/>
      <c r="H109" s="66"/>
      <c r="I109" s="67"/>
      <c r="J109" s="67">
        <v>0</v>
      </c>
      <c r="K109" s="233"/>
      <c r="L109" s="53"/>
      <c r="M109" s="53"/>
      <c r="N109" s="61"/>
    </row>
    <row r="110" spans="1:14" ht="21.75" customHeight="1" x14ac:dyDescent="0.4">
      <c r="A110" s="55"/>
      <c r="B110" s="56"/>
      <c r="C110" s="56"/>
      <c r="D110" s="73"/>
      <c r="E110" s="77"/>
      <c r="F110" s="74" t="s">
        <v>66</v>
      </c>
      <c r="G110" s="76"/>
      <c r="H110" s="60" t="s">
        <v>63</v>
      </c>
      <c r="I110" s="67">
        <f ca="1">IFERROR(__xludf.DUMMYFUNCTION("IMPORTRANGE(""https://docs.google.com/spreadsheets/d/1C3CXT74ZlgGe6_JY_1olB1XN4rF0dxEuIIF-xsYjHgg/edit?usp=sharing"",""พรบ!AK31"")"),0)</f>
        <v>0</v>
      </c>
      <c r="J110" s="67">
        <v>0</v>
      </c>
      <c r="K110" s="233">
        <f t="shared" ref="K110:K111" ca="1" si="26">IF(I110&gt;0,J110*100/I110,0)</f>
        <v>0</v>
      </c>
      <c r="L110" s="53">
        <f ca="1">IFERROR(__xludf.DUMMYFUNCTION("IMPORTRANGE(""https://docs.google.com/spreadsheets/d/1C3CXT74ZlgGe6_JY_1olB1XN4rF0dxEuIIF-xsYjHgg/edit?usp=sharing"",""กปร!D31"")"),0)</f>
        <v>0</v>
      </c>
      <c r="M110" s="53">
        <v>0</v>
      </c>
      <c r="N110" s="53">
        <f t="shared" ref="N110:N111" ca="1" si="27">+IF(L110&gt;0,M110*100/L110,0)</f>
        <v>0</v>
      </c>
    </row>
    <row r="111" spans="1:14" ht="21.75" customHeight="1" x14ac:dyDescent="0.4">
      <c r="A111" s="55"/>
      <c r="B111" s="56"/>
      <c r="C111" s="56"/>
      <c r="D111" s="73"/>
      <c r="E111" s="77"/>
      <c r="F111" s="74" t="s">
        <v>67</v>
      </c>
      <c r="G111" s="76"/>
      <c r="H111" s="60" t="s">
        <v>63</v>
      </c>
      <c r="I111" s="67">
        <f ca="1">IFERROR(__xludf.DUMMYFUNCTION("IMPORTRANGE(""https://docs.google.com/spreadsheets/d/1C3CXT74ZlgGe6_JY_1olB1XN4rF0dxEuIIF-xsYjHgg/edit?usp=sharing"",""พรบ!AL31"")"),0)</f>
        <v>0</v>
      </c>
      <c r="J111" s="67">
        <v>0</v>
      </c>
      <c r="K111" s="233">
        <f t="shared" ca="1" si="26"/>
        <v>0</v>
      </c>
      <c r="L111" s="53">
        <f ca="1">IFERROR(__xludf.DUMMYFUNCTION("IMPORTRANGE(""https://docs.google.com/spreadsheets/d/1C3CXT74ZlgGe6_JY_1olB1XN4rF0dxEuIIF-xsYjHgg/edit?usp=sharing"",""กปร!E31"")"),0)</f>
        <v>0</v>
      </c>
      <c r="M111" s="53">
        <v>0</v>
      </c>
      <c r="N111" s="53">
        <f t="shared" ca="1" si="27"/>
        <v>0</v>
      </c>
    </row>
    <row r="112" spans="1:14" ht="21.75" customHeight="1" x14ac:dyDescent="0.4">
      <c r="A112" s="55"/>
      <c r="B112" s="56"/>
      <c r="C112" s="56"/>
      <c r="D112" s="73"/>
      <c r="E112" s="74" t="s">
        <v>35</v>
      </c>
      <c r="F112" s="75"/>
      <c r="G112" s="76"/>
      <c r="H112" s="66"/>
      <c r="I112" s="67"/>
      <c r="J112" s="67">
        <v>0</v>
      </c>
      <c r="K112" s="233"/>
      <c r="L112" s="53"/>
      <c r="M112" s="53"/>
      <c r="N112" s="61"/>
    </row>
    <row r="113" spans="1:14" ht="21.75" customHeight="1" x14ac:dyDescent="0.4">
      <c r="A113" s="55"/>
      <c r="B113" s="56"/>
      <c r="C113" s="56"/>
      <c r="D113" s="81">
        <v>3</v>
      </c>
      <c r="E113" s="82" t="s">
        <v>36</v>
      </c>
      <c r="F113" s="83"/>
      <c r="G113" s="84"/>
      <c r="H113" s="66"/>
      <c r="I113" s="67"/>
      <c r="J113" s="360">
        <v>0</v>
      </c>
      <c r="K113" s="233"/>
      <c r="L113" s="53"/>
      <c r="M113" s="53"/>
      <c r="N113" s="61"/>
    </row>
    <row r="114" spans="1:14" ht="21.75" customHeight="1" x14ac:dyDescent="0.4">
      <c r="A114" s="141"/>
      <c r="B114" s="142"/>
      <c r="C114" s="143" t="s">
        <v>68</v>
      </c>
      <c r="D114" s="143"/>
      <c r="E114" s="143"/>
      <c r="F114" s="143"/>
      <c r="G114" s="144"/>
      <c r="H114" s="152" t="s">
        <v>69</v>
      </c>
      <c r="I114" s="150">
        <f t="shared" ref="I114:J114" ca="1" si="28">I125</f>
        <v>100000</v>
      </c>
      <c r="J114" s="150">
        <f t="shared" si="28"/>
        <v>0</v>
      </c>
      <c r="K114" s="151">
        <f ca="1">IF(I114&gt;0,J114*100/I114,0)</f>
        <v>0</v>
      </c>
      <c r="L114" s="148">
        <f ca="1">L115+L116</f>
        <v>34000</v>
      </c>
      <c r="M114" s="148">
        <f>SUM(M115:M116)</f>
        <v>0</v>
      </c>
      <c r="N114" s="148">
        <f t="shared" ref="N114:N117" ca="1" si="29">+IF(L114&gt;0,M114*100/L114,0)</f>
        <v>0</v>
      </c>
    </row>
    <row r="115" spans="1:14" ht="21.75" customHeight="1" x14ac:dyDescent="0.4">
      <c r="A115" s="42"/>
      <c r="B115" s="43"/>
      <c r="C115" s="43" t="s">
        <v>17</v>
      </c>
      <c r="D115" s="44" t="s">
        <v>18</v>
      </c>
      <c r="E115" s="45"/>
      <c r="F115" s="45"/>
      <c r="G115" s="46" t="s">
        <v>19</v>
      </c>
      <c r="H115" s="47" t="s">
        <v>20</v>
      </c>
      <c r="I115" s="48" t="s">
        <v>21</v>
      </c>
      <c r="J115" s="48"/>
      <c r="K115" s="49"/>
      <c r="L115" s="50">
        <v>0</v>
      </c>
      <c r="M115" s="50">
        <v>0</v>
      </c>
      <c r="N115" s="50">
        <f t="shared" si="29"/>
        <v>0</v>
      </c>
    </row>
    <row r="116" spans="1:14" ht="21.75" customHeight="1" x14ac:dyDescent="0.4">
      <c r="A116" s="42"/>
      <c r="B116" s="43"/>
      <c r="C116" s="43"/>
      <c r="D116" s="51"/>
      <c r="E116" s="45"/>
      <c r="F116" s="45" t="s">
        <v>21</v>
      </c>
      <c r="G116" s="46" t="s">
        <v>22</v>
      </c>
      <c r="H116" s="47" t="s">
        <v>20</v>
      </c>
      <c r="I116" s="48"/>
      <c r="J116" s="48"/>
      <c r="K116" s="49"/>
      <c r="L116" s="50">
        <f ca="1">SUM(L117)</f>
        <v>34000</v>
      </c>
      <c r="M116" s="50">
        <f>M117</f>
        <v>0</v>
      </c>
      <c r="N116" s="50">
        <f t="shared" ca="1" si="29"/>
        <v>0</v>
      </c>
    </row>
    <row r="117" spans="1:14" ht="21.75" customHeight="1" x14ac:dyDescent="0.4">
      <c r="A117" s="42"/>
      <c r="B117" s="43"/>
      <c r="C117" s="43"/>
      <c r="D117" s="51"/>
      <c r="E117" s="45"/>
      <c r="F117" s="45"/>
      <c r="G117" s="52" t="s">
        <v>24</v>
      </c>
      <c r="H117" s="47" t="s">
        <v>20</v>
      </c>
      <c r="I117" s="48"/>
      <c r="J117" s="48"/>
      <c r="K117" s="49"/>
      <c r="L117" s="53">
        <f ca="1">IFERROR(__xludf.DUMMYFUNCTION("IMPORTRANGE(""https://docs.google.com/spreadsheets/d/1C3CXT74ZlgGe6_JY_1olB1XN4rF0dxEuIIF-xsYjHgg/edit?usp=sharing"",""พรบ!AM31"")"),34000)</f>
        <v>34000</v>
      </c>
      <c r="M117" s="54">
        <v>0</v>
      </c>
      <c r="N117" s="53">
        <f t="shared" ca="1" si="29"/>
        <v>0</v>
      </c>
    </row>
    <row r="118" spans="1:14" ht="21.75" customHeight="1" x14ac:dyDescent="0.4">
      <c r="A118" s="55"/>
      <c r="B118" s="56"/>
      <c r="C118" s="43" t="s">
        <v>17</v>
      </c>
      <c r="D118" s="57" t="s">
        <v>25</v>
      </c>
      <c r="E118" s="58"/>
      <c r="F118" s="58"/>
      <c r="G118" s="59"/>
      <c r="H118" s="60"/>
      <c r="I118" s="48"/>
      <c r="J118" s="48"/>
      <c r="K118" s="49"/>
      <c r="L118" s="61"/>
      <c r="M118" s="61"/>
      <c r="N118" s="61"/>
    </row>
    <row r="119" spans="1:14" ht="21.75" customHeight="1" x14ac:dyDescent="0.4">
      <c r="A119" s="55"/>
      <c r="B119" s="56"/>
      <c r="C119" s="56"/>
      <c r="D119" s="62">
        <v>1</v>
      </c>
      <c r="E119" s="63" t="s">
        <v>26</v>
      </c>
      <c r="F119" s="64"/>
      <c r="G119" s="65"/>
      <c r="H119" s="66"/>
      <c r="I119" s="67"/>
      <c r="J119" s="68">
        <v>0</v>
      </c>
      <c r="K119" s="49"/>
      <c r="L119" s="61"/>
      <c r="M119" s="61"/>
      <c r="N119" s="61"/>
    </row>
    <row r="120" spans="1:14" ht="21.75" customHeight="1" x14ac:dyDescent="0.4">
      <c r="A120" s="55"/>
      <c r="B120" s="56"/>
      <c r="C120" s="56"/>
      <c r="D120" s="69">
        <v>2</v>
      </c>
      <c r="E120" s="70" t="s">
        <v>27</v>
      </c>
      <c r="F120" s="71"/>
      <c r="G120" s="72"/>
      <c r="H120" s="66"/>
      <c r="I120" s="67"/>
      <c r="J120" s="68">
        <v>1</v>
      </c>
      <c r="K120" s="49"/>
      <c r="L120" s="61" t="s">
        <v>21</v>
      </c>
      <c r="M120" s="61" t="s">
        <v>21</v>
      </c>
      <c r="N120" s="61"/>
    </row>
    <row r="121" spans="1:14" ht="21.75" customHeight="1" x14ac:dyDescent="0.4">
      <c r="A121" s="55"/>
      <c r="B121" s="56"/>
      <c r="C121" s="56"/>
      <c r="D121" s="73"/>
      <c r="E121" s="74" t="s">
        <v>28</v>
      </c>
      <c r="F121" s="75"/>
      <c r="G121" s="76"/>
      <c r="H121" s="66"/>
      <c r="I121" s="67"/>
      <c r="J121" s="68">
        <v>1</v>
      </c>
      <c r="K121" s="49"/>
      <c r="L121" s="61"/>
      <c r="M121" s="61"/>
      <c r="N121" s="61"/>
    </row>
    <row r="122" spans="1:14" ht="21.75" customHeight="1" x14ac:dyDescent="0.4">
      <c r="A122" s="55"/>
      <c r="B122" s="56"/>
      <c r="C122" s="56"/>
      <c r="D122" s="73"/>
      <c r="E122" s="74" t="s">
        <v>29</v>
      </c>
      <c r="F122" s="75"/>
      <c r="G122" s="76"/>
      <c r="H122" s="66"/>
      <c r="I122" s="67"/>
      <c r="J122" s="68">
        <v>1</v>
      </c>
      <c r="K122" s="49"/>
      <c r="L122" s="61"/>
      <c r="M122" s="61"/>
      <c r="N122" s="61"/>
    </row>
    <row r="123" spans="1:14" ht="21.75" customHeight="1" x14ac:dyDescent="0.4">
      <c r="A123" s="55"/>
      <c r="B123" s="56"/>
      <c r="C123" s="56"/>
      <c r="D123" s="73"/>
      <c r="E123" s="75"/>
      <c r="F123" s="75" t="s">
        <v>70</v>
      </c>
      <c r="G123" s="76"/>
      <c r="H123" s="60"/>
      <c r="I123" s="67"/>
      <c r="J123" s="67"/>
      <c r="K123" s="49"/>
      <c r="L123" s="61"/>
      <c r="M123" s="61"/>
      <c r="N123" s="61"/>
    </row>
    <row r="124" spans="1:14" ht="21.75" customHeight="1" x14ac:dyDescent="0.4">
      <c r="A124" s="55"/>
      <c r="B124" s="56"/>
      <c r="C124" s="56"/>
      <c r="D124" s="73"/>
      <c r="E124" s="77"/>
      <c r="F124" s="75"/>
      <c r="G124" s="74" t="s">
        <v>71</v>
      </c>
      <c r="H124" s="60" t="s">
        <v>69</v>
      </c>
      <c r="I124" s="67">
        <f ca="1">IFERROR(__xludf.DUMMYFUNCTION("IMPORTRANGE(""https://docs.google.com/spreadsheets/d/1C3CXT74ZlgGe6_JY_1olB1XN4rF0dxEuIIF-xsYjHgg/edit?usp=sharing"",""พรบ!AO31"")"),100000)</f>
        <v>100000</v>
      </c>
      <c r="J124" s="68">
        <v>0</v>
      </c>
      <c r="K124" s="49">
        <f t="shared" ref="K124:K126" ca="1" si="30">IF(I124&gt;0,J124*100/I124,0)</f>
        <v>0</v>
      </c>
      <c r="L124" s="61"/>
      <c r="M124" s="61"/>
      <c r="N124" s="61"/>
    </row>
    <row r="125" spans="1:14" ht="21.75" customHeight="1" x14ac:dyDescent="0.4">
      <c r="A125" s="55"/>
      <c r="B125" s="56"/>
      <c r="C125" s="56"/>
      <c r="D125" s="73"/>
      <c r="E125" s="77"/>
      <c r="F125" s="75"/>
      <c r="G125" s="74" t="s">
        <v>72</v>
      </c>
      <c r="H125" s="60" t="s">
        <v>69</v>
      </c>
      <c r="I125" s="67">
        <f ca="1">IFERROR(__xludf.DUMMYFUNCTION("IMPORTRANGE(""https://docs.google.com/spreadsheets/d/1C3CXT74ZlgGe6_JY_1olB1XN4rF0dxEuIIF-xsYjHgg/edit?usp=sharing"",""พรบ!AP31"")"),100000)</f>
        <v>100000</v>
      </c>
      <c r="J125" s="68">
        <v>0</v>
      </c>
      <c r="K125" s="49">
        <f t="shared" ca="1" si="30"/>
        <v>0</v>
      </c>
      <c r="L125" s="53">
        <f ca="1">IFERROR(__xludf.DUMMYFUNCTION("IMPORTRANGE(""https://docs.google.com/spreadsheets/d/1C3CXT74ZlgGe6_JY_1olB1XN4rF0dxEuIIF-xsYjHgg/edit?usp=sharing"",""กปร!F31"")"),25000)</f>
        <v>25000</v>
      </c>
      <c r="M125" s="359">
        <v>0</v>
      </c>
      <c r="N125" s="53">
        <f t="shared" ref="N125:N126" ca="1" si="31">+IF(L125&gt;0,M125*100/L125,0)</f>
        <v>0</v>
      </c>
    </row>
    <row r="126" spans="1:14" ht="21.75" customHeight="1" x14ac:dyDescent="0.4">
      <c r="A126" s="55"/>
      <c r="B126" s="56"/>
      <c r="C126" s="56"/>
      <c r="D126" s="73"/>
      <c r="E126" s="77"/>
      <c r="F126" s="75" t="s">
        <v>73</v>
      </c>
      <c r="G126" s="76"/>
      <c r="H126" s="60" t="s">
        <v>16</v>
      </c>
      <c r="I126" s="67">
        <f ca="1">IFERROR(__xludf.DUMMYFUNCTION("IMPORTRANGE(""https://docs.google.com/spreadsheets/d/1C3CXT74ZlgGe6_JY_1olB1XN4rF0dxEuIIF-xsYjHgg/edit?usp=sharing"",""พรบ!AQ31"")"),0)</f>
        <v>0</v>
      </c>
      <c r="J126" s="67">
        <v>0</v>
      </c>
      <c r="K126" s="49">
        <f t="shared" ca="1" si="30"/>
        <v>0</v>
      </c>
      <c r="L126" s="53">
        <f ca="1">IFERROR(__xludf.DUMMYFUNCTION("IMPORTRANGE(""https://docs.google.com/spreadsheets/d/1C3CXT74ZlgGe6_JY_1olB1XN4rF0dxEuIIF-xsYjHgg/edit?usp=sharing"",""กปร!G31"")"),0)</f>
        <v>0</v>
      </c>
      <c r="M126" s="53">
        <v>0</v>
      </c>
      <c r="N126" s="53">
        <f t="shared" ca="1" si="31"/>
        <v>0</v>
      </c>
    </row>
    <row r="127" spans="1:14" ht="21.75" customHeight="1" x14ac:dyDescent="0.4">
      <c r="A127" s="55"/>
      <c r="B127" s="56"/>
      <c r="C127" s="56"/>
      <c r="D127" s="73"/>
      <c r="E127" s="74" t="s">
        <v>35</v>
      </c>
      <c r="F127" s="75"/>
      <c r="G127" s="76"/>
      <c r="H127" s="66"/>
      <c r="I127" s="67"/>
      <c r="J127" s="68">
        <v>0</v>
      </c>
      <c r="K127" s="49"/>
      <c r="L127" s="61"/>
      <c r="M127" s="61"/>
      <c r="N127" s="61"/>
    </row>
    <row r="128" spans="1:14" ht="21.75" customHeight="1" x14ac:dyDescent="0.4">
      <c r="A128" s="105"/>
      <c r="B128" s="106"/>
      <c r="C128" s="106"/>
      <c r="D128" s="107">
        <v>3</v>
      </c>
      <c r="E128" s="108" t="s">
        <v>36</v>
      </c>
      <c r="F128" s="109"/>
      <c r="G128" s="110"/>
      <c r="H128" s="111"/>
      <c r="I128" s="112"/>
      <c r="J128" s="113">
        <v>0</v>
      </c>
      <c r="K128" s="114"/>
      <c r="L128" s="115"/>
      <c r="M128" s="115"/>
      <c r="N128" s="115"/>
    </row>
    <row r="129" spans="1:14" ht="21.75" customHeight="1" x14ac:dyDescent="0.4">
      <c r="A129" s="141"/>
      <c r="B129" s="142"/>
      <c r="C129" s="153" t="s">
        <v>74</v>
      </c>
      <c r="D129" s="143"/>
      <c r="E129" s="143"/>
      <c r="F129" s="143"/>
      <c r="G129" s="144"/>
      <c r="H129" s="152" t="s">
        <v>16</v>
      </c>
      <c r="I129" s="150">
        <f t="shared" ref="I129:J129" ca="1" si="32">I138</f>
        <v>0</v>
      </c>
      <c r="J129" s="150">
        <f t="shared" si="32"/>
        <v>0</v>
      </c>
      <c r="K129" s="151">
        <f ca="1">IF(I129&gt;0,J129*100/I129,0)</f>
        <v>0</v>
      </c>
      <c r="L129" s="148">
        <f ca="1">L130+L131</f>
        <v>0</v>
      </c>
      <c r="M129" s="148">
        <f>SUM(M130:M131)</f>
        <v>0</v>
      </c>
      <c r="N129" s="148">
        <f t="shared" ref="N129:N132" ca="1" si="33">+IF(L129&gt;0,M129*100/L129,0)</f>
        <v>0</v>
      </c>
    </row>
    <row r="130" spans="1:14" ht="21.75" customHeight="1" x14ac:dyDescent="0.4">
      <c r="A130" s="42"/>
      <c r="B130" s="43"/>
      <c r="C130" s="43" t="s">
        <v>17</v>
      </c>
      <c r="D130" s="44" t="s">
        <v>18</v>
      </c>
      <c r="E130" s="45"/>
      <c r="F130" s="45"/>
      <c r="G130" s="46" t="s">
        <v>19</v>
      </c>
      <c r="H130" s="47" t="s">
        <v>20</v>
      </c>
      <c r="I130" s="48" t="s">
        <v>21</v>
      </c>
      <c r="J130" s="48"/>
      <c r="K130" s="49"/>
      <c r="L130" s="50">
        <v>0</v>
      </c>
      <c r="M130" s="50">
        <v>0</v>
      </c>
      <c r="N130" s="50">
        <f t="shared" si="33"/>
        <v>0</v>
      </c>
    </row>
    <row r="131" spans="1:14" ht="21.75" customHeight="1" x14ac:dyDescent="0.4">
      <c r="A131" s="42"/>
      <c r="B131" s="43"/>
      <c r="C131" s="43"/>
      <c r="D131" s="51"/>
      <c r="E131" s="45"/>
      <c r="F131" s="45" t="s">
        <v>21</v>
      </c>
      <c r="G131" s="46" t="s">
        <v>22</v>
      </c>
      <c r="H131" s="47" t="s">
        <v>20</v>
      </c>
      <c r="I131" s="48"/>
      <c r="J131" s="48"/>
      <c r="K131" s="49"/>
      <c r="L131" s="50">
        <f ca="1">SUM(L132)</f>
        <v>0</v>
      </c>
      <c r="M131" s="50">
        <f>M132</f>
        <v>0</v>
      </c>
      <c r="N131" s="50">
        <f t="shared" ca="1" si="33"/>
        <v>0</v>
      </c>
    </row>
    <row r="132" spans="1:14" ht="21.75" customHeight="1" x14ac:dyDescent="0.4">
      <c r="A132" s="42"/>
      <c r="B132" s="43"/>
      <c r="C132" s="43"/>
      <c r="D132" s="51"/>
      <c r="E132" s="45"/>
      <c r="F132" s="45"/>
      <c r="G132" s="52" t="s">
        <v>24</v>
      </c>
      <c r="H132" s="47" t="s">
        <v>20</v>
      </c>
      <c r="I132" s="48"/>
      <c r="J132" s="67"/>
      <c r="K132" s="233"/>
      <c r="L132" s="53">
        <f ca="1">IFERROR(__xludf.DUMMYFUNCTION("IMPORTRANGE(""https://docs.google.com/spreadsheets/d/1C3CXT74ZlgGe6_JY_1olB1XN4rF0dxEuIIF-xsYjHgg/edit?usp=sharing"",""พรบ!AR31"")"),0)</f>
        <v>0</v>
      </c>
      <c r="M132" s="53">
        <v>0</v>
      </c>
      <c r="N132" s="53">
        <f t="shared" ca="1" si="33"/>
        <v>0</v>
      </c>
    </row>
    <row r="133" spans="1:14" ht="21.75" customHeight="1" x14ac:dyDescent="0.4">
      <c r="A133" s="55"/>
      <c r="B133" s="56"/>
      <c r="C133" s="43" t="s">
        <v>17</v>
      </c>
      <c r="D133" s="57" t="s">
        <v>25</v>
      </c>
      <c r="E133" s="58"/>
      <c r="F133" s="58"/>
      <c r="G133" s="59"/>
      <c r="H133" s="60"/>
      <c r="I133" s="48"/>
      <c r="J133" s="67"/>
      <c r="K133" s="233"/>
      <c r="L133" s="53"/>
      <c r="M133" s="53"/>
      <c r="N133" s="61"/>
    </row>
    <row r="134" spans="1:14" ht="21.75" customHeight="1" x14ac:dyDescent="0.4">
      <c r="A134" s="55"/>
      <c r="B134" s="56"/>
      <c r="C134" s="56"/>
      <c r="D134" s="62">
        <v>1</v>
      </c>
      <c r="E134" s="63" t="s">
        <v>26</v>
      </c>
      <c r="F134" s="64"/>
      <c r="G134" s="65"/>
      <c r="H134" s="66"/>
      <c r="I134" s="67"/>
      <c r="J134" s="67">
        <v>0</v>
      </c>
      <c r="K134" s="233"/>
      <c r="L134" s="53"/>
      <c r="M134" s="53"/>
      <c r="N134" s="61"/>
    </row>
    <row r="135" spans="1:14" ht="21.75" customHeight="1" x14ac:dyDescent="0.4">
      <c r="A135" s="55"/>
      <c r="B135" s="56"/>
      <c r="C135" s="56"/>
      <c r="D135" s="69">
        <v>2</v>
      </c>
      <c r="E135" s="70" t="s">
        <v>27</v>
      </c>
      <c r="F135" s="71"/>
      <c r="G135" s="72"/>
      <c r="H135" s="66"/>
      <c r="I135" s="67"/>
      <c r="J135" s="67">
        <v>0</v>
      </c>
      <c r="K135" s="233"/>
      <c r="L135" s="53" t="s">
        <v>21</v>
      </c>
      <c r="M135" s="53" t="s">
        <v>21</v>
      </c>
      <c r="N135" s="61"/>
    </row>
    <row r="136" spans="1:14" ht="21.75" customHeight="1" x14ac:dyDescent="0.4">
      <c r="A136" s="55"/>
      <c r="B136" s="56"/>
      <c r="C136" s="56"/>
      <c r="D136" s="73"/>
      <c r="E136" s="74" t="s">
        <v>28</v>
      </c>
      <c r="F136" s="75"/>
      <c r="G136" s="76"/>
      <c r="H136" s="66"/>
      <c r="I136" s="67"/>
      <c r="J136" s="67">
        <v>0</v>
      </c>
      <c r="K136" s="233"/>
      <c r="L136" s="53"/>
      <c r="M136" s="53"/>
      <c r="N136" s="61"/>
    </row>
    <row r="137" spans="1:14" ht="21.75" customHeight="1" x14ac:dyDescent="0.4">
      <c r="A137" s="55"/>
      <c r="B137" s="56"/>
      <c r="C137" s="56"/>
      <c r="D137" s="73"/>
      <c r="E137" s="74" t="s">
        <v>29</v>
      </c>
      <c r="F137" s="75"/>
      <c r="G137" s="76"/>
      <c r="H137" s="66"/>
      <c r="I137" s="67"/>
      <c r="J137" s="67">
        <v>0</v>
      </c>
      <c r="K137" s="233"/>
      <c r="L137" s="53"/>
      <c r="M137" s="53"/>
      <c r="N137" s="61"/>
    </row>
    <row r="138" spans="1:14" ht="21.75" customHeight="1" x14ac:dyDescent="0.4">
      <c r="A138" s="55"/>
      <c r="B138" s="56"/>
      <c r="C138" s="56"/>
      <c r="D138" s="73"/>
      <c r="E138" s="77"/>
      <c r="F138" s="75" t="s">
        <v>75</v>
      </c>
      <c r="G138" s="76"/>
      <c r="H138" s="60" t="s">
        <v>16</v>
      </c>
      <c r="I138" s="67">
        <f ca="1">IFERROR(__xludf.DUMMYFUNCTION("IMPORTRANGE(""https://docs.google.com/spreadsheets/d/1C3CXT74ZlgGe6_JY_1olB1XN4rF0dxEuIIF-xsYjHgg/edit?usp=sharing"",""พรบ!AS31"")"),0)</f>
        <v>0</v>
      </c>
      <c r="J138" s="67">
        <v>0</v>
      </c>
      <c r="K138" s="233">
        <f ca="1">IF(I138&gt;0,J138*100/I138,0)</f>
        <v>0</v>
      </c>
      <c r="L138" s="53">
        <f ca="1">IFERROR(__xludf.DUMMYFUNCTION("IMPORTRANGE(""https://docs.google.com/spreadsheets/d/1C3CXT74ZlgGe6_JY_1olB1XN4rF0dxEuIIF-xsYjHgg/edit?usp=sharing"",""กปร!H31"")"),0)</f>
        <v>0</v>
      </c>
      <c r="M138" s="53">
        <v>0</v>
      </c>
      <c r="N138" s="53">
        <f ca="1">+IF(L138&gt;0,M138*100/L138,0)</f>
        <v>0</v>
      </c>
    </row>
    <row r="139" spans="1:14" ht="21.75" customHeight="1" x14ac:dyDescent="0.4">
      <c r="A139" s="55"/>
      <c r="B139" s="56"/>
      <c r="C139" s="56"/>
      <c r="D139" s="73"/>
      <c r="E139" s="77"/>
      <c r="F139" s="74" t="s">
        <v>34</v>
      </c>
      <c r="G139" s="76"/>
      <c r="H139" s="60"/>
      <c r="I139" s="67"/>
      <c r="J139" s="67"/>
      <c r="K139" s="233"/>
      <c r="L139" s="53"/>
      <c r="M139" s="53"/>
      <c r="N139" s="61"/>
    </row>
    <row r="140" spans="1:14" ht="21.75" customHeight="1" x14ac:dyDescent="0.4">
      <c r="A140" s="55"/>
      <c r="B140" s="56"/>
      <c r="C140" s="56"/>
      <c r="D140" s="73"/>
      <c r="E140" s="77"/>
      <c r="F140" s="75"/>
      <c r="G140" s="99" t="s">
        <v>76</v>
      </c>
      <c r="H140" s="60" t="s">
        <v>16</v>
      </c>
      <c r="I140" s="67">
        <f ca="1">IFERROR(__xludf.DUMMYFUNCTION("IMPORTRANGE(""https://docs.google.com/spreadsheets/d/1C3CXT74ZlgGe6_JY_1olB1XN4rF0dxEuIIF-xsYjHgg/edit?usp=sharing"",""พรบ!AT31"")"),0)</f>
        <v>0</v>
      </c>
      <c r="J140" s="67">
        <v>0</v>
      </c>
      <c r="K140" s="233">
        <f t="shared" ref="K140:K141" ca="1" si="34">IF(I140&gt;0,J140*100/I140,0)</f>
        <v>0</v>
      </c>
      <c r="L140" s="53">
        <f ca="1">IFERROR(__xludf.DUMMYFUNCTION("IMPORTRANGE(""https://docs.google.com/spreadsheets/d/1C3CXT74ZlgGe6_JY_1olB1XN4rF0dxEuIIF-xsYjHgg/edit?usp=sharing"",""กปร!I31"")"),0)</f>
        <v>0</v>
      </c>
      <c r="M140" s="53">
        <v>0</v>
      </c>
      <c r="N140" s="53">
        <f t="shared" ref="N140:N141" ca="1" si="35">+IF(L140&gt;0,M140*100/L140,0)</f>
        <v>0</v>
      </c>
    </row>
    <row r="141" spans="1:14" ht="21.75" customHeight="1" x14ac:dyDescent="0.4">
      <c r="A141" s="55"/>
      <c r="B141" s="56"/>
      <c r="C141" s="56"/>
      <c r="D141" s="73"/>
      <c r="E141" s="77"/>
      <c r="F141" s="75"/>
      <c r="G141" s="99" t="s">
        <v>77</v>
      </c>
      <c r="H141" s="60" t="s">
        <v>40</v>
      </c>
      <c r="I141" s="67">
        <f ca="1">IFERROR(__xludf.DUMMYFUNCTION("IMPORTRANGE(""https://docs.google.com/spreadsheets/d/1C3CXT74ZlgGe6_JY_1olB1XN4rF0dxEuIIF-xsYjHgg/edit?usp=sharing"",""พรบ!AU31"")"),0)</f>
        <v>0</v>
      </c>
      <c r="J141" s="67">
        <v>0</v>
      </c>
      <c r="K141" s="233">
        <f t="shared" ca="1" si="34"/>
        <v>0</v>
      </c>
      <c r="L141" s="53">
        <f ca="1">IFERROR(__xludf.DUMMYFUNCTION("IMPORTRANGE(""https://docs.google.com/spreadsheets/d/1C3CXT74ZlgGe6_JY_1olB1XN4rF0dxEuIIF-xsYjHgg/edit?usp=sharing"",""กปร!J31"")"),0)</f>
        <v>0</v>
      </c>
      <c r="M141" s="53">
        <v>0</v>
      </c>
      <c r="N141" s="53">
        <f t="shared" ca="1" si="35"/>
        <v>0</v>
      </c>
    </row>
    <row r="142" spans="1:14" ht="21.75" customHeight="1" x14ac:dyDescent="0.4">
      <c r="A142" s="55"/>
      <c r="B142" s="56"/>
      <c r="C142" s="56"/>
      <c r="D142" s="73"/>
      <c r="E142" s="74" t="s">
        <v>35</v>
      </c>
      <c r="F142" s="75"/>
      <c r="G142" s="76"/>
      <c r="H142" s="66"/>
      <c r="I142" s="67"/>
      <c r="J142" s="67">
        <v>0</v>
      </c>
      <c r="K142" s="233"/>
      <c r="L142" s="53"/>
      <c r="M142" s="53"/>
      <c r="N142" s="61"/>
    </row>
    <row r="143" spans="1:14" ht="21.75" customHeight="1" x14ac:dyDescent="0.4">
      <c r="A143" s="105"/>
      <c r="B143" s="106"/>
      <c r="C143" s="106"/>
      <c r="D143" s="107">
        <v>3</v>
      </c>
      <c r="E143" s="108" t="s">
        <v>36</v>
      </c>
      <c r="F143" s="109"/>
      <c r="G143" s="110"/>
      <c r="H143" s="111"/>
      <c r="I143" s="112"/>
      <c r="J143" s="356">
        <v>0</v>
      </c>
      <c r="K143" s="357"/>
      <c r="L143" s="358"/>
      <c r="M143" s="358"/>
      <c r="N143" s="115"/>
    </row>
    <row r="144" spans="1:14" ht="21.75" customHeight="1" x14ac:dyDescent="0.4">
      <c r="A144" s="132"/>
      <c r="B144" s="133" t="s">
        <v>78</v>
      </c>
      <c r="C144" s="134"/>
      <c r="D144" s="133"/>
      <c r="E144" s="133"/>
      <c r="F144" s="133"/>
      <c r="G144" s="135"/>
      <c r="H144" s="136" t="s">
        <v>16</v>
      </c>
      <c r="I144" s="137">
        <f t="shared" ref="I144:J144" ca="1" si="36">+I149+I158</f>
        <v>13</v>
      </c>
      <c r="J144" s="137">
        <f t="shared" si="36"/>
        <v>13</v>
      </c>
      <c r="K144" s="138">
        <f ca="1">IF(I144&gt;0,J144*100/I144,0)</f>
        <v>100</v>
      </c>
      <c r="L144" s="139">
        <f ca="1">L145+L146</f>
        <v>19295</v>
      </c>
      <c r="M144" s="139">
        <f>SUM(M145:M146)</f>
        <v>19295</v>
      </c>
      <c r="N144" s="138">
        <f ca="1">IF(L144&gt;0,M144*100/L144,0)</f>
        <v>100</v>
      </c>
    </row>
    <row r="145" spans="1:14" ht="21.75" customHeight="1" x14ac:dyDescent="0.4">
      <c r="A145" s="42"/>
      <c r="B145" s="43"/>
      <c r="C145" s="43" t="s">
        <v>17</v>
      </c>
      <c r="D145" s="44" t="s">
        <v>18</v>
      </c>
      <c r="E145" s="45"/>
      <c r="F145" s="45"/>
      <c r="G145" s="46" t="s">
        <v>19</v>
      </c>
      <c r="H145" s="47" t="s">
        <v>20</v>
      </c>
      <c r="I145" s="48" t="s">
        <v>21</v>
      </c>
      <c r="J145" s="48"/>
      <c r="K145" s="49"/>
      <c r="L145" s="50">
        <v>0</v>
      </c>
      <c r="M145" s="50">
        <v>0</v>
      </c>
      <c r="N145" s="50">
        <f t="shared" ref="N145:N148" si="37">+IF(L145&gt;0,M145*100/L145,0)</f>
        <v>0</v>
      </c>
    </row>
    <row r="146" spans="1:14" ht="21.75" customHeight="1" x14ac:dyDescent="0.4">
      <c r="A146" s="42"/>
      <c r="B146" s="43"/>
      <c r="C146" s="43"/>
      <c r="D146" s="51"/>
      <c r="E146" s="45"/>
      <c r="F146" s="45" t="s">
        <v>21</v>
      </c>
      <c r="G146" s="46" t="s">
        <v>22</v>
      </c>
      <c r="H146" s="47" t="s">
        <v>20</v>
      </c>
      <c r="I146" s="48"/>
      <c r="J146" s="48"/>
      <c r="K146" s="49"/>
      <c r="L146" s="50">
        <f t="shared" ref="L146:M146" ca="1" si="38">SUM(L147:L148)</f>
        <v>19295</v>
      </c>
      <c r="M146" s="50">
        <f t="shared" si="38"/>
        <v>19295</v>
      </c>
      <c r="N146" s="50">
        <f t="shared" ca="1" si="37"/>
        <v>100</v>
      </c>
    </row>
    <row r="147" spans="1:14" ht="21.75" customHeight="1" x14ac:dyDescent="0.4">
      <c r="A147" s="42"/>
      <c r="B147" s="43"/>
      <c r="C147" s="43"/>
      <c r="D147" s="51"/>
      <c r="E147" s="45"/>
      <c r="F147" s="45"/>
      <c r="G147" s="52" t="s">
        <v>23</v>
      </c>
      <c r="H147" s="47" t="s">
        <v>20</v>
      </c>
      <c r="I147" s="48"/>
      <c r="J147" s="48"/>
      <c r="K147" s="49"/>
      <c r="L147" s="53">
        <v>0</v>
      </c>
      <c r="M147" s="53">
        <v>0</v>
      </c>
      <c r="N147" s="53">
        <f t="shared" si="37"/>
        <v>0</v>
      </c>
    </row>
    <row r="148" spans="1:14" ht="21.75" customHeight="1" x14ac:dyDescent="0.4">
      <c r="A148" s="42"/>
      <c r="B148" s="43"/>
      <c r="C148" s="43"/>
      <c r="D148" s="51"/>
      <c r="E148" s="45"/>
      <c r="F148" s="45"/>
      <c r="G148" s="52" t="s">
        <v>24</v>
      </c>
      <c r="H148" s="47" t="s">
        <v>20</v>
      </c>
      <c r="I148" s="48"/>
      <c r="J148" s="48"/>
      <c r="K148" s="49"/>
      <c r="L148" s="53">
        <f ca="1">IFERROR(__xludf.DUMMYFUNCTION("IMPORTRANGE(""https://docs.google.com/spreadsheets/d/1C3CXT74ZlgGe6_JY_1olB1XN4rF0dxEuIIF-xsYjHgg/edit?usp=sharing"",""พรบ!AY31"")"),19295)</f>
        <v>19295</v>
      </c>
      <c r="M148" s="54">
        <v>19295</v>
      </c>
      <c r="N148" s="53">
        <f t="shared" ca="1" si="37"/>
        <v>100</v>
      </c>
    </row>
    <row r="149" spans="1:14" ht="21.75" customHeight="1" x14ac:dyDescent="0.4">
      <c r="A149" s="55"/>
      <c r="B149" s="155"/>
      <c r="C149" s="134" t="s">
        <v>79</v>
      </c>
      <c r="D149" s="133"/>
      <c r="E149" s="133"/>
      <c r="F149" s="133"/>
      <c r="G149" s="135"/>
      <c r="H149" s="136" t="s">
        <v>16</v>
      </c>
      <c r="I149" s="137">
        <f ca="1">I155</f>
        <v>13</v>
      </c>
      <c r="J149" s="137">
        <f>+J155</f>
        <v>13</v>
      </c>
      <c r="K149" s="138">
        <f ca="1">IF(I149&gt;0,J149*100/I149,0)</f>
        <v>100</v>
      </c>
      <c r="L149" s="140"/>
      <c r="M149" s="140"/>
      <c r="N149" s="140"/>
    </row>
    <row r="150" spans="1:14" ht="21.75" customHeight="1" x14ac:dyDescent="0.4">
      <c r="A150" s="55"/>
      <c r="B150" s="56"/>
      <c r="C150" s="43" t="s">
        <v>17</v>
      </c>
      <c r="D150" s="57" t="s">
        <v>25</v>
      </c>
      <c r="E150" s="58"/>
      <c r="F150" s="58"/>
      <c r="G150" s="59"/>
      <c r="H150" s="60"/>
      <c r="I150" s="48"/>
      <c r="J150" s="48"/>
      <c r="K150" s="49"/>
      <c r="L150" s="61"/>
      <c r="M150" s="61"/>
      <c r="N150" s="61"/>
    </row>
    <row r="151" spans="1:14" ht="21.75" customHeight="1" x14ac:dyDescent="0.4">
      <c r="A151" s="55"/>
      <c r="B151" s="56"/>
      <c r="C151" s="56"/>
      <c r="D151" s="62">
        <v>1</v>
      </c>
      <c r="E151" s="63" t="s">
        <v>26</v>
      </c>
      <c r="F151" s="64"/>
      <c r="G151" s="65"/>
      <c r="H151" s="66"/>
      <c r="I151" s="67"/>
      <c r="J151" s="68">
        <v>0</v>
      </c>
      <c r="K151" s="49"/>
      <c r="L151" s="61"/>
      <c r="M151" s="61"/>
      <c r="N151" s="61"/>
    </row>
    <row r="152" spans="1:14" ht="21.75" customHeight="1" x14ac:dyDescent="0.4">
      <c r="A152" s="55"/>
      <c r="B152" s="56"/>
      <c r="C152" s="56"/>
      <c r="D152" s="69">
        <v>2</v>
      </c>
      <c r="E152" s="70" t="s">
        <v>27</v>
      </c>
      <c r="F152" s="71"/>
      <c r="G152" s="72"/>
      <c r="H152" s="66"/>
      <c r="I152" s="67"/>
      <c r="J152" s="68">
        <v>1</v>
      </c>
      <c r="K152" s="49"/>
      <c r="L152" s="61" t="s">
        <v>21</v>
      </c>
      <c r="M152" s="61" t="s">
        <v>21</v>
      </c>
      <c r="N152" s="61"/>
    </row>
    <row r="153" spans="1:14" ht="21.75" customHeight="1" x14ac:dyDescent="0.4">
      <c r="A153" s="55"/>
      <c r="B153" s="56"/>
      <c r="C153" s="56"/>
      <c r="D153" s="73"/>
      <c r="E153" s="74" t="s">
        <v>28</v>
      </c>
      <c r="F153" s="75"/>
      <c r="G153" s="76"/>
      <c r="H153" s="66"/>
      <c r="I153" s="67"/>
      <c r="J153" s="68">
        <v>1</v>
      </c>
      <c r="K153" s="49"/>
      <c r="L153" s="61"/>
      <c r="M153" s="61"/>
      <c r="N153" s="61"/>
    </row>
    <row r="154" spans="1:14" ht="21.75" customHeight="1" x14ac:dyDescent="0.4">
      <c r="A154" s="55"/>
      <c r="B154" s="56"/>
      <c r="C154" s="56"/>
      <c r="D154" s="73"/>
      <c r="E154" s="74" t="s">
        <v>29</v>
      </c>
      <c r="F154" s="75"/>
      <c r="G154" s="76"/>
      <c r="H154" s="66"/>
      <c r="I154" s="67"/>
      <c r="J154" s="68">
        <v>1</v>
      </c>
      <c r="K154" s="49"/>
      <c r="L154" s="61"/>
      <c r="M154" s="61"/>
      <c r="N154" s="61"/>
    </row>
    <row r="155" spans="1:14" ht="21.75" customHeight="1" x14ac:dyDescent="0.4">
      <c r="A155" s="55"/>
      <c r="B155" s="56"/>
      <c r="C155" s="56"/>
      <c r="D155" s="73"/>
      <c r="E155" s="77"/>
      <c r="F155" s="75"/>
      <c r="G155" s="99" t="s">
        <v>50</v>
      </c>
      <c r="H155" s="66" t="s">
        <v>16</v>
      </c>
      <c r="I155" s="67">
        <f ca="1">IFERROR(__xludf.DUMMYFUNCTION("IMPORTRANGE(""https://docs.google.com/spreadsheets/d/1C3CXT74ZlgGe6_JY_1olB1XN4rF0dxEuIIF-xsYjHgg/edit?usp=sharing"",""พรบ!BA31"")"),13)</f>
        <v>13</v>
      </c>
      <c r="J155" s="68">
        <v>13</v>
      </c>
      <c r="K155" s="49">
        <f ca="1">IF(I155&gt;0,J155*100/I155,0)</f>
        <v>100</v>
      </c>
      <c r="L155" s="61"/>
      <c r="M155" s="61"/>
      <c r="N155" s="61"/>
    </row>
    <row r="156" spans="1:14" ht="21.75" customHeight="1" x14ac:dyDescent="0.4">
      <c r="A156" s="55"/>
      <c r="B156" s="56"/>
      <c r="C156" s="56"/>
      <c r="D156" s="73"/>
      <c r="E156" s="74" t="s">
        <v>35</v>
      </c>
      <c r="F156" s="75"/>
      <c r="G156" s="76"/>
      <c r="H156" s="66"/>
      <c r="I156" s="67"/>
      <c r="J156" s="68">
        <v>1</v>
      </c>
      <c r="K156" s="49"/>
      <c r="L156" s="61"/>
      <c r="M156" s="61"/>
      <c r="N156" s="61"/>
    </row>
    <row r="157" spans="1:14" ht="21.75" customHeight="1" x14ac:dyDescent="0.4">
      <c r="A157" s="55"/>
      <c r="B157" s="56"/>
      <c r="C157" s="56"/>
      <c r="D157" s="81">
        <v>3</v>
      </c>
      <c r="E157" s="82" t="s">
        <v>36</v>
      </c>
      <c r="F157" s="83"/>
      <c r="G157" s="84"/>
      <c r="H157" s="66"/>
      <c r="I157" s="67"/>
      <c r="J157" s="85">
        <v>1</v>
      </c>
      <c r="K157" s="49"/>
      <c r="L157" s="61"/>
      <c r="M157" s="61"/>
      <c r="N157" s="61"/>
    </row>
    <row r="158" spans="1:14" ht="21.75" customHeight="1" x14ac:dyDescent="0.4">
      <c r="A158" s="55"/>
      <c r="B158" s="56"/>
      <c r="C158" s="134" t="s">
        <v>81</v>
      </c>
      <c r="D158" s="156"/>
      <c r="E158" s="133"/>
      <c r="F158" s="133"/>
      <c r="G158" s="135"/>
      <c r="H158" s="136" t="s">
        <v>16</v>
      </c>
      <c r="I158" s="137">
        <f>I164</f>
        <v>0</v>
      </c>
      <c r="J158" s="137">
        <f>+J164</f>
        <v>0</v>
      </c>
      <c r="K158" s="138">
        <f>IF(I158&gt;0,J158*100/I158,0)</f>
        <v>0</v>
      </c>
      <c r="L158" s="61"/>
      <c r="M158" s="61"/>
      <c r="N158" s="61"/>
    </row>
    <row r="159" spans="1:14" ht="21.75" customHeight="1" x14ac:dyDescent="0.4">
      <c r="A159" s="55"/>
      <c r="B159" s="56"/>
      <c r="C159" s="43" t="s">
        <v>17</v>
      </c>
      <c r="D159" s="57" t="s">
        <v>25</v>
      </c>
      <c r="E159" s="58"/>
      <c r="F159" s="58"/>
      <c r="G159" s="59"/>
      <c r="H159" s="60"/>
      <c r="I159" s="48"/>
      <c r="J159" s="48"/>
      <c r="K159" s="49"/>
      <c r="L159" s="61"/>
      <c r="M159" s="61"/>
      <c r="N159" s="61"/>
    </row>
    <row r="160" spans="1:14" ht="21.75" customHeight="1" x14ac:dyDescent="0.4">
      <c r="A160" s="55"/>
      <c r="B160" s="56"/>
      <c r="C160" s="56"/>
      <c r="D160" s="62">
        <v>1</v>
      </c>
      <c r="E160" s="63" t="s">
        <v>26</v>
      </c>
      <c r="F160" s="64"/>
      <c r="G160" s="65"/>
      <c r="H160" s="66"/>
      <c r="I160" s="67"/>
      <c r="J160" s="67">
        <v>0</v>
      </c>
      <c r="K160" s="49"/>
      <c r="L160" s="61"/>
      <c r="M160" s="61"/>
      <c r="N160" s="61"/>
    </row>
    <row r="161" spans="1:14" ht="21.75" customHeight="1" x14ac:dyDescent="0.4">
      <c r="A161" s="55"/>
      <c r="B161" s="56"/>
      <c r="C161" s="56"/>
      <c r="D161" s="69">
        <v>2</v>
      </c>
      <c r="E161" s="70" t="s">
        <v>27</v>
      </c>
      <c r="F161" s="71"/>
      <c r="G161" s="72"/>
      <c r="H161" s="66"/>
      <c r="I161" s="67"/>
      <c r="J161" s="67">
        <v>0</v>
      </c>
      <c r="K161" s="49"/>
      <c r="L161" s="61" t="s">
        <v>21</v>
      </c>
      <c r="M161" s="61" t="s">
        <v>21</v>
      </c>
      <c r="N161" s="61"/>
    </row>
    <row r="162" spans="1:14" ht="21.75" customHeight="1" x14ac:dyDescent="0.4">
      <c r="A162" s="55"/>
      <c r="B162" s="56"/>
      <c r="C162" s="56"/>
      <c r="D162" s="73"/>
      <c r="E162" s="74" t="s">
        <v>28</v>
      </c>
      <c r="F162" s="75"/>
      <c r="G162" s="76"/>
      <c r="H162" s="66"/>
      <c r="I162" s="67"/>
      <c r="J162" s="67">
        <v>0</v>
      </c>
      <c r="K162" s="49"/>
      <c r="L162" s="61"/>
      <c r="M162" s="61"/>
      <c r="N162" s="61"/>
    </row>
    <row r="163" spans="1:14" ht="21.75" customHeight="1" x14ac:dyDescent="0.4">
      <c r="A163" s="55"/>
      <c r="B163" s="56"/>
      <c r="C163" s="56"/>
      <c r="D163" s="73"/>
      <c r="E163" s="74" t="s">
        <v>29</v>
      </c>
      <c r="F163" s="75"/>
      <c r="G163" s="76"/>
      <c r="H163" s="66"/>
      <c r="I163" s="67"/>
      <c r="J163" s="67">
        <v>0</v>
      </c>
      <c r="K163" s="49"/>
      <c r="L163" s="61"/>
      <c r="M163" s="61"/>
      <c r="N163" s="61"/>
    </row>
    <row r="164" spans="1:14" ht="21.75" customHeight="1" x14ac:dyDescent="0.4">
      <c r="A164" s="55"/>
      <c r="B164" s="56"/>
      <c r="C164" s="56"/>
      <c r="D164" s="73"/>
      <c r="E164" s="75"/>
      <c r="F164" s="74" t="s">
        <v>82</v>
      </c>
      <c r="G164" s="75"/>
      <c r="H164" s="66" t="s">
        <v>16</v>
      </c>
      <c r="I164" s="67">
        <v>0</v>
      </c>
      <c r="J164" s="67">
        <v>0</v>
      </c>
      <c r="K164" s="49">
        <f>IF(I164&gt;0,J164*100/I164,0)</f>
        <v>0</v>
      </c>
      <c r="L164" s="61"/>
      <c r="M164" s="61"/>
      <c r="N164" s="61"/>
    </row>
    <row r="165" spans="1:14" ht="21.75" customHeight="1" x14ac:dyDescent="0.4">
      <c r="A165" s="55"/>
      <c r="B165" s="56"/>
      <c r="C165" s="56"/>
      <c r="D165" s="73"/>
      <c r="E165" s="74" t="s">
        <v>35</v>
      </c>
      <c r="F165" s="75"/>
      <c r="G165" s="76"/>
      <c r="H165" s="66"/>
      <c r="I165" s="67"/>
      <c r="J165" s="67">
        <v>0</v>
      </c>
      <c r="K165" s="49"/>
      <c r="L165" s="61"/>
      <c r="M165" s="61"/>
      <c r="N165" s="61"/>
    </row>
    <row r="166" spans="1:14" ht="21.75" customHeight="1" x14ac:dyDescent="0.4">
      <c r="A166" s="105"/>
      <c r="B166" s="106"/>
      <c r="C166" s="106"/>
      <c r="D166" s="107">
        <v>3</v>
      </c>
      <c r="E166" s="108" t="s">
        <v>36</v>
      </c>
      <c r="F166" s="109"/>
      <c r="G166" s="110"/>
      <c r="H166" s="111"/>
      <c r="I166" s="112"/>
      <c r="J166" s="356">
        <v>0</v>
      </c>
      <c r="K166" s="114"/>
      <c r="L166" s="115"/>
      <c r="M166" s="115"/>
      <c r="N166" s="115"/>
    </row>
    <row r="167" spans="1:14" ht="21.75" customHeight="1" x14ac:dyDescent="0.4">
      <c r="A167" s="157" t="s">
        <v>83</v>
      </c>
      <c r="B167" s="158"/>
      <c r="C167" s="158"/>
      <c r="D167" s="158"/>
      <c r="E167" s="159"/>
      <c r="F167" s="159"/>
      <c r="G167" s="160"/>
      <c r="H167" s="161"/>
      <c r="I167" s="162"/>
      <c r="J167" s="162"/>
      <c r="K167" s="163"/>
      <c r="L167" s="164"/>
      <c r="M167" s="164"/>
      <c r="N167" s="165"/>
    </row>
    <row r="168" spans="1:14" ht="21.75" customHeight="1" x14ac:dyDescent="0.4">
      <c r="A168" s="166" t="s">
        <v>84</v>
      </c>
      <c r="B168" s="167"/>
      <c r="C168" s="167"/>
      <c r="D168" s="168"/>
      <c r="E168" s="168"/>
      <c r="F168" s="168"/>
      <c r="G168" s="169"/>
      <c r="H168" s="170"/>
      <c r="I168" s="171"/>
      <c r="J168" s="171"/>
      <c r="K168" s="172"/>
      <c r="L168" s="172"/>
      <c r="M168" s="172"/>
      <c r="N168" s="173"/>
    </row>
    <row r="169" spans="1:14" ht="21.75" customHeight="1" x14ac:dyDescent="0.4">
      <c r="A169" s="174"/>
      <c r="B169" s="175" t="s">
        <v>85</v>
      </c>
      <c r="C169" s="175"/>
      <c r="D169" s="175"/>
      <c r="E169" s="175"/>
      <c r="F169" s="175"/>
      <c r="G169" s="176"/>
      <c r="H169" s="177" t="s">
        <v>16</v>
      </c>
      <c r="I169" s="178">
        <f ca="1">I180</f>
        <v>0</v>
      </c>
      <c r="J169" s="178">
        <f>+J180</f>
        <v>0</v>
      </c>
      <c r="K169" s="179">
        <f ca="1">IF(I169&gt;0,J169*100/I169,0)</f>
        <v>0</v>
      </c>
      <c r="L169" s="180">
        <f ca="1">L170+L171</f>
        <v>0</v>
      </c>
      <c r="M169" s="180">
        <f>SUM(M170:M171)</f>
        <v>0</v>
      </c>
      <c r="N169" s="179">
        <f ca="1">IF(L169&gt;0,M169*100/L169,0)</f>
        <v>0</v>
      </c>
    </row>
    <row r="170" spans="1:14" ht="21.75" customHeight="1" x14ac:dyDescent="0.4">
      <c r="A170" s="42"/>
      <c r="B170" s="43"/>
      <c r="C170" s="43" t="s">
        <v>17</v>
      </c>
      <c r="D170" s="44" t="s">
        <v>18</v>
      </c>
      <c r="E170" s="45"/>
      <c r="F170" s="45"/>
      <c r="G170" s="46" t="s">
        <v>19</v>
      </c>
      <c r="H170" s="47" t="s">
        <v>20</v>
      </c>
      <c r="I170" s="48" t="s">
        <v>21</v>
      </c>
      <c r="J170" s="48"/>
      <c r="K170" s="49"/>
      <c r="L170" s="50">
        <v>0</v>
      </c>
      <c r="M170" s="50">
        <v>0</v>
      </c>
      <c r="N170" s="50">
        <f t="shared" ref="N170:N173" si="39">+IF(L170&gt;0,M170*100/L170,0)</f>
        <v>0</v>
      </c>
    </row>
    <row r="171" spans="1:14" ht="21.75" customHeight="1" x14ac:dyDescent="0.4">
      <c r="A171" s="42"/>
      <c r="B171" s="43"/>
      <c r="C171" s="43"/>
      <c r="D171" s="51"/>
      <c r="E171" s="45"/>
      <c r="F171" s="45" t="s">
        <v>21</v>
      </c>
      <c r="G171" s="46" t="s">
        <v>22</v>
      </c>
      <c r="H171" s="47" t="s">
        <v>20</v>
      </c>
      <c r="I171" s="48"/>
      <c r="J171" s="48"/>
      <c r="K171" s="49"/>
      <c r="L171" s="50">
        <f t="shared" ref="L171:M171" ca="1" si="40">SUM(L172:L173)</f>
        <v>0</v>
      </c>
      <c r="M171" s="50">
        <f t="shared" si="40"/>
        <v>0</v>
      </c>
      <c r="N171" s="50">
        <f t="shared" ca="1" si="39"/>
        <v>0</v>
      </c>
    </row>
    <row r="172" spans="1:14" ht="21.75" customHeight="1" x14ac:dyDescent="0.4">
      <c r="A172" s="42"/>
      <c r="B172" s="43"/>
      <c r="C172" s="43"/>
      <c r="D172" s="51"/>
      <c r="E172" s="45"/>
      <c r="F172" s="45"/>
      <c r="G172" s="52" t="s">
        <v>23</v>
      </c>
      <c r="H172" s="47" t="s">
        <v>20</v>
      </c>
      <c r="I172" s="48"/>
      <c r="J172" s="67"/>
      <c r="K172" s="233"/>
      <c r="L172" s="53">
        <f ca="1">IFERROR(__xludf.DUMMYFUNCTION("IMPORTRANGE(""https://docs.google.com/spreadsheets/d/1C3CXT74ZlgGe6_JY_1olB1XN4rF0dxEuIIF-xsYjHgg/edit?usp=sharing"",""พรบ!BD31"")"),0)</f>
        <v>0</v>
      </c>
      <c r="M172" s="53">
        <v>0</v>
      </c>
      <c r="N172" s="53">
        <f t="shared" ca="1" si="39"/>
        <v>0</v>
      </c>
    </row>
    <row r="173" spans="1:14" ht="21.75" customHeight="1" x14ac:dyDescent="0.4">
      <c r="A173" s="42"/>
      <c r="B173" s="43"/>
      <c r="C173" s="43"/>
      <c r="D173" s="51"/>
      <c r="E173" s="45"/>
      <c r="F173" s="45"/>
      <c r="G173" s="52" t="s">
        <v>24</v>
      </c>
      <c r="H173" s="47" t="s">
        <v>20</v>
      </c>
      <c r="I173" s="48"/>
      <c r="J173" s="67"/>
      <c r="K173" s="233"/>
      <c r="L173" s="53">
        <f ca="1">IFERROR(__xludf.DUMMYFUNCTION("IMPORTRANGE(""https://docs.google.com/spreadsheets/d/1C3CXT74ZlgGe6_JY_1olB1XN4rF0dxEuIIF-xsYjHgg/edit?usp=sharing"",""พรบ!BE31"")"),0)</f>
        <v>0</v>
      </c>
      <c r="M173" s="53">
        <v>0</v>
      </c>
      <c r="N173" s="53">
        <f t="shared" ca="1" si="39"/>
        <v>0</v>
      </c>
    </row>
    <row r="174" spans="1:14" ht="21.75" customHeight="1" x14ac:dyDescent="0.4">
      <c r="A174" s="55"/>
      <c r="B174" s="56"/>
      <c r="C174" s="43" t="s">
        <v>17</v>
      </c>
      <c r="D174" s="57" t="s">
        <v>25</v>
      </c>
      <c r="E174" s="58"/>
      <c r="F174" s="58"/>
      <c r="G174" s="59"/>
      <c r="H174" s="60"/>
      <c r="I174" s="48"/>
      <c r="J174" s="67"/>
      <c r="K174" s="233"/>
      <c r="L174" s="53"/>
      <c r="M174" s="53"/>
      <c r="N174" s="61"/>
    </row>
    <row r="175" spans="1:14" ht="21.75" customHeight="1" x14ac:dyDescent="0.4">
      <c r="A175" s="55"/>
      <c r="B175" s="56"/>
      <c r="C175" s="56"/>
      <c r="D175" s="62">
        <v>1</v>
      </c>
      <c r="E175" s="63" t="s">
        <v>26</v>
      </c>
      <c r="F175" s="64"/>
      <c r="G175" s="65"/>
      <c r="H175" s="66"/>
      <c r="I175" s="67"/>
      <c r="J175" s="67">
        <v>0</v>
      </c>
      <c r="K175" s="233"/>
      <c r="L175" s="53"/>
      <c r="M175" s="53"/>
      <c r="N175" s="61"/>
    </row>
    <row r="176" spans="1:14" ht="21.75" customHeight="1" x14ac:dyDescent="0.4">
      <c r="A176" s="55"/>
      <c r="B176" s="56"/>
      <c r="C176" s="56"/>
      <c r="D176" s="69">
        <v>2</v>
      </c>
      <c r="E176" s="70" t="s">
        <v>27</v>
      </c>
      <c r="F176" s="71"/>
      <c r="G176" s="72"/>
      <c r="H176" s="66"/>
      <c r="I176" s="67"/>
      <c r="J176" s="67">
        <v>0</v>
      </c>
      <c r="K176" s="233"/>
      <c r="L176" s="53" t="s">
        <v>21</v>
      </c>
      <c r="M176" s="53" t="s">
        <v>21</v>
      </c>
      <c r="N176" s="61"/>
    </row>
    <row r="177" spans="1:14" ht="21.75" customHeight="1" x14ac:dyDescent="0.4">
      <c r="A177" s="55"/>
      <c r="B177" s="56"/>
      <c r="C177" s="56"/>
      <c r="D177" s="73"/>
      <c r="E177" s="74" t="s">
        <v>28</v>
      </c>
      <c r="F177" s="75"/>
      <c r="G177" s="76"/>
      <c r="H177" s="66"/>
      <c r="I177" s="67"/>
      <c r="J177" s="67">
        <v>0</v>
      </c>
      <c r="K177" s="233"/>
      <c r="L177" s="53"/>
      <c r="M177" s="53"/>
      <c r="N177" s="61"/>
    </row>
    <row r="178" spans="1:14" ht="21.75" customHeight="1" x14ac:dyDescent="0.4">
      <c r="A178" s="55"/>
      <c r="B178" s="56"/>
      <c r="C178" s="56"/>
      <c r="D178" s="73"/>
      <c r="E178" s="74" t="s">
        <v>29</v>
      </c>
      <c r="F178" s="75"/>
      <c r="G178" s="76"/>
      <c r="H178" s="66"/>
      <c r="I178" s="67"/>
      <c r="J178" s="67">
        <v>0</v>
      </c>
      <c r="K178" s="233"/>
      <c r="L178" s="53"/>
      <c r="M178" s="53"/>
      <c r="N178" s="61"/>
    </row>
    <row r="179" spans="1:14" ht="21.75" customHeight="1" x14ac:dyDescent="0.4">
      <c r="A179" s="55"/>
      <c r="B179" s="56"/>
      <c r="C179" s="56"/>
      <c r="D179" s="73"/>
      <c r="E179" s="77"/>
      <c r="F179" s="74" t="s">
        <v>86</v>
      </c>
      <c r="G179" s="76"/>
      <c r="H179" s="60" t="s">
        <v>40</v>
      </c>
      <c r="I179" s="67">
        <f ca="1">IFERROR(__xludf.DUMMYFUNCTION("IMPORTRANGE(""https://docs.google.com/spreadsheets/d/1C3CXT74ZlgGe6_JY_1olB1XN4rF0dxEuIIF-xsYjHgg/edit?usp=sharing"",""พรบ!BF31"")"),0)</f>
        <v>0</v>
      </c>
      <c r="J179" s="67">
        <v>0</v>
      </c>
      <c r="K179" s="233">
        <f t="shared" ref="K179:K182" ca="1" si="41">IF(I179&gt;0,J179*100/I179,0)</f>
        <v>0</v>
      </c>
      <c r="L179" s="53"/>
      <c r="M179" s="53"/>
      <c r="N179" s="61"/>
    </row>
    <row r="180" spans="1:14" ht="21.75" customHeight="1" x14ac:dyDescent="0.4">
      <c r="A180" s="55"/>
      <c r="B180" s="56"/>
      <c r="C180" s="56"/>
      <c r="D180" s="73"/>
      <c r="E180" s="77"/>
      <c r="F180" s="74" t="s">
        <v>87</v>
      </c>
      <c r="G180" s="76"/>
      <c r="H180" s="60" t="s">
        <v>16</v>
      </c>
      <c r="I180" s="67">
        <f ca="1">IFERROR(__xludf.DUMMYFUNCTION("IMPORTRANGE(""https://docs.google.com/spreadsheets/d/1C3CXT74ZlgGe6_JY_1olB1XN4rF0dxEuIIF-xsYjHgg/edit?usp=sharing"",""พรบ!BG31"")"),0)</f>
        <v>0</v>
      </c>
      <c r="J180" s="67">
        <v>0</v>
      </c>
      <c r="K180" s="233">
        <f t="shared" ca="1" si="41"/>
        <v>0</v>
      </c>
      <c r="L180" s="53"/>
      <c r="M180" s="53"/>
      <c r="N180" s="61"/>
    </row>
    <row r="181" spans="1:14" ht="21.75" customHeight="1" x14ac:dyDescent="0.4">
      <c r="A181" s="55"/>
      <c r="B181" s="56"/>
      <c r="C181" s="56"/>
      <c r="D181" s="73"/>
      <c r="E181" s="77"/>
      <c r="F181" s="74" t="s">
        <v>88</v>
      </c>
      <c r="G181" s="76"/>
      <c r="H181" s="60" t="s">
        <v>16</v>
      </c>
      <c r="I181" s="67">
        <f ca="1">IFERROR(__xludf.DUMMYFUNCTION("IMPORTRANGE(""https://docs.google.com/spreadsheets/d/1C3CXT74ZlgGe6_JY_1olB1XN4rF0dxEuIIF-xsYjHgg/edit?usp=sharing"",""พรบ!BH31"")"),0)</f>
        <v>0</v>
      </c>
      <c r="J181" s="67">
        <v>0</v>
      </c>
      <c r="K181" s="233">
        <f t="shared" ca="1" si="41"/>
        <v>0</v>
      </c>
      <c r="L181" s="53"/>
      <c r="M181" s="53"/>
      <c r="N181" s="61"/>
    </row>
    <row r="182" spans="1:14" ht="21.75" customHeight="1" x14ac:dyDescent="0.4">
      <c r="A182" s="55"/>
      <c r="B182" s="56"/>
      <c r="C182" s="56"/>
      <c r="D182" s="73"/>
      <c r="E182" s="77"/>
      <c r="F182" s="74" t="s">
        <v>89</v>
      </c>
      <c r="G182" s="76"/>
      <c r="H182" s="60" t="s">
        <v>16</v>
      </c>
      <c r="I182" s="67">
        <f ca="1">IFERROR(__xludf.DUMMYFUNCTION("IMPORTRANGE(""https://docs.google.com/spreadsheets/d/1C3CXT74ZlgGe6_JY_1olB1XN4rF0dxEuIIF-xsYjHgg/edit?usp=sharing"",""พรบ!BI31"")"),0)</f>
        <v>0</v>
      </c>
      <c r="J182" s="67">
        <v>0</v>
      </c>
      <c r="K182" s="233">
        <f t="shared" ca="1" si="41"/>
        <v>0</v>
      </c>
      <c r="L182" s="53"/>
      <c r="M182" s="53"/>
      <c r="N182" s="61"/>
    </row>
    <row r="183" spans="1:14" ht="21.75" customHeight="1" x14ac:dyDescent="0.4">
      <c r="A183" s="55"/>
      <c r="B183" s="56"/>
      <c r="C183" s="56"/>
      <c r="D183" s="73"/>
      <c r="E183" s="74" t="s">
        <v>35</v>
      </c>
      <c r="F183" s="75"/>
      <c r="G183" s="76"/>
      <c r="H183" s="66"/>
      <c r="I183" s="67"/>
      <c r="J183" s="67">
        <v>0</v>
      </c>
      <c r="K183" s="233"/>
      <c r="L183" s="53"/>
      <c r="M183" s="53"/>
      <c r="N183" s="61"/>
    </row>
    <row r="184" spans="1:14" ht="21.75" customHeight="1" x14ac:dyDescent="0.4">
      <c r="A184" s="105"/>
      <c r="B184" s="106"/>
      <c r="C184" s="106"/>
      <c r="D184" s="107">
        <v>3</v>
      </c>
      <c r="E184" s="108" t="s">
        <v>36</v>
      </c>
      <c r="F184" s="109"/>
      <c r="G184" s="110"/>
      <c r="H184" s="111"/>
      <c r="I184" s="112"/>
      <c r="J184" s="356">
        <v>0</v>
      </c>
      <c r="K184" s="357"/>
      <c r="L184" s="358"/>
      <c r="M184" s="358"/>
      <c r="N184" s="115"/>
    </row>
    <row r="185" spans="1:14" ht="21.75" customHeight="1" x14ac:dyDescent="0.4">
      <c r="A185" s="174"/>
      <c r="B185" s="175" t="s">
        <v>90</v>
      </c>
      <c r="C185" s="175"/>
      <c r="D185" s="175"/>
      <c r="E185" s="175"/>
      <c r="F185" s="175"/>
      <c r="G185" s="176"/>
      <c r="H185" s="177" t="s">
        <v>16</v>
      </c>
      <c r="I185" s="178">
        <f ca="1">I195</f>
        <v>15</v>
      </c>
      <c r="J185" s="178">
        <f>+J195</f>
        <v>0</v>
      </c>
      <c r="K185" s="179">
        <f ca="1">IF(I185&gt;0,J185*100/I185,0)</f>
        <v>0</v>
      </c>
      <c r="L185" s="180">
        <f ca="1">L186+L187</f>
        <v>187200</v>
      </c>
      <c r="M185" s="180">
        <f>SUM(M186:M187)</f>
        <v>0</v>
      </c>
      <c r="N185" s="179">
        <f ca="1">IF(L185&gt;0,M185*100/L185,0)</f>
        <v>0</v>
      </c>
    </row>
    <row r="186" spans="1:14" ht="21.75" customHeight="1" x14ac:dyDescent="0.4">
      <c r="A186" s="42"/>
      <c r="B186" s="43"/>
      <c r="C186" s="43" t="s">
        <v>17</v>
      </c>
      <c r="D186" s="44" t="s">
        <v>18</v>
      </c>
      <c r="E186" s="45"/>
      <c r="F186" s="45"/>
      <c r="G186" s="46" t="s">
        <v>19</v>
      </c>
      <c r="H186" s="47" t="s">
        <v>20</v>
      </c>
      <c r="I186" s="48" t="s">
        <v>21</v>
      </c>
      <c r="J186" s="48"/>
      <c r="K186" s="49"/>
      <c r="L186" s="50">
        <v>0</v>
      </c>
      <c r="M186" s="50">
        <v>0</v>
      </c>
      <c r="N186" s="50">
        <f t="shared" ref="N186:N189" si="42">+IF(L186&gt;0,M186*100/L186,0)</f>
        <v>0</v>
      </c>
    </row>
    <row r="187" spans="1:14" ht="21.75" customHeight="1" x14ac:dyDescent="0.4">
      <c r="A187" s="42"/>
      <c r="B187" s="43"/>
      <c r="C187" s="43"/>
      <c r="D187" s="51"/>
      <c r="E187" s="45"/>
      <c r="F187" s="45" t="s">
        <v>21</v>
      </c>
      <c r="G187" s="46" t="s">
        <v>22</v>
      </c>
      <c r="H187" s="47" t="s">
        <v>20</v>
      </c>
      <c r="I187" s="48"/>
      <c r="J187" s="48"/>
      <c r="K187" s="49"/>
      <c r="L187" s="50">
        <f t="shared" ref="L187:M187" ca="1" si="43">SUM(L188:L189)</f>
        <v>187200</v>
      </c>
      <c r="M187" s="50">
        <f t="shared" si="43"/>
        <v>0</v>
      </c>
      <c r="N187" s="50">
        <f t="shared" ca="1" si="42"/>
        <v>0</v>
      </c>
    </row>
    <row r="188" spans="1:14" ht="21.75" customHeight="1" x14ac:dyDescent="0.4">
      <c r="A188" s="42"/>
      <c r="B188" s="43"/>
      <c r="C188" s="43"/>
      <c r="D188" s="51"/>
      <c r="E188" s="45"/>
      <c r="F188" s="45"/>
      <c r="G188" s="52" t="s">
        <v>23</v>
      </c>
      <c r="H188" s="47" t="s">
        <v>20</v>
      </c>
      <c r="I188" s="48"/>
      <c r="J188" s="48"/>
      <c r="K188" s="49"/>
      <c r="L188" s="53">
        <f ca="1">IFERROR(__xludf.DUMMYFUNCTION("IMPORTRANGE(""https://docs.google.com/spreadsheets/d/1C3CXT74ZlgGe6_JY_1olB1XN4rF0dxEuIIF-xsYjHgg/edit?usp=sharing"",""พรบ!BK31"")"),132000)</f>
        <v>132000</v>
      </c>
      <c r="M188" s="54">
        <v>0</v>
      </c>
      <c r="N188" s="53">
        <f t="shared" ca="1" si="42"/>
        <v>0</v>
      </c>
    </row>
    <row r="189" spans="1:14" ht="21.75" customHeight="1" x14ac:dyDescent="0.4">
      <c r="A189" s="42"/>
      <c r="B189" s="43"/>
      <c r="C189" s="43"/>
      <c r="D189" s="51"/>
      <c r="E189" s="45"/>
      <c r="F189" s="45"/>
      <c r="G189" s="52" t="s">
        <v>24</v>
      </c>
      <c r="H189" s="47" t="s">
        <v>20</v>
      </c>
      <c r="I189" s="48"/>
      <c r="J189" s="48"/>
      <c r="K189" s="49"/>
      <c r="L189" s="53">
        <f ca="1">IFERROR(__xludf.DUMMYFUNCTION("IMPORTRANGE(""https://docs.google.com/spreadsheets/d/1C3CXT74ZlgGe6_JY_1olB1XN4rF0dxEuIIF-xsYjHgg/edit?usp=sharing"",""พรบ!BL31"")"),55200)</f>
        <v>55200</v>
      </c>
      <c r="M189" s="54">
        <v>0</v>
      </c>
      <c r="N189" s="53">
        <f t="shared" ca="1" si="42"/>
        <v>0</v>
      </c>
    </row>
    <row r="190" spans="1:14" ht="21.75" customHeight="1" x14ac:dyDescent="0.4">
      <c r="A190" s="55"/>
      <c r="B190" s="56"/>
      <c r="C190" s="43" t="s">
        <v>17</v>
      </c>
      <c r="D190" s="57" t="s">
        <v>25</v>
      </c>
      <c r="E190" s="58"/>
      <c r="F190" s="58"/>
      <c r="G190" s="59"/>
      <c r="H190" s="60"/>
      <c r="I190" s="48"/>
      <c r="J190" s="48"/>
      <c r="K190" s="49"/>
      <c r="L190" s="61"/>
      <c r="M190" s="61"/>
      <c r="N190" s="61"/>
    </row>
    <row r="191" spans="1:14" ht="21.75" customHeight="1" x14ac:dyDescent="0.4">
      <c r="A191" s="55"/>
      <c r="B191" s="56"/>
      <c r="C191" s="56"/>
      <c r="D191" s="62">
        <v>1</v>
      </c>
      <c r="E191" s="63" t="s">
        <v>26</v>
      </c>
      <c r="F191" s="64"/>
      <c r="G191" s="65"/>
      <c r="H191" s="66"/>
      <c r="I191" s="67"/>
      <c r="J191" s="68">
        <v>0</v>
      </c>
      <c r="K191" s="49"/>
      <c r="L191" s="61"/>
      <c r="M191" s="61"/>
      <c r="N191" s="61"/>
    </row>
    <row r="192" spans="1:14" ht="21.75" customHeight="1" x14ac:dyDescent="0.4">
      <c r="A192" s="55"/>
      <c r="B192" s="56"/>
      <c r="C192" s="56"/>
      <c r="D192" s="69">
        <v>2</v>
      </c>
      <c r="E192" s="70" t="s">
        <v>27</v>
      </c>
      <c r="F192" s="71"/>
      <c r="G192" s="72"/>
      <c r="H192" s="66"/>
      <c r="I192" s="67"/>
      <c r="J192" s="68">
        <v>1</v>
      </c>
      <c r="K192" s="49"/>
      <c r="L192" s="61"/>
      <c r="M192" s="61"/>
      <c r="N192" s="61"/>
    </row>
    <row r="193" spans="1:14" ht="21.75" customHeight="1" x14ac:dyDescent="0.4">
      <c r="A193" s="55"/>
      <c r="B193" s="56"/>
      <c r="C193" s="56"/>
      <c r="D193" s="73"/>
      <c r="E193" s="74" t="s">
        <v>28</v>
      </c>
      <c r="F193" s="75"/>
      <c r="G193" s="76"/>
      <c r="H193" s="66"/>
      <c r="I193" s="67"/>
      <c r="J193" s="68">
        <v>1</v>
      </c>
      <c r="K193" s="49"/>
      <c r="L193" s="61"/>
      <c r="M193" s="61"/>
      <c r="N193" s="61"/>
    </row>
    <row r="194" spans="1:14" ht="21.75" customHeight="1" x14ac:dyDescent="0.4">
      <c r="A194" s="55"/>
      <c r="B194" s="56"/>
      <c r="C194" s="56"/>
      <c r="D194" s="73"/>
      <c r="E194" s="74" t="s">
        <v>29</v>
      </c>
      <c r="F194" s="75"/>
      <c r="G194" s="76"/>
      <c r="H194" s="66"/>
      <c r="I194" s="67"/>
      <c r="J194" s="68">
        <v>1</v>
      </c>
      <c r="K194" s="49"/>
      <c r="L194" s="61"/>
      <c r="M194" s="61"/>
      <c r="N194" s="61"/>
    </row>
    <row r="195" spans="1:14" ht="21.75" customHeight="1" x14ac:dyDescent="0.4">
      <c r="A195" s="55"/>
      <c r="B195" s="56"/>
      <c r="C195" s="56"/>
      <c r="D195" s="73"/>
      <c r="E195" s="75"/>
      <c r="F195" s="74" t="s">
        <v>91</v>
      </c>
      <c r="G195" s="76"/>
      <c r="H195" s="66" t="s">
        <v>16</v>
      </c>
      <c r="I195" s="67">
        <f ca="1">IFERROR(__xludf.DUMMYFUNCTION("IMPORTRANGE(""https://docs.google.com/spreadsheets/d/1C3CXT74ZlgGe6_JY_1olB1XN4rF0dxEuIIF-xsYjHgg/edit?usp=sharing"",""พรบ!BM31"")"),15)</f>
        <v>15</v>
      </c>
      <c r="J195" s="68">
        <v>0</v>
      </c>
      <c r="K195" s="49">
        <f ca="1">IF(I195&gt;0,J195*100/I195,0)</f>
        <v>0</v>
      </c>
      <c r="L195" s="61"/>
      <c r="M195" s="61"/>
      <c r="N195" s="61"/>
    </row>
    <row r="196" spans="1:14" ht="21.75" customHeight="1" x14ac:dyDescent="0.4">
      <c r="A196" s="55"/>
      <c r="B196" s="56"/>
      <c r="C196" s="56"/>
      <c r="D196" s="73"/>
      <c r="E196" s="74" t="s">
        <v>35</v>
      </c>
      <c r="F196" s="75"/>
      <c r="G196" s="76"/>
      <c r="H196" s="66"/>
      <c r="I196" s="67"/>
      <c r="J196" s="68">
        <v>0</v>
      </c>
      <c r="K196" s="49"/>
      <c r="L196" s="61"/>
      <c r="M196" s="61"/>
      <c r="N196" s="61"/>
    </row>
    <row r="197" spans="1:14" ht="21.75" customHeight="1" x14ac:dyDescent="0.4">
      <c r="A197" s="55"/>
      <c r="B197" s="56"/>
      <c r="C197" s="56"/>
      <c r="D197" s="81">
        <v>3</v>
      </c>
      <c r="E197" s="82" t="s">
        <v>36</v>
      </c>
      <c r="F197" s="83"/>
      <c r="G197" s="84"/>
      <c r="H197" s="66"/>
      <c r="I197" s="67"/>
      <c r="J197" s="85">
        <v>0</v>
      </c>
      <c r="K197" s="49"/>
      <c r="L197" s="61"/>
      <c r="M197" s="61"/>
      <c r="N197" s="61"/>
    </row>
    <row r="198" spans="1:14" ht="21.75" customHeight="1" x14ac:dyDescent="0.4">
      <c r="A198" s="166" t="s">
        <v>92</v>
      </c>
      <c r="B198" s="167"/>
      <c r="C198" s="167"/>
      <c r="D198" s="168"/>
      <c r="E198" s="167"/>
      <c r="F198" s="167"/>
      <c r="G198" s="181"/>
      <c r="H198" s="182"/>
      <c r="I198" s="183"/>
      <c r="J198" s="183"/>
      <c r="K198" s="184"/>
      <c r="L198" s="184"/>
      <c r="M198" s="184"/>
      <c r="N198" s="173"/>
    </row>
    <row r="199" spans="1:14" ht="21.75" customHeight="1" x14ac:dyDescent="0.4">
      <c r="A199" s="185"/>
      <c r="B199" s="175" t="s">
        <v>93</v>
      </c>
      <c r="C199" s="186"/>
      <c r="D199" s="187"/>
      <c r="E199" s="175"/>
      <c r="F199" s="175"/>
      <c r="G199" s="176"/>
      <c r="H199" s="177" t="s">
        <v>16</v>
      </c>
      <c r="I199" s="178">
        <f t="shared" ref="I199:J199" ca="1" si="44">I209</f>
        <v>0</v>
      </c>
      <c r="J199" s="178">
        <f t="shared" si="44"/>
        <v>0</v>
      </c>
      <c r="K199" s="179">
        <f ca="1">IF(I199&gt;0,J199*100/I199,0)</f>
        <v>0</v>
      </c>
      <c r="L199" s="180">
        <f ca="1">L200+L201</f>
        <v>0</v>
      </c>
      <c r="M199" s="180">
        <f>SUM(M200:M201)</f>
        <v>0</v>
      </c>
      <c r="N199" s="179">
        <f ca="1">IF(L199&gt;0,M199*100/L199,0)</f>
        <v>0</v>
      </c>
    </row>
    <row r="200" spans="1:14" ht="21.75" customHeight="1" x14ac:dyDescent="0.4">
      <c r="A200" s="42"/>
      <c r="B200" s="43"/>
      <c r="C200" s="43" t="s">
        <v>17</v>
      </c>
      <c r="D200" s="44" t="s">
        <v>18</v>
      </c>
      <c r="E200" s="45"/>
      <c r="F200" s="45"/>
      <c r="G200" s="46" t="s">
        <v>19</v>
      </c>
      <c r="H200" s="47" t="s">
        <v>20</v>
      </c>
      <c r="I200" s="48" t="s">
        <v>21</v>
      </c>
      <c r="J200" s="48"/>
      <c r="K200" s="49"/>
      <c r="L200" s="50">
        <v>0</v>
      </c>
      <c r="M200" s="50">
        <v>0</v>
      </c>
      <c r="N200" s="50">
        <f t="shared" ref="N200:N203" si="45">+IF(L200&gt;0,M200*100/L200,0)</f>
        <v>0</v>
      </c>
    </row>
    <row r="201" spans="1:14" ht="21.75" customHeight="1" x14ac:dyDescent="0.4">
      <c r="A201" s="42"/>
      <c r="B201" s="43"/>
      <c r="C201" s="43"/>
      <c r="D201" s="51"/>
      <c r="E201" s="45"/>
      <c r="F201" s="45" t="s">
        <v>21</v>
      </c>
      <c r="G201" s="46" t="s">
        <v>22</v>
      </c>
      <c r="H201" s="47" t="s">
        <v>20</v>
      </c>
      <c r="I201" s="48"/>
      <c r="J201" s="48"/>
      <c r="K201" s="49"/>
      <c r="L201" s="50">
        <f t="shared" ref="L201:M201" ca="1" si="46">SUM(L202:L203)</f>
        <v>0</v>
      </c>
      <c r="M201" s="50">
        <f t="shared" si="46"/>
        <v>0</v>
      </c>
      <c r="N201" s="50">
        <f t="shared" ca="1" si="45"/>
        <v>0</v>
      </c>
    </row>
    <row r="202" spans="1:14" ht="21.75" customHeight="1" x14ac:dyDescent="0.4">
      <c r="A202" s="42"/>
      <c r="B202" s="43"/>
      <c r="C202" s="43"/>
      <c r="D202" s="51"/>
      <c r="E202" s="45"/>
      <c r="F202" s="45"/>
      <c r="G202" s="52" t="s">
        <v>23</v>
      </c>
      <c r="H202" s="47" t="s">
        <v>20</v>
      </c>
      <c r="I202" s="48"/>
      <c r="J202" s="48"/>
      <c r="K202" s="49"/>
      <c r="L202" s="53">
        <v>0</v>
      </c>
      <c r="M202" s="53">
        <v>0</v>
      </c>
      <c r="N202" s="53">
        <f t="shared" si="45"/>
        <v>0</v>
      </c>
    </row>
    <row r="203" spans="1:14" ht="21.75" customHeight="1" x14ac:dyDescent="0.4">
      <c r="A203" s="42"/>
      <c r="B203" s="43"/>
      <c r="C203" s="43"/>
      <c r="D203" s="51"/>
      <c r="E203" s="45"/>
      <c r="F203" s="45"/>
      <c r="G203" s="52" t="s">
        <v>24</v>
      </c>
      <c r="H203" s="47" t="s">
        <v>20</v>
      </c>
      <c r="I203" s="48"/>
      <c r="J203" s="67"/>
      <c r="K203" s="233"/>
      <c r="L203" s="53">
        <f ca="1">IFERROR(__xludf.DUMMYFUNCTION("IMPORTRANGE(""https://docs.google.com/spreadsheets/d/1C3CXT74ZlgGe6_JY_1olB1XN4rF0dxEuIIF-xsYjHgg/edit?usp=sharing"",""พรบ!BP31"")"),0)</f>
        <v>0</v>
      </c>
      <c r="M203" s="53">
        <v>0</v>
      </c>
      <c r="N203" s="53">
        <f t="shared" ca="1" si="45"/>
        <v>0</v>
      </c>
    </row>
    <row r="204" spans="1:14" ht="21.75" customHeight="1" x14ac:dyDescent="0.4">
      <c r="A204" s="55"/>
      <c r="B204" s="56"/>
      <c r="C204" s="43" t="s">
        <v>17</v>
      </c>
      <c r="D204" s="57" t="s">
        <v>25</v>
      </c>
      <c r="E204" s="58"/>
      <c r="F204" s="58"/>
      <c r="G204" s="59"/>
      <c r="H204" s="60"/>
      <c r="I204" s="48"/>
      <c r="J204" s="67"/>
      <c r="K204" s="233"/>
      <c r="L204" s="53"/>
      <c r="M204" s="53"/>
      <c r="N204" s="61"/>
    </row>
    <row r="205" spans="1:14" ht="21.75" customHeight="1" x14ac:dyDescent="0.4">
      <c r="A205" s="55"/>
      <c r="B205" s="56"/>
      <c r="C205" s="56"/>
      <c r="D205" s="62">
        <v>1</v>
      </c>
      <c r="E205" s="63" t="s">
        <v>26</v>
      </c>
      <c r="F205" s="64"/>
      <c r="G205" s="65"/>
      <c r="H205" s="66"/>
      <c r="I205" s="67"/>
      <c r="J205" s="67">
        <v>0</v>
      </c>
      <c r="K205" s="233"/>
      <c r="L205" s="53"/>
      <c r="M205" s="53"/>
      <c r="N205" s="61"/>
    </row>
    <row r="206" spans="1:14" ht="21.75" customHeight="1" x14ac:dyDescent="0.4">
      <c r="A206" s="55"/>
      <c r="B206" s="56"/>
      <c r="C206" s="56"/>
      <c r="D206" s="69">
        <v>2</v>
      </c>
      <c r="E206" s="70" t="s">
        <v>27</v>
      </c>
      <c r="F206" s="71"/>
      <c r="G206" s="72"/>
      <c r="H206" s="66"/>
      <c r="I206" s="67"/>
      <c r="J206" s="67">
        <v>0</v>
      </c>
      <c r="K206" s="233"/>
      <c r="L206" s="53" t="s">
        <v>21</v>
      </c>
      <c r="M206" s="53" t="s">
        <v>21</v>
      </c>
      <c r="N206" s="61"/>
    </row>
    <row r="207" spans="1:14" ht="21.75" customHeight="1" x14ac:dyDescent="0.4">
      <c r="A207" s="55"/>
      <c r="B207" s="56"/>
      <c r="C207" s="56"/>
      <c r="D207" s="73"/>
      <c r="E207" s="74" t="s">
        <v>28</v>
      </c>
      <c r="F207" s="75"/>
      <c r="G207" s="76"/>
      <c r="H207" s="66"/>
      <c r="I207" s="67"/>
      <c r="J207" s="67">
        <v>0</v>
      </c>
      <c r="K207" s="233"/>
      <c r="L207" s="53"/>
      <c r="M207" s="53"/>
      <c r="N207" s="61"/>
    </row>
    <row r="208" spans="1:14" ht="21.75" customHeight="1" x14ac:dyDescent="0.4">
      <c r="A208" s="55"/>
      <c r="B208" s="56"/>
      <c r="C208" s="56"/>
      <c r="D208" s="73"/>
      <c r="E208" s="74" t="s">
        <v>29</v>
      </c>
      <c r="F208" s="75"/>
      <c r="G208" s="76"/>
      <c r="H208" s="66"/>
      <c r="I208" s="67"/>
      <c r="J208" s="67">
        <v>0</v>
      </c>
      <c r="K208" s="233"/>
      <c r="L208" s="53"/>
      <c r="M208" s="53"/>
      <c r="N208" s="61"/>
    </row>
    <row r="209" spans="1:14" ht="21.75" customHeight="1" x14ac:dyDescent="0.4">
      <c r="A209" s="55"/>
      <c r="B209" s="56"/>
      <c r="C209" s="56"/>
      <c r="D209" s="73"/>
      <c r="E209" s="77"/>
      <c r="F209" s="74" t="s">
        <v>94</v>
      </c>
      <c r="G209" s="76"/>
      <c r="H209" s="60" t="s">
        <v>16</v>
      </c>
      <c r="I209" s="67">
        <f ca="1">IFERROR(__xludf.DUMMYFUNCTION("IMPORTRANGE(""https://docs.google.com/spreadsheets/d/1C3CXT74ZlgGe6_JY_1olB1XN4rF0dxEuIIF-xsYjHgg/edit?usp=sharing"",""พรบ!BQ31"")"),0)</f>
        <v>0</v>
      </c>
      <c r="J209" s="67">
        <v>0</v>
      </c>
      <c r="K209" s="233">
        <f ca="1">IF(I209&gt;0,J209*100/I209,0)</f>
        <v>0</v>
      </c>
      <c r="L209" s="53"/>
      <c r="M209" s="53"/>
      <c r="N209" s="61"/>
    </row>
    <row r="210" spans="1:14" ht="21.75" customHeight="1" x14ac:dyDescent="0.4">
      <c r="A210" s="55"/>
      <c r="B210" s="56"/>
      <c r="C210" s="56"/>
      <c r="D210" s="73"/>
      <c r="E210" s="77"/>
      <c r="F210" s="74" t="s">
        <v>95</v>
      </c>
      <c r="G210" s="76"/>
      <c r="H210" s="60"/>
      <c r="I210" s="67"/>
      <c r="J210" s="67"/>
      <c r="K210" s="233"/>
      <c r="L210" s="53"/>
      <c r="M210" s="53"/>
      <c r="N210" s="61"/>
    </row>
    <row r="211" spans="1:14" ht="21.75" customHeight="1" x14ac:dyDescent="0.4">
      <c r="A211" s="55"/>
      <c r="B211" s="56"/>
      <c r="C211" s="56"/>
      <c r="D211" s="73"/>
      <c r="E211" s="77"/>
      <c r="F211" s="75" t="s">
        <v>34</v>
      </c>
      <c r="G211" s="76"/>
      <c r="H211" s="60" t="s">
        <v>16</v>
      </c>
      <c r="I211" s="67">
        <f ca="1">IFERROR(__xludf.DUMMYFUNCTION("IMPORTRANGE(""https://docs.google.com/spreadsheets/d/1C3CXT74ZlgGe6_JY_1olB1XN4rF0dxEuIIF-xsYjHgg/edit?usp=sharing"",""พรบ!BR31"")"),0)</f>
        <v>0</v>
      </c>
      <c r="J211" s="67">
        <v>0</v>
      </c>
      <c r="K211" s="233">
        <f ca="1">IF(I211&gt;0,J211*100/I211,0)</f>
        <v>0</v>
      </c>
      <c r="L211" s="53"/>
      <c r="M211" s="53"/>
      <c r="N211" s="61"/>
    </row>
    <row r="212" spans="1:14" ht="21.75" customHeight="1" x14ac:dyDescent="0.4">
      <c r="A212" s="55"/>
      <c r="B212" s="56"/>
      <c r="C212" s="56"/>
      <c r="D212" s="73"/>
      <c r="E212" s="74" t="s">
        <v>35</v>
      </c>
      <c r="F212" s="75"/>
      <c r="G212" s="76"/>
      <c r="H212" s="66"/>
      <c r="I212" s="67"/>
      <c r="J212" s="67">
        <v>0</v>
      </c>
      <c r="K212" s="233"/>
      <c r="L212" s="53"/>
      <c r="M212" s="53"/>
      <c r="N212" s="61"/>
    </row>
    <row r="213" spans="1:14" ht="21.75" customHeight="1" x14ac:dyDescent="0.4">
      <c r="A213" s="55"/>
      <c r="B213" s="56"/>
      <c r="C213" s="56"/>
      <c r="D213" s="81">
        <v>3</v>
      </c>
      <c r="E213" s="82" t="s">
        <v>36</v>
      </c>
      <c r="F213" s="83"/>
      <c r="G213" s="84"/>
      <c r="H213" s="66"/>
      <c r="I213" s="67"/>
      <c r="J213" s="385">
        <v>0</v>
      </c>
      <c r="K213" s="233"/>
      <c r="L213" s="53"/>
      <c r="M213" s="53"/>
      <c r="N213" s="61"/>
    </row>
    <row r="214" spans="1:14" ht="21.75" customHeight="1" x14ac:dyDescent="0.4">
      <c r="A214" s="189"/>
      <c r="B214" s="190" t="s">
        <v>96</v>
      </c>
      <c r="C214" s="191"/>
      <c r="D214" s="192"/>
      <c r="E214" s="190"/>
      <c r="F214" s="190"/>
      <c r="G214" s="193"/>
      <c r="H214" s="194" t="s">
        <v>97</v>
      </c>
      <c r="I214" s="195">
        <f t="shared" ref="I214:J214" ca="1" si="47">I224</f>
        <v>0</v>
      </c>
      <c r="J214" s="195">
        <f t="shared" si="47"/>
        <v>0</v>
      </c>
      <c r="K214" s="196">
        <f ca="1">IF(I214&gt;0,J214*100/I214,0)</f>
        <v>0</v>
      </c>
      <c r="L214" s="197">
        <f ca="1">L215+L216</f>
        <v>0</v>
      </c>
      <c r="M214" s="197">
        <f>SUM(M215:M216)</f>
        <v>0</v>
      </c>
      <c r="N214" s="196">
        <f ca="1">IF(L214&gt;0,M214*100/L214,0)</f>
        <v>0</v>
      </c>
    </row>
    <row r="215" spans="1:14" ht="21.75" customHeight="1" x14ac:dyDescent="0.4">
      <c r="A215" s="42"/>
      <c r="B215" s="43"/>
      <c r="C215" s="43" t="s">
        <v>17</v>
      </c>
      <c r="D215" s="44" t="s">
        <v>18</v>
      </c>
      <c r="E215" s="45"/>
      <c r="F215" s="45"/>
      <c r="G215" s="46" t="s">
        <v>19</v>
      </c>
      <c r="H215" s="47" t="s">
        <v>20</v>
      </c>
      <c r="I215" s="48" t="s">
        <v>21</v>
      </c>
      <c r="J215" s="67"/>
      <c r="K215" s="233"/>
      <c r="L215" s="50">
        <v>0</v>
      </c>
      <c r="M215" s="53">
        <v>0</v>
      </c>
      <c r="N215" s="53">
        <f t="shared" ref="N215:N218" si="48">+IF(L215&gt;0,M215*100/L215,0)</f>
        <v>0</v>
      </c>
    </row>
    <row r="216" spans="1:14" ht="21.75" customHeight="1" x14ac:dyDescent="0.4">
      <c r="A216" s="42"/>
      <c r="B216" s="43"/>
      <c r="C216" s="43"/>
      <c r="D216" s="51"/>
      <c r="E216" s="45"/>
      <c r="F216" s="45" t="s">
        <v>21</v>
      </c>
      <c r="G216" s="46" t="s">
        <v>22</v>
      </c>
      <c r="H216" s="47" t="s">
        <v>20</v>
      </c>
      <c r="I216" s="48"/>
      <c r="J216" s="67"/>
      <c r="K216" s="233"/>
      <c r="L216" s="50">
        <f t="shared" ref="L216:M216" ca="1" si="49">SUM(L217:L218)</f>
        <v>0</v>
      </c>
      <c r="M216" s="53">
        <f t="shared" si="49"/>
        <v>0</v>
      </c>
      <c r="N216" s="53">
        <f t="shared" ca="1" si="48"/>
        <v>0</v>
      </c>
    </row>
    <row r="217" spans="1:14" ht="21.75" customHeight="1" x14ac:dyDescent="0.4">
      <c r="A217" s="42"/>
      <c r="B217" s="43"/>
      <c r="C217" s="43"/>
      <c r="D217" s="51"/>
      <c r="E217" s="45"/>
      <c r="F217" s="45"/>
      <c r="G217" s="52" t="s">
        <v>23</v>
      </c>
      <c r="H217" s="47" t="s">
        <v>20</v>
      </c>
      <c r="I217" s="48"/>
      <c r="J217" s="67"/>
      <c r="K217" s="233"/>
      <c r="L217" s="53">
        <v>0</v>
      </c>
      <c r="M217" s="53">
        <v>0</v>
      </c>
      <c r="N217" s="53">
        <f t="shared" si="48"/>
        <v>0</v>
      </c>
    </row>
    <row r="218" spans="1:14" ht="21.75" customHeight="1" x14ac:dyDescent="0.4">
      <c r="A218" s="42"/>
      <c r="B218" s="43"/>
      <c r="C218" s="43"/>
      <c r="D218" s="51"/>
      <c r="E218" s="45"/>
      <c r="F218" s="45"/>
      <c r="G218" s="52" t="s">
        <v>24</v>
      </c>
      <c r="H218" s="47" t="s">
        <v>20</v>
      </c>
      <c r="I218" s="48"/>
      <c r="J218" s="67"/>
      <c r="K218" s="233"/>
      <c r="L218" s="53">
        <f ca="1">IFERROR(__xludf.DUMMYFUNCTION("IMPORTRANGE(""https://docs.google.com/spreadsheets/d/1C3CXT74ZlgGe6_JY_1olB1XN4rF0dxEuIIF-xsYjHgg/edit?usp=sharing"",""พรบ!BU31"")"),0)</f>
        <v>0</v>
      </c>
      <c r="M218" s="53">
        <v>0</v>
      </c>
      <c r="N218" s="53">
        <f t="shared" ca="1" si="48"/>
        <v>0</v>
      </c>
    </row>
    <row r="219" spans="1:14" ht="21.75" customHeight="1" x14ac:dyDescent="0.4">
      <c r="A219" s="55"/>
      <c r="B219" s="56"/>
      <c r="C219" s="43" t="s">
        <v>17</v>
      </c>
      <c r="D219" s="57" t="s">
        <v>25</v>
      </c>
      <c r="E219" s="58"/>
      <c r="F219" s="58"/>
      <c r="G219" s="59"/>
      <c r="H219" s="60"/>
      <c r="I219" s="48"/>
      <c r="J219" s="67"/>
      <c r="K219" s="233"/>
      <c r="L219" s="53"/>
      <c r="M219" s="53"/>
      <c r="N219" s="61"/>
    </row>
    <row r="220" spans="1:14" ht="21.75" customHeight="1" x14ac:dyDescent="0.4">
      <c r="A220" s="55"/>
      <c r="B220" s="56"/>
      <c r="C220" s="56"/>
      <c r="D220" s="62">
        <v>1</v>
      </c>
      <c r="E220" s="63" t="s">
        <v>26</v>
      </c>
      <c r="F220" s="64"/>
      <c r="G220" s="65"/>
      <c r="H220" s="66"/>
      <c r="I220" s="67"/>
      <c r="J220" s="67">
        <v>0</v>
      </c>
      <c r="K220" s="233"/>
      <c r="L220" s="53"/>
      <c r="M220" s="53"/>
      <c r="N220" s="61"/>
    </row>
    <row r="221" spans="1:14" ht="21.75" customHeight="1" x14ac:dyDescent="0.4">
      <c r="A221" s="55"/>
      <c r="B221" s="56"/>
      <c r="C221" s="56"/>
      <c r="D221" s="69">
        <v>2</v>
      </c>
      <c r="E221" s="70" t="s">
        <v>27</v>
      </c>
      <c r="F221" s="71"/>
      <c r="G221" s="72"/>
      <c r="H221" s="66"/>
      <c r="I221" s="67"/>
      <c r="J221" s="67">
        <v>0</v>
      </c>
      <c r="K221" s="233"/>
      <c r="L221" s="53" t="s">
        <v>21</v>
      </c>
      <c r="M221" s="53" t="s">
        <v>21</v>
      </c>
      <c r="N221" s="61"/>
    </row>
    <row r="222" spans="1:14" ht="21.75" customHeight="1" x14ac:dyDescent="0.4">
      <c r="A222" s="55"/>
      <c r="B222" s="56"/>
      <c r="C222" s="56"/>
      <c r="D222" s="73"/>
      <c r="E222" s="74" t="s">
        <v>28</v>
      </c>
      <c r="F222" s="75"/>
      <c r="G222" s="76"/>
      <c r="H222" s="66"/>
      <c r="I222" s="67"/>
      <c r="J222" s="67">
        <v>0</v>
      </c>
      <c r="K222" s="233"/>
      <c r="L222" s="53"/>
      <c r="M222" s="53"/>
      <c r="N222" s="61"/>
    </row>
    <row r="223" spans="1:14" ht="21.75" customHeight="1" x14ac:dyDescent="0.4">
      <c r="A223" s="55"/>
      <c r="B223" s="56"/>
      <c r="C223" s="56"/>
      <c r="D223" s="73"/>
      <c r="E223" s="74" t="s">
        <v>29</v>
      </c>
      <c r="F223" s="75"/>
      <c r="G223" s="76"/>
      <c r="H223" s="66"/>
      <c r="I223" s="67"/>
      <c r="J223" s="67">
        <v>0</v>
      </c>
      <c r="K223" s="233"/>
      <c r="L223" s="53"/>
      <c r="M223" s="53"/>
      <c r="N223" s="61"/>
    </row>
    <row r="224" spans="1:14" ht="21.75" customHeight="1" x14ac:dyDescent="0.4">
      <c r="A224" s="55"/>
      <c r="B224" s="56"/>
      <c r="C224" s="56"/>
      <c r="D224" s="73"/>
      <c r="E224" s="77"/>
      <c r="F224" s="74" t="s">
        <v>98</v>
      </c>
      <c r="G224" s="76"/>
      <c r="H224" s="66" t="s">
        <v>97</v>
      </c>
      <c r="I224" s="67">
        <f ca="1">IFERROR(__xludf.DUMMYFUNCTION("IMPORTRANGE(""https://docs.google.com/spreadsheets/d/1C3CXT74ZlgGe6_JY_1olB1XN4rF0dxEuIIF-xsYjHgg/edit?usp=sharing"",""พรบ!BV31"")"),0)</f>
        <v>0</v>
      </c>
      <c r="J224" s="67">
        <v>0</v>
      </c>
      <c r="K224" s="233">
        <f ca="1">IF(I224&gt;0,J224*100/I224,0)</f>
        <v>0</v>
      </c>
      <c r="L224" s="53"/>
      <c r="M224" s="53"/>
      <c r="N224" s="61"/>
    </row>
    <row r="225" spans="1:14" ht="21.75" customHeight="1" x14ac:dyDescent="0.4">
      <c r="A225" s="55"/>
      <c r="B225" s="56"/>
      <c r="C225" s="56"/>
      <c r="D225" s="73"/>
      <c r="E225" s="74" t="s">
        <v>35</v>
      </c>
      <c r="F225" s="75"/>
      <c r="G225" s="76"/>
      <c r="H225" s="66"/>
      <c r="I225" s="67"/>
      <c r="J225" s="67">
        <v>0</v>
      </c>
      <c r="K225" s="233"/>
      <c r="L225" s="53"/>
      <c r="M225" s="53"/>
      <c r="N225" s="61"/>
    </row>
    <row r="226" spans="1:14" ht="21.75" customHeight="1" x14ac:dyDescent="0.4">
      <c r="A226" s="55"/>
      <c r="B226" s="56"/>
      <c r="C226" s="56"/>
      <c r="D226" s="81">
        <v>3</v>
      </c>
      <c r="E226" s="82" t="s">
        <v>36</v>
      </c>
      <c r="F226" s="83"/>
      <c r="G226" s="84"/>
      <c r="H226" s="66"/>
      <c r="I226" s="67"/>
      <c r="J226" s="360">
        <v>0</v>
      </c>
      <c r="K226" s="233"/>
      <c r="L226" s="53"/>
      <c r="M226" s="53"/>
      <c r="N226" s="61"/>
    </row>
    <row r="227" spans="1:14" ht="21.75" customHeight="1" x14ac:dyDescent="0.4">
      <c r="A227" s="166" t="s">
        <v>99</v>
      </c>
      <c r="B227" s="167"/>
      <c r="C227" s="167"/>
      <c r="D227" s="168"/>
      <c r="E227" s="167"/>
      <c r="F227" s="167"/>
      <c r="G227" s="181"/>
      <c r="H227" s="170"/>
      <c r="I227" s="171"/>
      <c r="J227" s="171"/>
      <c r="K227" s="172"/>
      <c r="L227" s="172"/>
      <c r="M227" s="172"/>
      <c r="N227" s="173"/>
    </row>
    <row r="228" spans="1:14" ht="21.75" customHeight="1" x14ac:dyDescent="0.4">
      <c r="A228" s="174"/>
      <c r="B228" s="175" t="s">
        <v>100</v>
      </c>
      <c r="C228" s="187"/>
      <c r="D228" s="175"/>
      <c r="E228" s="175"/>
      <c r="F228" s="175"/>
      <c r="G228" s="176"/>
      <c r="H228" s="177" t="s">
        <v>16</v>
      </c>
      <c r="I228" s="198">
        <f ca="1">I236</f>
        <v>70</v>
      </c>
      <c r="J228" s="198">
        <f ca="1">J240</f>
        <v>10</v>
      </c>
      <c r="K228" s="179">
        <f ca="1">IF(I228&gt;0,J228*100/I228,0)</f>
        <v>14.285714285714286</v>
      </c>
      <c r="L228" s="180">
        <f ca="1">L229+L230</f>
        <v>825940</v>
      </c>
      <c r="M228" s="180">
        <f>SUM(M229:M230)</f>
        <v>0</v>
      </c>
      <c r="N228" s="179">
        <f ca="1">IF(L228&gt;0,M228*100/L228,0)</f>
        <v>0</v>
      </c>
    </row>
    <row r="229" spans="1:14" ht="21.75" customHeight="1" x14ac:dyDescent="0.4">
      <c r="A229" s="42"/>
      <c r="B229" s="43"/>
      <c r="C229" s="43" t="s">
        <v>17</v>
      </c>
      <c r="D229" s="44" t="s">
        <v>18</v>
      </c>
      <c r="E229" s="45"/>
      <c r="F229" s="45"/>
      <c r="G229" s="46" t="s">
        <v>19</v>
      </c>
      <c r="H229" s="47" t="s">
        <v>20</v>
      </c>
      <c r="I229" s="48" t="s">
        <v>21</v>
      </c>
      <c r="J229" s="48"/>
      <c r="K229" s="49"/>
      <c r="L229" s="50">
        <v>0</v>
      </c>
      <c r="M229" s="53">
        <v>0</v>
      </c>
      <c r="N229" s="53">
        <f t="shared" ref="N229:N232" si="50">+IF(L229&gt;0,M229*100/L229,0)</f>
        <v>0</v>
      </c>
    </row>
    <row r="230" spans="1:14" ht="21.75" customHeight="1" x14ac:dyDescent="0.4">
      <c r="A230" s="42"/>
      <c r="B230" s="43"/>
      <c r="C230" s="43"/>
      <c r="D230" s="51"/>
      <c r="E230" s="45"/>
      <c r="F230" s="45" t="s">
        <v>21</v>
      </c>
      <c r="G230" s="46" t="s">
        <v>22</v>
      </c>
      <c r="H230" s="47" t="s">
        <v>20</v>
      </c>
      <c r="I230" s="48"/>
      <c r="J230" s="48"/>
      <c r="K230" s="49"/>
      <c r="L230" s="50">
        <f t="shared" ref="L230:M230" ca="1" si="51">SUM(L231:L232)</f>
        <v>825940</v>
      </c>
      <c r="M230" s="53">
        <f t="shared" si="51"/>
        <v>0</v>
      </c>
      <c r="N230" s="53">
        <f t="shared" ca="1" si="50"/>
        <v>0</v>
      </c>
    </row>
    <row r="231" spans="1:14" ht="21.75" customHeight="1" x14ac:dyDescent="0.4">
      <c r="A231" s="42"/>
      <c r="B231" s="43"/>
      <c r="C231" s="43"/>
      <c r="D231" s="51"/>
      <c r="E231" s="45"/>
      <c r="F231" s="45"/>
      <c r="G231" s="52" t="s">
        <v>23</v>
      </c>
      <c r="H231" s="47" t="s">
        <v>20</v>
      </c>
      <c r="I231" s="48"/>
      <c r="J231" s="48"/>
      <c r="K231" s="49"/>
      <c r="L231" s="53">
        <f ca="1">IFERROR(__xludf.DUMMYFUNCTION("IMPORTRANGE(""https://docs.google.com/spreadsheets/d/1C3CXT74ZlgGe6_JY_1olB1XN4rF0dxEuIIF-xsYjHgg/edit?usp=sharing"",""พรบ!BX31"")"),574800)</f>
        <v>574800</v>
      </c>
      <c r="M231" s="54">
        <v>0</v>
      </c>
      <c r="N231" s="53">
        <f t="shared" ca="1" si="50"/>
        <v>0</v>
      </c>
    </row>
    <row r="232" spans="1:14" ht="21.75" customHeight="1" x14ac:dyDescent="0.4">
      <c r="A232" s="42"/>
      <c r="B232" s="43"/>
      <c r="C232" s="43"/>
      <c r="D232" s="51"/>
      <c r="E232" s="45"/>
      <c r="F232" s="45"/>
      <c r="G232" s="52" t="s">
        <v>24</v>
      </c>
      <c r="H232" s="47" t="s">
        <v>20</v>
      </c>
      <c r="I232" s="48"/>
      <c r="J232" s="48"/>
      <c r="K232" s="49"/>
      <c r="L232" s="53">
        <f ca="1">IFERROR(__xludf.DUMMYFUNCTION("IMPORTRANGE(""https://docs.google.com/spreadsheets/d/1C3CXT74ZlgGe6_JY_1olB1XN4rF0dxEuIIF-xsYjHgg/edit?usp=sharing"",""พรบ!BY31"")"),251140)</f>
        <v>251140</v>
      </c>
      <c r="M232" s="54">
        <v>0</v>
      </c>
      <c r="N232" s="53">
        <f t="shared" ca="1" si="50"/>
        <v>0</v>
      </c>
    </row>
    <row r="233" spans="1:14" ht="21.75" customHeight="1" x14ac:dyDescent="0.4">
      <c r="A233" s="55"/>
      <c r="B233" s="155"/>
      <c r="C233" s="199" t="s">
        <v>101</v>
      </c>
      <c r="D233" s="75"/>
      <c r="E233" s="75"/>
      <c r="F233" s="75"/>
      <c r="G233" s="76"/>
      <c r="H233" s="60"/>
      <c r="I233" s="200"/>
      <c r="J233" s="200"/>
      <c r="K233" s="201"/>
      <c r="L233" s="61"/>
      <c r="M233" s="61"/>
      <c r="N233" s="202"/>
    </row>
    <row r="234" spans="1:14" ht="21.75" customHeight="1" x14ac:dyDescent="0.4">
      <c r="A234" s="55"/>
      <c r="B234" s="155"/>
      <c r="C234" s="56"/>
      <c r="D234" s="75"/>
      <c r="E234" s="74" t="s">
        <v>102</v>
      </c>
      <c r="F234" s="75"/>
      <c r="G234" s="76"/>
      <c r="H234" s="60" t="s">
        <v>16</v>
      </c>
      <c r="I234" s="67">
        <v>0</v>
      </c>
      <c r="J234" s="67">
        <f ca="1">IFERROR(__xludf.DUMMYFUNCTION("IMPORTRANGE(""https://docs.google.com/spreadsheets/d/1AGHcLOeeYFL3K4b9R1dSzyJy00PE_ra89DNTVfnxSWM/edit?usp=sharing"",""รวมที่ทำกิน!J20"")"),4)</f>
        <v>4</v>
      </c>
      <c r="K234" s="201">
        <f t="shared" ref="K234:K241" si="52">IF(I234&gt;0,J234*100/I234,0)</f>
        <v>0</v>
      </c>
      <c r="L234" s="61"/>
      <c r="M234" s="61"/>
      <c r="N234" s="202"/>
    </row>
    <row r="235" spans="1:14" ht="21.75" customHeight="1" x14ac:dyDescent="0.4">
      <c r="A235" s="55"/>
      <c r="B235" s="155"/>
      <c r="C235" s="56"/>
      <c r="D235" s="75"/>
      <c r="E235" s="75"/>
      <c r="F235" s="75"/>
      <c r="G235" s="76"/>
      <c r="H235" s="60" t="s">
        <v>103</v>
      </c>
      <c r="I235" s="67">
        <f ca="1">IFERROR(__xludf.DUMMYFUNCTION("IMPORTRANGE(""https://docs.google.com/spreadsheets/d/1C3CXT74ZlgGe6_JY_1olB1XN4rF0dxEuIIF-xsYjHgg/edit?usp=sharing"",""พรบ!BZ31"")"),210)</f>
        <v>210</v>
      </c>
      <c r="J235" s="67">
        <f ca="1">IFERROR(__xludf.DUMMYFUNCTION("IMPORTRANGE(""https://docs.google.com/spreadsheets/d/1AGHcLOeeYFL3K4b9R1dSzyJy00PE_ra89DNTVfnxSWM/edit?usp=sharing"",""รวมที่ทำกิน!L20"")"),2.1)</f>
        <v>2.1</v>
      </c>
      <c r="K235" s="201">
        <f t="shared" ca="1" si="52"/>
        <v>1</v>
      </c>
      <c r="L235" s="61"/>
      <c r="M235" s="61"/>
      <c r="N235" s="202"/>
    </row>
    <row r="236" spans="1:14" ht="21.75" customHeight="1" x14ac:dyDescent="0.4">
      <c r="A236" s="55"/>
      <c r="B236" s="155"/>
      <c r="C236" s="56"/>
      <c r="D236" s="75"/>
      <c r="E236" s="74" t="s">
        <v>104</v>
      </c>
      <c r="F236" s="75"/>
      <c r="G236" s="76"/>
      <c r="H236" s="60" t="s">
        <v>16</v>
      </c>
      <c r="I236" s="67">
        <f ca="1">IFERROR(__xludf.DUMMYFUNCTION("IMPORTRANGE(""https://docs.google.com/spreadsheets/d/1C3CXT74ZlgGe6_JY_1olB1XN4rF0dxEuIIF-xsYjHgg/edit?usp=sharing"",""พรบ!CA31"")"),70)</f>
        <v>70</v>
      </c>
      <c r="J236" s="67">
        <f ca="1">IFERROR(__xludf.DUMMYFUNCTION("IMPORTRANGE(""https://docs.google.com/spreadsheets/d/1AGHcLOeeYFL3K4b9R1dSzyJy00PE_ra89DNTVfnxSWM/edit?usp=sharing"",""รวมที่ทำกิน!O20"")"),13)</f>
        <v>13</v>
      </c>
      <c r="K236" s="201">
        <f t="shared" ca="1" si="52"/>
        <v>18.571428571428573</v>
      </c>
      <c r="L236" s="61"/>
      <c r="M236" s="61"/>
      <c r="N236" s="202"/>
    </row>
    <row r="237" spans="1:14" ht="21.75" customHeight="1" x14ac:dyDescent="0.4">
      <c r="A237" s="55"/>
      <c r="B237" s="155"/>
      <c r="C237" s="56"/>
      <c r="D237" s="75"/>
      <c r="E237" s="75"/>
      <c r="F237" s="75"/>
      <c r="G237" s="76"/>
      <c r="H237" s="60" t="s">
        <v>103</v>
      </c>
      <c r="I237" s="200">
        <v>0</v>
      </c>
      <c r="J237" s="67">
        <f ca="1">IFERROR(__xludf.DUMMYFUNCTION("IMPORTRANGE(""https://docs.google.com/spreadsheets/d/1AGHcLOeeYFL3K4b9R1dSzyJy00PE_ra89DNTVfnxSWM/edit?usp=sharing"",""รวมที่ทำกิน!Q20"")"),39.55)</f>
        <v>39.549999999999997</v>
      </c>
      <c r="K237" s="201">
        <f t="shared" si="52"/>
        <v>0</v>
      </c>
      <c r="L237" s="61"/>
      <c r="M237" s="61"/>
      <c r="N237" s="202"/>
    </row>
    <row r="238" spans="1:14" ht="21.75" customHeight="1" x14ac:dyDescent="0.4">
      <c r="A238" s="55"/>
      <c r="B238" s="155"/>
      <c r="C238" s="56"/>
      <c r="D238" s="75"/>
      <c r="E238" s="74" t="s">
        <v>105</v>
      </c>
      <c r="F238" s="75"/>
      <c r="G238" s="76"/>
      <c r="H238" s="60" t="s">
        <v>16</v>
      </c>
      <c r="I238" s="67">
        <f ca="1">IFERROR(__xludf.DUMMYFUNCTION("IMPORTRANGE(""https://docs.google.com/spreadsheets/d/1C3CXT74ZlgGe6_JY_1olB1XN4rF0dxEuIIF-xsYjHgg/edit?usp=sharing"",""พรบ!CB31"")"),70)</f>
        <v>70</v>
      </c>
      <c r="J238" s="67">
        <f ca="1">IFERROR(__xludf.DUMMYFUNCTION("IMPORTRANGE(""https://docs.google.com/spreadsheets/d/1AGHcLOeeYFL3K4b9R1dSzyJy00PE_ra89DNTVfnxSWM/edit?usp=sharing"",""รวมที่ทำกิน!S20"")"),0)</f>
        <v>0</v>
      </c>
      <c r="K238" s="201">
        <f t="shared" ca="1" si="52"/>
        <v>0</v>
      </c>
      <c r="L238" s="61"/>
      <c r="M238" s="61"/>
      <c r="N238" s="202"/>
    </row>
    <row r="239" spans="1:14" ht="21.75" customHeight="1" x14ac:dyDescent="0.4">
      <c r="A239" s="55"/>
      <c r="B239" s="155"/>
      <c r="C239" s="56"/>
      <c r="D239" s="75"/>
      <c r="E239" s="75"/>
      <c r="F239" s="75"/>
      <c r="G239" s="76"/>
      <c r="H239" s="60" t="s">
        <v>103</v>
      </c>
      <c r="I239" s="200">
        <v>0</v>
      </c>
      <c r="J239" s="67">
        <f ca="1">IFERROR(__xludf.DUMMYFUNCTION("IMPORTRANGE(""https://docs.google.com/spreadsheets/d/1AGHcLOeeYFL3K4b9R1dSzyJy00PE_ra89DNTVfnxSWM/edit?usp=sharing"",""รวมที่ทำกิน!U20"")"),0)</f>
        <v>0</v>
      </c>
      <c r="K239" s="201">
        <f t="shared" si="52"/>
        <v>0</v>
      </c>
      <c r="L239" s="61"/>
      <c r="M239" s="61"/>
      <c r="N239" s="202"/>
    </row>
    <row r="240" spans="1:14" ht="21.75" customHeight="1" x14ac:dyDescent="0.4">
      <c r="A240" s="55"/>
      <c r="B240" s="155"/>
      <c r="C240" s="56"/>
      <c r="D240" s="75"/>
      <c r="E240" s="74" t="s">
        <v>106</v>
      </c>
      <c r="F240" s="75"/>
      <c r="G240" s="76"/>
      <c r="H240" s="60" t="s">
        <v>16</v>
      </c>
      <c r="I240" s="67">
        <f ca="1">IFERROR(__xludf.DUMMYFUNCTION("IMPORTRANGE(""https://docs.google.com/spreadsheets/d/1C3CXT74ZlgGe6_JY_1olB1XN4rF0dxEuIIF-xsYjHgg/edit?usp=sharing"",""พรบ!CC31"")"),70)</f>
        <v>70</v>
      </c>
      <c r="J240" s="67">
        <f ca="1">IFERROR(__xludf.DUMMYFUNCTION("IMPORTRANGE(""https://docs.google.com/spreadsheets/d/1AGHcLOeeYFL3K4b9R1dSzyJy00PE_ra89DNTVfnxSWM/edit?usp=sharing"",""รวมที่ทำกิน!W20"")"),10)</f>
        <v>10</v>
      </c>
      <c r="K240" s="201">
        <f t="shared" ca="1" si="52"/>
        <v>14.285714285714286</v>
      </c>
      <c r="L240" s="61"/>
      <c r="M240" s="61"/>
      <c r="N240" s="202"/>
    </row>
    <row r="241" spans="1:14" ht="21.75" customHeight="1" x14ac:dyDescent="0.4">
      <c r="A241" s="105"/>
      <c r="B241" s="203"/>
      <c r="C241" s="106"/>
      <c r="D241" s="203"/>
      <c r="E241" s="204"/>
      <c r="F241" s="204"/>
      <c r="G241" s="205"/>
      <c r="H241" s="206" t="s">
        <v>103</v>
      </c>
      <c r="I241" s="207">
        <v>0</v>
      </c>
      <c r="J241" s="67">
        <f ca="1">IFERROR(__xludf.DUMMYFUNCTION("IMPORTRANGE(""https://docs.google.com/spreadsheets/d/1AGHcLOeeYFL3K4b9R1dSzyJy00PE_ra89DNTVfnxSWM/edit?usp=sharing"",""รวมที่ทำกิน!Y20"")"),38.04)</f>
        <v>38.04</v>
      </c>
      <c r="K241" s="201">
        <f t="shared" si="52"/>
        <v>0</v>
      </c>
      <c r="L241" s="115"/>
      <c r="M241" s="115"/>
      <c r="N241" s="208"/>
    </row>
    <row r="242" spans="1:14" ht="21.75" customHeight="1" x14ac:dyDescent="0.4">
      <c r="A242" s="209" t="s">
        <v>107</v>
      </c>
      <c r="B242" s="210"/>
      <c r="C242" s="210"/>
      <c r="D242" s="210"/>
      <c r="E242" s="210"/>
      <c r="F242" s="210"/>
      <c r="G242" s="211"/>
      <c r="H242" s="212"/>
      <c r="I242" s="213"/>
      <c r="J242" s="213"/>
      <c r="K242" s="214"/>
      <c r="L242" s="214">
        <f t="shared" ref="L242:M242" ca="1" si="53">SUM(L244,L275,L296,L330,L350,L426,L444,L457,L473,L490)</f>
        <v>1077527</v>
      </c>
      <c r="M242" s="214">
        <f t="shared" si="53"/>
        <v>58541</v>
      </c>
      <c r="N242" s="214">
        <f ca="1">+IF(L242&gt;0,M242*100/L242,0)</f>
        <v>5.432903305439214</v>
      </c>
    </row>
    <row r="243" spans="1:14" ht="21.75" customHeight="1" x14ac:dyDescent="0.4">
      <c r="A243" s="215" t="s">
        <v>108</v>
      </c>
      <c r="B243" s="216"/>
      <c r="C243" s="216"/>
      <c r="D243" s="216"/>
      <c r="E243" s="216"/>
      <c r="F243" s="216"/>
      <c r="G243" s="217"/>
      <c r="H243" s="218"/>
      <c r="I243" s="219"/>
      <c r="J243" s="219"/>
      <c r="K243" s="220"/>
      <c r="L243" s="220"/>
      <c r="M243" s="220"/>
      <c r="N243" s="221"/>
    </row>
    <row r="244" spans="1:14" ht="21.75" customHeight="1" x14ac:dyDescent="0.4">
      <c r="A244" s="222"/>
      <c r="B244" s="223">
        <v>1</v>
      </c>
      <c r="C244" s="224" t="s">
        <v>109</v>
      </c>
      <c r="D244" s="224"/>
      <c r="E244" s="224"/>
      <c r="F244" s="224"/>
      <c r="G244" s="225"/>
      <c r="H244" s="226" t="s">
        <v>103</v>
      </c>
      <c r="I244" s="227">
        <f t="shared" ref="I244:J244" ca="1" si="54">I270</f>
        <v>110</v>
      </c>
      <c r="J244" s="227">
        <f t="shared" si="54"/>
        <v>0</v>
      </c>
      <c r="K244" s="228">
        <f t="shared" ref="K244:K245" ca="1" si="55">IF(I244&gt;0,J244*100/I244,0)</f>
        <v>0</v>
      </c>
      <c r="L244" s="229">
        <f t="shared" ref="L244:M244" ca="1" si="56">SUM(L246:L247)</f>
        <v>353580</v>
      </c>
      <c r="M244" s="229">
        <f t="shared" si="56"/>
        <v>10236</v>
      </c>
      <c r="N244" s="229">
        <f ca="1">+IF(L244&gt;0,M244*100/L244,0)</f>
        <v>2.8949601221788561</v>
      </c>
    </row>
    <row r="245" spans="1:14" ht="21.75" customHeight="1" x14ac:dyDescent="0.4">
      <c r="A245" s="222"/>
      <c r="B245" s="223"/>
      <c r="C245" s="224"/>
      <c r="D245" s="224"/>
      <c r="E245" s="224"/>
      <c r="F245" s="224"/>
      <c r="G245" s="225"/>
      <c r="H245" s="226" t="s">
        <v>16</v>
      </c>
      <c r="I245" s="227">
        <f ca="1">I263</f>
        <v>50</v>
      </c>
      <c r="J245" s="227">
        <f>+J263</f>
        <v>0</v>
      </c>
      <c r="K245" s="228">
        <f t="shared" ca="1" si="55"/>
        <v>0</v>
      </c>
      <c r="L245" s="229"/>
      <c r="M245" s="229"/>
      <c r="N245" s="229"/>
    </row>
    <row r="246" spans="1:14" ht="21.75" customHeight="1" x14ac:dyDescent="0.4">
      <c r="A246" s="42"/>
      <c r="B246" s="43"/>
      <c r="C246" s="43" t="s">
        <v>17</v>
      </c>
      <c r="D246" s="44" t="s">
        <v>18</v>
      </c>
      <c r="E246" s="45"/>
      <c r="F246" s="45"/>
      <c r="G246" s="46" t="s">
        <v>19</v>
      </c>
      <c r="H246" s="47" t="s">
        <v>20</v>
      </c>
      <c r="I246" s="48" t="s">
        <v>21</v>
      </c>
      <c r="J246" s="48"/>
      <c r="K246" s="49"/>
      <c r="L246" s="50">
        <v>0</v>
      </c>
      <c r="M246" s="50">
        <v>0</v>
      </c>
      <c r="N246" s="50">
        <f t="shared" ref="N246:N249" si="57">+IF(L246&gt;0,M246*100/L246,0)</f>
        <v>0</v>
      </c>
    </row>
    <row r="247" spans="1:14" ht="21.75" customHeight="1" x14ac:dyDescent="0.4">
      <c r="A247" s="42"/>
      <c r="B247" s="43"/>
      <c r="C247" s="43"/>
      <c r="D247" s="51"/>
      <c r="E247" s="45"/>
      <c r="F247" s="45" t="s">
        <v>21</v>
      </c>
      <c r="G247" s="46" t="s">
        <v>22</v>
      </c>
      <c r="H247" s="47" t="s">
        <v>20</v>
      </c>
      <c r="I247" s="48"/>
      <c r="J247" s="48"/>
      <c r="K247" s="49"/>
      <c r="L247" s="50">
        <f t="shared" ref="L247:M247" ca="1" si="58">SUM(L248:L249)</f>
        <v>353580</v>
      </c>
      <c r="M247" s="50">
        <f t="shared" si="58"/>
        <v>10236</v>
      </c>
      <c r="N247" s="50">
        <f t="shared" ca="1" si="57"/>
        <v>2.8949601221788561</v>
      </c>
    </row>
    <row r="248" spans="1:14" ht="21.75" customHeight="1" x14ac:dyDescent="0.4">
      <c r="A248" s="42"/>
      <c r="B248" s="43"/>
      <c r="C248" s="43"/>
      <c r="D248" s="51"/>
      <c r="E248" s="45"/>
      <c r="F248" s="45"/>
      <c r="G248" s="52" t="s">
        <v>110</v>
      </c>
      <c r="H248" s="47" t="s">
        <v>20</v>
      </c>
      <c r="I248" s="48"/>
      <c r="J248" s="48"/>
      <c r="K248" s="49"/>
      <c r="L248" s="53">
        <f ca="1">IFERROR(__xludf.DUMMYFUNCTION("IMPORTRANGE(""https://docs.google.com/spreadsheets/d/1C3CXT74ZlgGe6_JY_1olB1XN4rF0dxEuIIF-xsYjHgg/edit?usp=sharing"",""งบกองทุน!d31"")"),0)</f>
        <v>0</v>
      </c>
      <c r="M248" s="53">
        <v>0</v>
      </c>
      <c r="N248" s="53">
        <f t="shared" ca="1" si="57"/>
        <v>0</v>
      </c>
    </row>
    <row r="249" spans="1:14" ht="21.75" customHeight="1" x14ac:dyDescent="0.4">
      <c r="A249" s="42"/>
      <c r="B249" s="43"/>
      <c r="C249" s="43"/>
      <c r="D249" s="51"/>
      <c r="E249" s="45"/>
      <c r="F249" s="45"/>
      <c r="G249" s="52" t="s">
        <v>111</v>
      </c>
      <c r="H249" s="47" t="s">
        <v>20</v>
      </c>
      <c r="I249" s="48"/>
      <c r="J249" s="48"/>
      <c r="K249" s="49"/>
      <c r="L249" s="53">
        <f ca="1">IFERROR(__xludf.DUMMYFUNCTION("IMPORTRANGE(""https://docs.google.com/spreadsheets/d/1C3CXT74ZlgGe6_JY_1olB1XN4rF0dxEuIIF-xsYjHgg/edit?usp=sharing"",""งบกองทุน!e31"")"),353580)</f>
        <v>353580</v>
      </c>
      <c r="M249" s="53">
        <f>SUM(M250:M253)</f>
        <v>10236</v>
      </c>
      <c r="N249" s="53">
        <f t="shared" ca="1" si="57"/>
        <v>2.8949601221788561</v>
      </c>
    </row>
    <row r="250" spans="1:14" ht="21.75" customHeight="1" x14ac:dyDescent="0.4">
      <c r="A250" s="230"/>
      <c r="B250" s="231"/>
      <c r="C250" s="43"/>
      <c r="D250" s="232"/>
      <c r="E250" s="45"/>
      <c r="F250" s="45"/>
      <c r="G250" s="46" t="s">
        <v>112</v>
      </c>
      <c r="H250" s="47" t="s">
        <v>20</v>
      </c>
      <c r="I250" s="67"/>
      <c r="J250" s="67"/>
      <c r="K250" s="233"/>
      <c r="L250" s="53"/>
      <c r="M250" s="54">
        <v>0</v>
      </c>
      <c r="N250" s="53"/>
    </row>
    <row r="251" spans="1:14" ht="21.75" customHeight="1" x14ac:dyDescent="0.4">
      <c r="A251" s="230"/>
      <c r="B251" s="231"/>
      <c r="C251" s="43"/>
      <c r="D251" s="232"/>
      <c r="E251" s="45"/>
      <c r="F251" s="45"/>
      <c r="G251" s="46" t="s">
        <v>113</v>
      </c>
      <c r="H251" s="47" t="s">
        <v>20</v>
      </c>
      <c r="I251" s="67"/>
      <c r="J251" s="67"/>
      <c r="K251" s="233"/>
      <c r="L251" s="53"/>
      <c r="M251" s="54">
        <v>0</v>
      </c>
      <c r="N251" s="53"/>
    </row>
    <row r="252" spans="1:14" ht="21.75" customHeight="1" x14ac:dyDescent="0.4">
      <c r="A252" s="230"/>
      <c r="B252" s="231"/>
      <c r="C252" s="43"/>
      <c r="D252" s="232"/>
      <c r="E252" s="45"/>
      <c r="F252" s="45"/>
      <c r="G252" s="46" t="s">
        <v>114</v>
      </c>
      <c r="H252" s="47" t="s">
        <v>20</v>
      </c>
      <c r="I252" s="67"/>
      <c r="J252" s="67"/>
      <c r="K252" s="233"/>
      <c r="L252" s="53"/>
      <c r="M252" s="54">
        <v>8516</v>
      </c>
      <c r="N252" s="53"/>
    </row>
    <row r="253" spans="1:14" ht="21.75" customHeight="1" x14ac:dyDescent="0.4">
      <c r="A253" s="230"/>
      <c r="B253" s="231"/>
      <c r="C253" s="43"/>
      <c r="D253" s="232"/>
      <c r="E253" s="45"/>
      <c r="F253" s="45"/>
      <c r="G253" s="46" t="s">
        <v>115</v>
      </c>
      <c r="H253" s="47" t="s">
        <v>20</v>
      </c>
      <c r="I253" s="67"/>
      <c r="J253" s="67"/>
      <c r="K253" s="233"/>
      <c r="L253" s="53"/>
      <c r="M253" s="54">
        <v>1720</v>
      </c>
      <c r="N253" s="53"/>
    </row>
    <row r="254" spans="1:14" ht="21.75" customHeight="1" x14ac:dyDescent="0.4">
      <c r="A254" s="55"/>
      <c r="B254" s="56"/>
      <c r="C254" s="43" t="s">
        <v>17</v>
      </c>
      <c r="D254" s="57" t="s">
        <v>25</v>
      </c>
      <c r="E254" s="58"/>
      <c r="F254" s="58"/>
      <c r="G254" s="59"/>
      <c r="H254" s="60"/>
      <c r="I254" s="48"/>
      <c r="J254" s="48"/>
      <c r="K254" s="49"/>
      <c r="L254" s="61"/>
      <c r="M254" s="61"/>
      <c r="N254" s="61"/>
    </row>
    <row r="255" spans="1:14" ht="21.75" customHeight="1" x14ac:dyDescent="0.4">
      <c r="A255" s="55"/>
      <c r="B255" s="56"/>
      <c r="C255" s="56"/>
      <c r="D255" s="62">
        <v>1</v>
      </c>
      <c r="E255" s="63" t="s">
        <v>26</v>
      </c>
      <c r="F255" s="64"/>
      <c r="G255" s="65"/>
      <c r="H255" s="66"/>
      <c r="I255" s="67"/>
      <c r="J255" s="68">
        <v>0</v>
      </c>
      <c r="K255" s="49"/>
      <c r="L255" s="61"/>
      <c r="M255" s="61"/>
      <c r="N255" s="61"/>
    </row>
    <row r="256" spans="1:14" ht="21.75" customHeight="1" x14ac:dyDescent="0.4">
      <c r="A256" s="55"/>
      <c r="B256" s="56"/>
      <c r="C256" s="56"/>
      <c r="D256" s="69">
        <v>2</v>
      </c>
      <c r="E256" s="70" t="s">
        <v>27</v>
      </c>
      <c r="F256" s="71"/>
      <c r="G256" s="72"/>
      <c r="H256" s="66"/>
      <c r="I256" s="67"/>
      <c r="J256" s="68">
        <v>1</v>
      </c>
      <c r="K256" s="49"/>
      <c r="L256" s="61" t="s">
        <v>21</v>
      </c>
      <c r="M256" s="61" t="s">
        <v>21</v>
      </c>
      <c r="N256" s="61"/>
    </row>
    <row r="257" spans="1:14" ht="21.75" customHeight="1" x14ac:dyDescent="0.4">
      <c r="A257" s="55"/>
      <c r="B257" s="56"/>
      <c r="C257" s="56"/>
      <c r="D257" s="73"/>
      <c r="E257" s="74" t="s">
        <v>28</v>
      </c>
      <c r="F257" s="75"/>
      <c r="G257" s="76"/>
      <c r="H257" s="66"/>
      <c r="I257" s="67"/>
      <c r="J257" s="68">
        <v>1</v>
      </c>
      <c r="K257" s="49"/>
      <c r="L257" s="61"/>
      <c r="M257" s="61"/>
      <c r="N257" s="61"/>
    </row>
    <row r="258" spans="1:14" ht="21.75" customHeight="1" x14ac:dyDescent="0.4">
      <c r="A258" s="55"/>
      <c r="B258" s="56"/>
      <c r="C258" s="56"/>
      <c r="D258" s="73"/>
      <c r="E258" s="74" t="s">
        <v>29</v>
      </c>
      <c r="F258" s="75"/>
      <c r="G258" s="76"/>
      <c r="H258" s="66"/>
      <c r="I258" s="67"/>
      <c r="J258" s="68">
        <v>0</v>
      </c>
      <c r="K258" s="49"/>
      <c r="L258" s="61"/>
      <c r="M258" s="61"/>
      <c r="N258" s="61"/>
    </row>
    <row r="259" spans="1:14" ht="21.75" hidden="1" customHeight="1" x14ac:dyDescent="0.4">
      <c r="A259" s="55"/>
      <c r="B259" s="56"/>
      <c r="C259" s="56"/>
      <c r="D259" s="73"/>
      <c r="E259" s="77"/>
      <c r="F259" s="74" t="s">
        <v>50</v>
      </c>
      <c r="G259" s="76"/>
      <c r="H259" s="60"/>
      <c r="I259" s="67"/>
      <c r="J259" s="67">
        <f>+J260+J263+J268</f>
        <v>0</v>
      </c>
      <c r="K259" s="49"/>
      <c r="L259" s="61"/>
      <c r="M259" s="61"/>
      <c r="N259" s="61"/>
    </row>
    <row r="260" spans="1:14" ht="21.75" hidden="1" customHeight="1" x14ac:dyDescent="0.4">
      <c r="A260" s="55"/>
      <c r="B260" s="56"/>
      <c r="C260" s="56"/>
      <c r="D260" s="73"/>
      <c r="E260" s="77"/>
      <c r="F260" s="75"/>
      <c r="G260" s="99" t="s">
        <v>116</v>
      </c>
      <c r="H260" s="60" t="s">
        <v>16</v>
      </c>
      <c r="I260" s="67">
        <f ca="1">IFERROR(__xludf.DUMMYFUNCTION("IMPORTRANGE(""https://docs.google.com/spreadsheets/d/1C3CXT74ZlgGe6_JY_1olB1XN4rF0dxEuIIF-xsYjHgg/edit?usp=sharing"",""งบกองทุน!f31"")"),0)</f>
        <v>0</v>
      </c>
      <c r="J260" s="67">
        <v>0</v>
      </c>
      <c r="K260" s="49">
        <f ca="1">IF(I260&gt;0,J260*100/I260,0)</f>
        <v>0</v>
      </c>
      <c r="L260" s="61"/>
      <c r="M260" s="61"/>
      <c r="N260" s="61"/>
    </row>
    <row r="261" spans="1:14" ht="21.75" hidden="1" customHeight="1" x14ac:dyDescent="0.4">
      <c r="A261" s="55"/>
      <c r="B261" s="56"/>
      <c r="C261" s="56"/>
      <c r="D261" s="73"/>
      <c r="E261" s="77"/>
      <c r="F261" s="75"/>
      <c r="G261" s="76" t="s">
        <v>117</v>
      </c>
      <c r="H261" s="60"/>
      <c r="I261" s="48"/>
      <c r="J261" s="67"/>
      <c r="K261" s="49"/>
      <c r="L261" s="61"/>
      <c r="M261" s="61"/>
      <c r="N261" s="61"/>
    </row>
    <row r="262" spans="1:14" ht="21.75" hidden="1" customHeight="1" x14ac:dyDescent="0.4">
      <c r="A262" s="55"/>
      <c r="B262" s="56"/>
      <c r="C262" s="56"/>
      <c r="D262" s="73"/>
      <c r="E262" s="77"/>
      <c r="F262" s="75"/>
      <c r="G262" s="99" t="s">
        <v>118</v>
      </c>
      <c r="H262" s="66" t="s">
        <v>103</v>
      </c>
      <c r="I262" s="67">
        <f t="shared" ref="I262:J262" ca="1" si="59">SUM(I264,I266)</f>
        <v>110</v>
      </c>
      <c r="J262" s="67">
        <f t="shared" si="59"/>
        <v>0</v>
      </c>
      <c r="K262" s="49">
        <f t="shared" ref="K262:K268" ca="1" si="60">IF(I262&gt;0,J262*100/I262,0)</f>
        <v>0</v>
      </c>
      <c r="L262" s="61"/>
      <c r="M262" s="61"/>
      <c r="N262" s="61"/>
    </row>
    <row r="263" spans="1:14" ht="21.75" customHeight="1" x14ac:dyDescent="0.4">
      <c r="A263" s="55"/>
      <c r="B263" s="56"/>
      <c r="C263" s="56"/>
      <c r="D263" s="73"/>
      <c r="E263" s="77"/>
      <c r="F263" s="99" t="s">
        <v>119</v>
      </c>
      <c r="G263" s="76"/>
      <c r="H263" s="66" t="s">
        <v>16</v>
      </c>
      <c r="I263" s="48">
        <f ca="1">IFERROR(__xludf.DUMMYFUNCTION("IMPORTRANGE(""https://docs.google.com/spreadsheets/d/1C3CXT74ZlgGe6_JY_1olB1XN4rF0dxEuIIF-xsYjHgg/edit?usp=sharing"",""งบกองทุน!H31"")"),50)</f>
        <v>50</v>
      </c>
      <c r="J263" s="67">
        <f>J267</f>
        <v>0</v>
      </c>
      <c r="K263" s="49">
        <f t="shared" ca="1" si="60"/>
        <v>0</v>
      </c>
      <c r="L263" s="61"/>
      <c r="M263" s="61"/>
      <c r="N263" s="61"/>
    </row>
    <row r="264" spans="1:14" ht="21.75" hidden="1" customHeight="1" x14ac:dyDescent="0.4">
      <c r="A264" s="55"/>
      <c r="B264" s="56"/>
      <c r="C264" s="56"/>
      <c r="D264" s="73"/>
      <c r="E264" s="77"/>
      <c r="F264" s="75"/>
      <c r="H264" s="60" t="s">
        <v>103</v>
      </c>
      <c r="I264" s="48">
        <f ca="1">IFERROR(__xludf.DUMMYFUNCTION("IMPORTRANGE(""https://docs.google.com/spreadsheets/d/1C3CXT74ZlgGe6_JY_1olB1XN4rF0dxEuIIF-xsYjHgg/edit?usp=sharing"",""งบกองทุน!i31"")"),50)</f>
        <v>50</v>
      </c>
      <c r="J264" s="68">
        <v>0</v>
      </c>
      <c r="K264" s="49">
        <f t="shared" ca="1" si="60"/>
        <v>0</v>
      </c>
      <c r="L264" s="61"/>
      <c r="M264" s="61"/>
      <c r="N264" s="61"/>
    </row>
    <row r="265" spans="1:14" ht="21.75" customHeight="1" x14ac:dyDescent="0.4">
      <c r="A265" s="55"/>
      <c r="B265" s="56"/>
      <c r="C265" s="56"/>
      <c r="D265" s="73"/>
      <c r="E265" s="77"/>
      <c r="F265" s="75"/>
      <c r="G265" s="99" t="s">
        <v>219</v>
      </c>
      <c r="H265" s="60" t="s">
        <v>16</v>
      </c>
      <c r="I265" s="48">
        <f ca="1">I263</f>
        <v>50</v>
      </c>
      <c r="J265" s="68">
        <v>0</v>
      </c>
      <c r="K265" s="49">
        <f t="shared" ca="1" si="60"/>
        <v>0</v>
      </c>
      <c r="L265" s="61"/>
      <c r="M265" s="61"/>
      <c r="N265" s="61"/>
    </row>
    <row r="266" spans="1:14" ht="21.75" hidden="1" customHeight="1" x14ac:dyDescent="0.4">
      <c r="A266" s="55"/>
      <c r="B266" s="56"/>
      <c r="C266" s="56"/>
      <c r="D266" s="73"/>
      <c r="E266" s="77"/>
      <c r="F266" s="75"/>
      <c r="G266" s="76"/>
      <c r="H266" s="60" t="s">
        <v>103</v>
      </c>
      <c r="I266" s="48">
        <f ca="1">IFERROR(__xludf.DUMMYFUNCTION("IMPORTRANGE(""https://docs.google.com/spreadsheets/d/1C3CXT74ZlgGe6_JY_1olB1XN4rF0dxEuIIF-xsYjHgg/edit?usp=sharing"",""งบกองทุน!k31"")"),60)</f>
        <v>60</v>
      </c>
      <c r="J266" s="68">
        <v>0</v>
      </c>
      <c r="K266" s="49">
        <f t="shared" ca="1" si="60"/>
        <v>0</v>
      </c>
      <c r="L266" s="61"/>
      <c r="M266" s="61"/>
      <c r="N266" s="61"/>
    </row>
    <row r="267" spans="1:14" ht="21.75" customHeight="1" x14ac:dyDescent="0.4">
      <c r="A267" s="55"/>
      <c r="B267" s="56"/>
      <c r="C267" s="56"/>
      <c r="D267" s="73"/>
      <c r="E267" s="77"/>
      <c r="F267" s="75"/>
      <c r="G267" s="76" t="s">
        <v>220</v>
      </c>
      <c r="H267" s="60" t="s">
        <v>16</v>
      </c>
      <c r="I267" s="48">
        <f ca="1">I265</f>
        <v>50</v>
      </c>
      <c r="J267" s="68">
        <v>0</v>
      </c>
      <c r="K267" s="49">
        <f t="shared" ca="1" si="60"/>
        <v>0</v>
      </c>
      <c r="L267" s="61"/>
      <c r="M267" s="61"/>
      <c r="N267" s="61"/>
    </row>
    <row r="268" spans="1:14" ht="21.75" hidden="1" customHeight="1" x14ac:dyDescent="0.4">
      <c r="A268" s="55"/>
      <c r="B268" s="56"/>
      <c r="C268" s="56"/>
      <c r="D268" s="73"/>
      <c r="E268" s="77"/>
      <c r="F268" s="75"/>
      <c r="G268" s="99" t="s">
        <v>122</v>
      </c>
      <c r="H268" s="60" t="s">
        <v>16</v>
      </c>
      <c r="I268" s="67">
        <f ca="1">IFERROR(__xludf.DUMMYFUNCTION("IMPORTRANGE(""https://docs.google.com/spreadsheets/d/1C3CXT74ZlgGe6_JY_1olB1XN4rF0dxEuIIF-xsYjHgg/edit?usp=sharing"",""งบกองทุน!m31"")"),0)</f>
        <v>0</v>
      </c>
      <c r="J268" s="67">
        <v>0</v>
      </c>
      <c r="K268" s="49">
        <f t="shared" ca="1" si="60"/>
        <v>0</v>
      </c>
      <c r="L268" s="61"/>
      <c r="M268" s="61"/>
      <c r="N268" s="61"/>
    </row>
    <row r="269" spans="1:14" ht="21.75" hidden="1" customHeight="1" x14ac:dyDescent="0.4">
      <c r="A269" s="55"/>
      <c r="B269" s="56"/>
      <c r="C269" s="56"/>
      <c r="D269" s="73"/>
      <c r="E269" s="77"/>
      <c r="F269" s="75"/>
      <c r="G269" s="76" t="s">
        <v>123</v>
      </c>
      <c r="H269" s="60"/>
      <c r="I269" s="67"/>
      <c r="J269" s="67"/>
      <c r="K269" s="49"/>
      <c r="L269" s="61"/>
      <c r="M269" s="61"/>
      <c r="N269" s="61"/>
    </row>
    <row r="270" spans="1:14" ht="21.75" customHeight="1" x14ac:dyDescent="0.4">
      <c r="A270" s="55"/>
      <c r="B270" s="56"/>
      <c r="C270" s="56"/>
      <c r="D270" s="73"/>
      <c r="E270" s="75"/>
      <c r="F270" s="74" t="s">
        <v>34</v>
      </c>
      <c r="G270" s="76"/>
      <c r="H270" s="66" t="s">
        <v>103</v>
      </c>
      <c r="I270" s="67">
        <f t="shared" ref="I270:J270" ca="1" si="61">SUM(I271:I272)</f>
        <v>110</v>
      </c>
      <c r="J270" s="67">
        <f t="shared" si="61"/>
        <v>0</v>
      </c>
      <c r="K270" s="49">
        <f t="shared" ref="K270:K272" ca="1" si="62">IF(I270&gt;0,J270*100/I270,0)</f>
        <v>0</v>
      </c>
      <c r="L270" s="61"/>
      <c r="M270" s="61"/>
      <c r="N270" s="61"/>
    </row>
    <row r="271" spans="1:14" ht="21.75" customHeight="1" x14ac:dyDescent="0.4">
      <c r="A271" s="55"/>
      <c r="B271" s="56"/>
      <c r="C271" s="56"/>
      <c r="D271" s="73"/>
      <c r="E271" s="75"/>
      <c r="F271" s="75"/>
      <c r="G271" s="76" t="s">
        <v>124</v>
      </c>
      <c r="H271" s="66" t="s">
        <v>103</v>
      </c>
      <c r="I271" s="67">
        <f ca="1">IFERROR(__xludf.DUMMYFUNCTION("IMPORTRANGE(""https://docs.google.com/spreadsheets/d/1C3CXT74ZlgGe6_JY_1olB1XN4rF0dxEuIIF-xsYjHgg/edit?usp=sharing"",""งบกองทุน!o31"")"),60)</f>
        <v>60</v>
      </c>
      <c r="J271" s="68">
        <v>0</v>
      </c>
      <c r="K271" s="49">
        <f t="shared" ca="1" si="62"/>
        <v>0</v>
      </c>
      <c r="L271" s="61"/>
      <c r="M271" s="61"/>
      <c r="N271" s="61"/>
    </row>
    <row r="272" spans="1:14" ht="21.75" customHeight="1" x14ac:dyDescent="0.4">
      <c r="A272" s="55"/>
      <c r="B272" s="56"/>
      <c r="C272" s="56"/>
      <c r="D272" s="73"/>
      <c r="E272" s="75"/>
      <c r="F272" s="75"/>
      <c r="G272" s="76" t="s">
        <v>125</v>
      </c>
      <c r="H272" s="66" t="s">
        <v>103</v>
      </c>
      <c r="I272" s="67">
        <f ca="1">IFERROR(__xludf.DUMMYFUNCTION("IMPORTRANGE(""https://docs.google.com/spreadsheets/d/1C3CXT74ZlgGe6_JY_1olB1XN4rF0dxEuIIF-xsYjHgg/edit?usp=sharing"",""งบกองทุน!p31"")"),50)</f>
        <v>50</v>
      </c>
      <c r="J272" s="68">
        <v>0</v>
      </c>
      <c r="K272" s="49">
        <f t="shared" ca="1" si="62"/>
        <v>0</v>
      </c>
      <c r="L272" s="61"/>
      <c r="M272" s="61"/>
      <c r="N272" s="61"/>
    </row>
    <row r="273" spans="1:14" ht="21.75" customHeight="1" x14ac:dyDescent="0.4">
      <c r="A273" s="55"/>
      <c r="B273" s="56"/>
      <c r="C273" s="56"/>
      <c r="D273" s="73"/>
      <c r="E273" s="74" t="s">
        <v>35</v>
      </c>
      <c r="F273" s="75"/>
      <c r="G273" s="76"/>
      <c r="H273" s="66"/>
      <c r="I273" s="67"/>
      <c r="J273" s="68">
        <v>0</v>
      </c>
      <c r="K273" s="49"/>
      <c r="L273" s="61"/>
      <c r="M273" s="61"/>
      <c r="N273" s="61"/>
    </row>
    <row r="274" spans="1:14" ht="21.75" customHeight="1" x14ac:dyDescent="0.4">
      <c r="A274" s="55"/>
      <c r="B274" s="56"/>
      <c r="C274" s="56"/>
      <c r="D274" s="81">
        <v>3</v>
      </c>
      <c r="E274" s="82" t="s">
        <v>36</v>
      </c>
      <c r="F274" s="83"/>
      <c r="G274" s="84"/>
      <c r="H274" s="66"/>
      <c r="I274" s="67"/>
      <c r="J274" s="85">
        <v>0</v>
      </c>
      <c r="K274" s="49"/>
      <c r="L274" s="61"/>
      <c r="M274" s="61"/>
      <c r="N274" s="61"/>
    </row>
    <row r="275" spans="1:14" ht="21.75" customHeight="1" x14ac:dyDescent="0.4">
      <c r="A275" s="222"/>
      <c r="B275" s="223">
        <v>2</v>
      </c>
      <c r="C275" s="224" t="s">
        <v>126</v>
      </c>
      <c r="D275" s="224"/>
      <c r="E275" s="234"/>
      <c r="F275" s="234"/>
      <c r="G275" s="235"/>
      <c r="H275" s="226" t="s">
        <v>103</v>
      </c>
      <c r="I275" s="227">
        <f ca="1">I292</f>
        <v>100</v>
      </c>
      <c r="J275" s="227">
        <f>+J292</f>
        <v>0</v>
      </c>
      <c r="K275" s="228">
        <f t="shared" ref="K275:K276" ca="1" si="63">IF(I275&gt;0,J275*100/I275,0)</f>
        <v>0</v>
      </c>
      <c r="L275" s="229">
        <f t="shared" ref="L275:M275" ca="1" si="64">SUM(L277:L278)</f>
        <v>127660</v>
      </c>
      <c r="M275" s="229">
        <f t="shared" si="64"/>
        <v>0</v>
      </c>
      <c r="N275" s="229">
        <f ca="1">+IF(L275&gt;0,M275*100/L275,0)</f>
        <v>0</v>
      </c>
    </row>
    <row r="276" spans="1:14" ht="21.75" customHeight="1" x14ac:dyDescent="0.4">
      <c r="A276" s="222"/>
      <c r="B276" s="223"/>
      <c r="C276" s="224"/>
      <c r="D276" s="236"/>
      <c r="E276" s="237"/>
      <c r="F276" s="237"/>
      <c r="G276" s="238"/>
      <c r="H276" s="226" t="s">
        <v>16</v>
      </c>
      <c r="I276" s="227">
        <f ca="1">I291</f>
        <v>10</v>
      </c>
      <c r="J276" s="227">
        <f>+J291</f>
        <v>0</v>
      </c>
      <c r="K276" s="228">
        <f t="shared" ca="1" si="63"/>
        <v>0</v>
      </c>
      <c r="L276" s="229"/>
      <c r="M276" s="229"/>
      <c r="N276" s="229"/>
    </row>
    <row r="277" spans="1:14" ht="21.75" customHeight="1" x14ac:dyDescent="0.4">
      <c r="A277" s="42"/>
      <c r="B277" s="43"/>
      <c r="C277" s="43" t="s">
        <v>17</v>
      </c>
      <c r="D277" s="44" t="s">
        <v>18</v>
      </c>
      <c r="E277" s="45"/>
      <c r="F277" s="45"/>
      <c r="G277" s="46" t="s">
        <v>19</v>
      </c>
      <c r="H277" s="47" t="s">
        <v>20</v>
      </c>
      <c r="I277" s="48" t="s">
        <v>21</v>
      </c>
      <c r="J277" s="48"/>
      <c r="K277" s="49"/>
      <c r="L277" s="50">
        <v>0</v>
      </c>
      <c r="M277" s="50">
        <v>0</v>
      </c>
      <c r="N277" s="50">
        <f t="shared" ref="N277:N280" si="65">+IF(L277&gt;0,M277*100/L277,0)</f>
        <v>0</v>
      </c>
    </row>
    <row r="278" spans="1:14" ht="21.75" customHeight="1" x14ac:dyDescent="0.4">
      <c r="A278" s="42"/>
      <c r="B278" s="43"/>
      <c r="C278" s="43"/>
      <c r="D278" s="51"/>
      <c r="E278" s="45"/>
      <c r="F278" s="45" t="s">
        <v>21</v>
      </c>
      <c r="G278" s="46" t="s">
        <v>22</v>
      </c>
      <c r="H278" s="47" t="s">
        <v>20</v>
      </c>
      <c r="I278" s="48"/>
      <c r="J278" s="48"/>
      <c r="K278" s="49"/>
      <c r="L278" s="50">
        <f t="shared" ref="L278:M278" ca="1" si="66">SUM(L279:L280)</f>
        <v>127660</v>
      </c>
      <c r="M278" s="50">
        <f t="shared" si="66"/>
        <v>0</v>
      </c>
      <c r="N278" s="50">
        <f t="shared" ca="1" si="65"/>
        <v>0</v>
      </c>
    </row>
    <row r="279" spans="1:14" ht="21.75" customHeight="1" x14ac:dyDescent="0.4">
      <c r="A279" s="42"/>
      <c r="B279" s="43"/>
      <c r="C279" s="43"/>
      <c r="D279" s="51"/>
      <c r="E279" s="45"/>
      <c r="F279" s="45"/>
      <c r="G279" s="52" t="s">
        <v>110</v>
      </c>
      <c r="H279" s="47" t="s">
        <v>20</v>
      </c>
      <c r="I279" s="48"/>
      <c r="J279" s="48"/>
      <c r="K279" s="49"/>
      <c r="L279" s="53">
        <f ca="1">IFERROR(__xludf.DUMMYFUNCTION("IMPORTRANGE(""https://docs.google.com/spreadsheets/d/1C3CXT74ZlgGe6_JY_1olB1XN4rF0dxEuIIF-xsYjHgg/edit?usp=sharing"",""งบกองทุน!r31"")"),0)</f>
        <v>0</v>
      </c>
      <c r="M279" s="53">
        <v>0</v>
      </c>
      <c r="N279" s="53">
        <f t="shared" ca="1" si="65"/>
        <v>0</v>
      </c>
    </row>
    <row r="280" spans="1:14" ht="21.75" customHeight="1" x14ac:dyDescent="0.4">
      <c r="A280" s="42"/>
      <c r="B280" s="43"/>
      <c r="C280" s="43"/>
      <c r="D280" s="51"/>
      <c r="E280" s="45"/>
      <c r="F280" s="45"/>
      <c r="G280" s="52" t="s">
        <v>111</v>
      </c>
      <c r="H280" s="47" t="s">
        <v>20</v>
      </c>
      <c r="I280" s="48"/>
      <c r="J280" s="48"/>
      <c r="K280" s="49"/>
      <c r="L280" s="53">
        <f ca="1">IFERROR(__xludf.DUMMYFUNCTION("IMPORTRANGE(""https://docs.google.com/spreadsheets/d/1C3CXT74ZlgGe6_JY_1olB1XN4rF0dxEuIIF-xsYjHgg/edit?usp=sharing"",""งบกองทุน!s31"")"),127660)</f>
        <v>127660</v>
      </c>
      <c r="M280" s="53">
        <f>SUM(M281:M284)</f>
        <v>0</v>
      </c>
      <c r="N280" s="53">
        <f t="shared" ca="1" si="65"/>
        <v>0</v>
      </c>
    </row>
    <row r="281" spans="1:14" ht="21.75" customHeight="1" x14ac:dyDescent="0.4">
      <c r="A281" s="230"/>
      <c r="B281" s="231"/>
      <c r="C281" s="43"/>
      <c r="D281" s="232"/>
      <c r="E281" s="45"/>
      <c r="F281" s="45"/>
      <c r="G281" s="46" t="s">
        <v>112</v>
      </c>
      <c r="H281" s="47" t="s">
        <v>20</v>
      </c>
      <c r="I281" s="67"/>
      <c r="J281" s="67"/>
      <c r="K281" s="233"/>
      <c r="L281" s="53"/>
      <c r="M281" s="54">
        <v>0</v>
      </c>
      <c r="N281" s="53"/>
    </row>
    <row r="282" spans="1:14" ht="21.75" customHeight="1" x14ac:dyDescent="0.4">
      <c r="A282" s="230"/>
      <c r="B282" s="231"/>
      <c r="C282" s="43"/>
      <c r="D282" s="232"/>
      <c r="E282" s="45"/>
      <c r="F282" s="45"/>
      <c r="G282" s="46" t="s">
        <v>113</v>
      </c>
      <c r="H282" s="47" t="s">
        <v>20</v>
      </c>
      <c r="I282" s="67"/>
      <c r="J282" s="67"/>
      <c r="K282" s="233"/>
      <c r="L282" s="53"/>
      <c r="M282" s="54">
        <v>0</v>
      </c>
      <c r="N282" s="53"/>
    </row>
    <row r="283" spans="1:14" ht="21.75" customHeight="1" x14ac:dyDescent="0.4">
      <c r="A283" s="230"/>
      <c r="B283" s="231"/>
      <c r="C283" s="43"/>
      <c r="D283" s="232"/>
      <c r="E283" s="45"/>
      <c r="F283" s="45"/>
      <c r="G283" s="46" t="s">
        <v>114</v>
      </c>
      <c r="H283" s="47" t="s">
        <v>20</v>
      </c>
      <c r="I283" s="67"/>
      <c r="J283" s="67"/>
      <c r="K283" s="233"/>
      <c r="L283" s="53"/>
      <c r="M283" s="54">
        <v>0</v>
      </c>
      <c r="N283" s="53"/>
    </row>
    <row r="284" spans="1:14" ht="21.75" customHeight="1" x14ac:dyDescent="0.4">
      <c r="A284" s="230"/>
      <c r="B284" s="231"/>
      <c r="C284" s="43"/>
      <c r="D284" s="232"/>
      <c r="E284" s="45"/>
      <c r="F284" s="45"/>
      <c r="G284" s="46" t="s">
        <v>115</v>
      </c>
      <c r="H284" s="47" t="s">
        <v>20</v>
      </c>
      <c r="I284" s="67"/>
      <c r="J284" s="67"/>
      <c r="K284" s="233"/>
      <c r="L284" s="53"/>
      <c r="M284" s="54">
        <v>0</v>
      </c>
      <c r="N284" s="53"/>
    </row>
    <row r="285" spans="1:14" ht="21.75" customHeight="1" x14ac:dyDescent="0.4">
      <c r="A285" s="55"/>
      <c r="B285" s="56"/>
      <c r="C285" s="43" t="s">
        <v>17</v>
      </c>
      <c r="D285" s="57" t="s">
        <v>25</v>
      </c>
      <c r="E285" s="58"/>
      <c r="F285" s="58"/>
      <c r="G285" s="59"/>
      <c r="H285" s="60"/>
      <c r="I285" s="48"/>
      <c r="J285" s="48"/>
      <c r="K285" s="49"/>
      <c r="L285" s="61"/>
      <c r="M285" s="61"/>
      <c r="N285" s="61"/>
    </row>
    <row r="286" spans="1:14" ht="21.75" customHeight="1" x14ac:dyDescent="0.4">
      <c r="A286" s="55"/>
      <c r="B286" s="56"/>
      <c r="C286" s="56"/>
      <c r="D286" s="62">
        <v>1</v>
      </c>
      <c r="E286" s="63" t="s">
        <v>26</v>
      </c>
      <c r="F286" s="64"/>
      <c r="G286" s="65"/>
      <c r="H286" s="66"/>
      <c r="I286" s="67"/>
      <c r="J286" s="68">
        <v>0</v>
      </c>
      <c r="K286" s="49"/>
      <c r="L286" s="61"/>
      <c r="M286" s="61"/>
      <c r="N286" s="61"/>
    </row>
    <row r="287" spans="1:14" ht="21.75" customHeight="1" x14ac:dyDescent="0.4">
      <c r="A287" s="55"/>
      <c r="B287" s="56"/>
      <c r="C287" s="56"/>
      <c r="D287" s="69">
        <v>2</v>
      </c>
      <c r="E287" s="70" t="s">
        <v>27</v>
      </c>
      <c r="F287" s="71"/>
      <c r="G287" s="72"/>
      <c r="H287" s="66"/>
      <c r="I287" s="67"/>
      <c r="J287" s="68">
        <v>1</v>
      </c>
      <c r="K287" s="49"/>
      <c r="L287" s="61" t="s">
        <v>21</v>
      </c>
      <c r="M287" s="61" t="s">
        <v>21</v>
      </c>
      <c r="N287" s="61"/>
    </row>
    <row r="288" spans="1:14" ht="21.75" customHeight="1" x14ac:dyDescent="0.4">
      <c r="A288" s="55"/>
      <c r="B288" s="56"/>
      <c r="C288" s="56"/>
      <c r="D288" s="73"/>
      <c r="E288" s="74" t="s">
        <v>28</v>
      </c>
      <c r="F288" s="75"/>
      <c r="G288" s="76"/>
      <c r="H288" s="66"/>
      <c r="I288" s="67"/>
      <c r="J288" s="68">
        <v>1</v>
      </c>
      <c r="K288" s="49"/>
      <c r="L288" s="61"/>
      <c r="M288" s="61"/>
      <c r="N288" s="61"/>
    </row>
    <row r="289" spans="1:14" ht="21.75" customHeight="1" x14ac:dyDescent="0.4">
      <c r="A289" s="55"/>
      <c r="B289" s="56"/>
      <c r="C289" s="56"/>
      <c r="D289" s="73"/>
      <c r="E289" s="74" t="s">
        <v>29</v>
      </c>
      <c r="F289" s="75"/>
      <c r="G289" s="76"/>
      <c r="H289" s="66"/>
      <c r="I289" s="67"/>
      <c r="J289" s="68">
        <v>0</v>
      </c>
      <c r="K289" s="49"/>
      <c r="L289" s="61"/>
      <c r="M289" s="61"/>
      <c r="N289" s="61"/>
    </row>
    <row r="290" spans="1:14" ht="21.75" customHeight="1" x14ac:dyDescent="0.4">
      <c r="A290" s="55"/>
      <c r="B290" s="56"/>
      <c r="C290" s="56"/>
      <c r="D290" s="73"/>
      <c r="E290" s="77"/>
      <c r="F290" s="74" t="s">
        <v>127</v>
      </c>
      <c r="G290" s="75"/>
      <c r="H290" s="66"/>
      <c r="I290" s="67"/>
      <c r="J290" s="67"/>
      <c r="K290" s="49"/>
      <c r="L290" s="61"/>
      <c r="M290" s="61"/>
      <c r="N290" s="61"/>
    </row>
    <row r="291" spans="1:14" ht="21.75" customHeight="1" x14ac:dyDescent="0.4">
      <c r="A291" s="55"/>
      <c r="B291" s="56"/>
      <c r="C291" s="56"/>
      <c r="D291" s="73"/>
      <c r="E291" s="77"/>
      <c r="F291" s="75"/>
      <c r="G291" s="99" t="s">
        <v>50</v>
      </c>
      <c r="H291" s="66" t="s">
        <v>16</v>
      </c>
      <c r="I291" s="67">
        <f ca="1">IFERROR(__xludf.DUMMYFUNCTION("IMPORTRANGE(""https://docs.google.com/spreadsheets/d/1C3CXT74ZlgGe6_JY_1olB1XN4rF0dxEuIIF-xsYjHgg/edit?usp=sharing"",""งบกองทุน!v31"")"),10)</f>
        <v>10</v>
      </c>
      <c r="J291" s="68">
        <v>0</v>
      </c>
      <c r="K291" s="49">
        <f t="shared" ref="K291:K293" ca="1" si="67">IF(I291&gt;0,J291*100/I291,0)</f>
        <v>0</v>
      </c>
      <c r="L291" s="61"/>
      <c r="M291" s="61"/>
      <c r="N291" s="61"/>
    </row>
    <row r="292" spans="1:14" ht="21.75" customHeight="1" x14ac:dyDescent="0.4">
      <c r="A292" s="55"/>
      <c r="B292" s="56"/>
      <c r="C292" s="56"/>
      <c r="D292" s="73"/>
      <c r="E292" s="77"/>
      <c r="F292" s="75"/>
      <c r="G292" s="76" t="s">
        <v>34</v>
      </c>
      <c r="H292" s="66" t="s">
        <v>103</v>
      </c>
      <c r="I292" s="67">
        <f ca="1">IFERROR(__xludf.DUMMYFUNCTION("IMPORTRANGE(""https://docs.google.com/spreadsheets/d/1C3CXT74ZlgGe6_JY_1olB1XN4rF0dxEuIIF-xsYjHgg/edit?usp=sharing"",""งบกองทุน!w31"")"),100)</f>
        <v>100</v>
      </c>
      <c r="J292" s="68">
        <v>0</v>
      </c>
      <c r="K292" s="49">
        <f t="shared" ca="1" si="67"/>
        <v>0</v>
      </c>
      <c r="L292" s="61"/>
      <c r="M292" s="61"/>
      <c r="N292" s="61"/>
    </row>
    <row r="293" spans="1:14" ht="21.75" customHeight="1" x14ac:dyDescent="0.4">
      <c r="A293" s="55"/>
      <c r="B293" s="56"/>
      <c r="C293" s="56"/>
      <c r="D293" s="73"/>
      <c r="E293" s="77"/>
      <c r="F293" s="75"/>
      <c r="G293" s="76"/>
      <c r="H293" s="66" t="s">
        <v>16</v>
      </c>
      <c r="I293" s="67">
        <f ca="1">IFERROR(__xludf.DUMMYFUNCTION("IMPORTRANGE(""https://docs.google.com/spreadsheets/d/1C3CXT74ZlgGe6_JY_1olB1XN4rF0dxEuIIF-xsYjHgg/edit?usp=sharing"",""งบกองทุน!x31"")"),10)</f>
        <v>10</v>
      </c>
      <c r="J293" s="68">
        <v>0</v>
      </c>
      <c r="K293" s="49">
        <f t="shared" ca="1" si="67"/>
        <v>0</v>
      </c>
      <c r="L293" s="61"/>
      <c r="M293" s="61"/>
      <c r="N293" s="61"/>
    </row>
    <row r="294" spans="1:14" ht="21.75" customHeight="1" x14ac:dyDescent="0.4">
      <c r="A294" s="55"/>
      <c r="B294" s="56"/>
      <c r="C294" s="56"/>
      <c r="D294" s="73"/>
      <c r="E294" s="74" t="s">
        <v>35</v>
      </c>
      <c r="F294" s="75"/>
      <c r="G294" s="76"/>
      <c r="H294" s="66"/>
      <c r="I294" s="67"/>
      <c r="J294" s="68">
        <v>0</v>
      </c>
      <c r="K294" s="49"/>
      <c r="L294" s="61"/>
      <c r="M294" s="61"/>
      <c r="N294" s="61"/>
    </row>
    <row r="295" spans="1:14" ht="21.75" customHeight="1" x14ac:dyDescent="0.4">
      <c r="A295" s="55"/>
      <c r="B295" s="56"/>
      <c r="C295" s="56"/>
      <c r="D295" s="81">
        <v>3</v>
      </c>
      <c r="E295" s="82" t="s">
        <v>36</v>
      </c>
      <c r="F295" s="83"/>
      <c r="G295" s="84"/>
      <c r="H295" s="66"/>
      <c r="I295" s="67"/>
      <c r="J295" s="85">
        <v>0</v>
      </c>
      <c r="K295" s="49"/>
      <c r="L295" s="61"/>
      <c r="M295" s="61"/>
      <c r="N295" s="61"/>
    </row>
    <row r="296" spans="1:14" ht="21.75" customHeight="1" x14ac:dyDescent="0.4">
      <c r="A296" s="222"/>
      <c r="B296" s="223">
        <v>3</v>
      </c>
      <c r="C296" s="223" t="s">
        <v>128</v>
      </c>
      <c r="D296" s="224"/>
      <c r="E296" s="224"/>
      <c r="F296" s="224"/>
      <c r="G296" s="225"/>
      <c r="H296" s="226" t="s">
        <v>103</v>
      </c>
      <c r="I296" s="227">
        <f ca="1">SUM(I313,I317,I322)</f>
        <v>93</v>
      </c>
      <c r="J296" s="227">
        <f>J313+J317+J322</f>
        <v>0</v>
      </c>
      <c r="K296" s="228">
        <f t="shared" ref="K296:K297" ca="1" si="68">IF(I296&gt;0,J296*100/I296,0)</f>
        <v>0</v>
      </c>
      <c r="L296" s="229">
        <f t="shared" ref="L296:M296" ca="1" si="69">SUM(L298:L299)</f>
        <v>104590</v>
      </c>
      <c r="M296" s="229">
        <f t="shared" si="69"/>
        <v>0</v>
      </c>
      <c r="N296" s="229">
        <f ca="1">+IF(L296&gt;0,M296*100/L296,0)</f>
        <v>0</v>
      </c>
    </row>
    <row r="297" spans="1:14" ht="21.75" customHeight="1" x14ac:dyDescent="0.4">
      <c r="A297" s="222"/>
      <c r="B297" s="223"/>
      <c r="C297" s="223"/>
      <c r="D297" s="236"/>
      <c r="E297" s="236"/>
      <c r="F297" s="236"/>
      <c r="G297" s="239"/>
      <c r="H297" s="226" t="s">
        <v>16</v>
      </c>
      <c r="I297" s="227">
        <f ca="1">SUM(I312,I316,I321)</f>
        <v>31</v>
      </c>
      <c r="J297" s="227">
        <f ca="1">J311</f>
        <v>0</v>
      </c>
      <c r="K297" s="228">
        <f t="shared" ca="1" si="68"/>
        <v>0</v>
      </c>
      <c r="L297" s="229"/>
      <c r="M297" s="229"/>
      <c r="N297" s="229"/>
    </row>
    <row r="298" spans="1:14" ht="21.75" customHeight="1" x14ac:dyDescent="0.4">
      <c r="A298" s="42"/>
      <c r="B298" s="43"/>
      <c r="C298" s="43" t="s">
        <v>17</v>
      </c>
      <c r="D298" s="44" t="s">
        <v>18</v>
      </c>
      <c r="E298" s="45"/>
      <c r="F298" s="45"/>
      <c r="G298" s="46" t="s">
        <v>19</v>
      </c>
      <c r="H298" s="47" t="s">
        <v>20</v>
      </c>
      <c r="I298" s="48" t="s">
        <v>21</v>
      </c>
      <c r="J298" s="48"/>
      <c r="K298" s="49"/>
      <c r="L298" s="50">
        <v>0</v>
      </c>
      <c r="M298" s="53">
        <v>0</v>
      </c>
      <c r="N298" s="53">
        <f t="shared" ref="N298:N301" si="70">+IF(L298&gt;0,M298*100/L298,0)</f>
        <v>0</v>
      </c>
    </row>
    <row r="299" spans="1:14" ht="21.75" customHeight="1" x14ac:dyDescent="0.4">
      <c r="A299" s="42"/>
      <c r="B299" s="43"/>
      <c r="C299" s="43"/>
      <c r="D299" s="51"/>
      <c r="E299" s="45"/>
      <c r="F299" s="45" t="s">
        <v>21</v>
      </c>
      <c r="G299" s="46" t="s">
        <v>22</v>
      </c>
      <c r="H299" s="47" t="s">
        <v>20</v>
      </c>
      <c r="I299" s="48"/>
      <c r="J299" s="48"/>
      <c r="K299" s="49"/>
      <c r="L299" s="50">
        <f t="shared" ref="L299:M299" ca="1" si="71">SUM(L300:L301)</f>
        <v>104590</v>
      </c>
      <c r="M299" s="53">
        <f t="shared" si="71"/>
        <v>0</v>
      </c>
      <c r="N299" s="53">
        <f t="shared" ca="1" si="70"/>
        <v>0</v>
      </c>
    </row>
    <row r="300" spans="1:14" ht="21.75" customHeight="1" x14ac:dyDescent="0.4">
      <c r="A300" s="42"/>
      <c r="B300" s="43"/>
      <c r="C300" s="43"/>
      <c r="D300" s="51"/>
      <c r="E300" s="45"/>
      <c r="F300" s="45"/>
      <c r="G300" s="52" t="s">
        <v>110</v>
      </c>
      <c r="H300" s="47" t="s">
        <v>20</v>
      </c>
      <c r="I300" s="48"/>
      <c r="J300" s="48"/>
      <c r="K300" s="49"/>
      <c r="L300" s="53">
        <f ca="1">IFERROR(__xludf.DUMMYFUNCTION("IMPORTRANGE(""https://docs.google.com/spreadsheets/d/1C3CXT74ZlgGe6_JY_1olB1XN4rF0dxEuIIF-xsYjHgg/edit?usp=sharing"",""งบกองทุน!z31"")"),0)</f>
        <v>0</v>
      </c>
      <c r="M300" s="53">
        <v>0</v>
      </c>
      <c r="N300" s="53">
        <f t="shared" ca="1" si="70"/>
        <v>0</v>
      </c>
    </row>
    <row r="301" spans="1:14" ht="21.75" customHeight="1" x14ac:dyDescent="0.4">
      <c r="A301" s="42"/>
      <c r="B301" s="43"/>
      <c r="C301" s="43"/>
      <c r="D301" s="51"/>
      <c r="E301" s="45"/>
      <c r="F301" s="45"/>
      <c r="G301" s="52" t="s">
        <v>111</v>
      </c>
      <c r="H301" s="47" t="s">
        <v>20</v>
      </c>
      <c r="I301" s="48"/>
      <c r="J301" s="48"/>
      <c r="K301" s="49"/>
      <c r="L301" s="53">
        <f ca="1">IFERROR(__xludf.DUMMYFUNCTION("IMPORTRANGE(""https://docs.google.com/spreadsheets/d/1C3CXT74ZlgGe6_JY_1olB1XN4rF0dxEuIIF-xsYjHgg/edit?usp=sharing"",""งบกองทุน!aa31"")"),104590)</f>
        <v>104590</v>
      </c>
      <c r="M301" s="53">
        <f>SUM(M302:M305)</f>
        <v>0</v>
      </c>
      <c r="N301" s="53">
        <f t="shared" ca="1" si="70"/>
        <v>0</v>
      </c>
    </row>
    <row r="302" spans="1:14" ht="21.75" customHeight="1" x14ac:dyDescent="0.4">
      <c r="A302" s="230"/>
      <c r="B302" s="231"/>
      <c r="C302" s="43"/>
      <c r="D302" s="232"/>
      <c r="E302" s="45"/>
      <c r="F302" s="45"/>
      <c r="G302" s="46" t="s">
        <v>112</v>
      </c>
      <c r="H302" s="47" t="s">
        <v>20</v>
      </c>
      <c r="I302" s="67"/>
      <c r="J302" s="67"/>
      <c r="K302" s="233"/>
      <c r="L302" s="53"/>
      <c r="M302" s="54">
        <v>0</v>
      </c>
      <c r="N302" s="53"/>
    </row>
    <row r="303" spans="1:14" ht="21.75" customHeight="1" x14ac:dyDescent="0.4">
      <c r="A303" s="230"/>
      <c r="B303" s="231"/>
      <c r="C303" s="43"/>
      <c r="D303" s="232"/>
      <c r="E303" s="45"/>
      <c r="F303" s="45"/>
      <c r="G303" s="46" t="s">
        <v>113</v>
      </c>
      <c r="H303" s="47" t="s">
        <v>20</v>
      </c>
      <c r="I303" s="67"/>
      <c r="J303" s="67"/>
      <c r="K303" s="233"/>
      <c r="L303" s="53"/>
      <c r="M303" s="54">
        <v>0</v>
      </c>
      <c r="N303" s="53"/>
    </row>
    <row r="304" spans="1:14" ht="21.75" customHeight="1" x14ac:dyDescent="0.4">
      <c r="A304" s="230"/>
      <c r="B304" s="231"/>
      <c r="C304" s="43"/>
      <c r="D304" s="232"/>
      <c r="E304" s="45"/>
      <c r="F304" s="45"/>
      <c r="G304" s="46" t="s">
        <v>114</v>
      </c>
      <c r="H304" s="47" t="s">
        <v>20</v>
      </c>
      <c r="I304" s="67"/>
      <c r="J304" s="67"/>
      <c r="K304" s="233"/>
      <c r="L304" s="53"/>
      <c r="M304" s="54">
        <v>0</v>
      </c>
      <c r="N304" s="53"/>
    </row>
    <row r="305" spans="1:14" ht="21.75" customHeight="1" x14ac:dyDescent="0.4">
      <c r="A305" s="230"/>
      <c r="B305" s="231"/>
      <c r="C305" s="43"/>
      <c r="D305" s="232"/>
      <c r="E305" s="45"/>
      <c r="F305" s="45"/>
      <c r="G305" s="46" t="s">
        <v>115</v>
      </c>
      <c r="H305" s="47" t="s">
        <v>20</v>
      </c>
      <c r="I305" s="67"/>
      <c r="J305" s="67"/>
      <c r="K305" s="233"/>
      <c r="L305" s="53"/>
      <c r="M305" s="54">
        <v>0</v>
      </c>
      <c r="N305" s="53"/>
    </row>
    <row r="306" spans="1:14" ht="21.75" customHeight="1" x14ac:dyDescent="0.4">
      <c r="A306" s="55"/>
      <c r="B306" s="56"/>
      <c r="C306" s="43" t="s">
        <v>17</v>
      </c>
      <c r="D306" s="57" t="s">
        <v>25</v>
      </c>
      <c r="E306" s="58"/>
      <c r="F306" s="58"/>
      <c r="G306" s="59"/>
      <c r="H306" s="60"/>
      <c r="I306" s="48"/>
      <c r="J306" s="48"/>
      <c r="K306" s="49"/>
      <c r="L306" s="61"/>
      <c r="M306" s="61"/>
      <c r="N306" s="61"/>
    </row>
    <row r="307" spans="1:14" ht="21.75" customHeight="1" x14ac:dyDescent="0.4">
      <c r="A307" s="55"/>
      <c r="B307" s="56"/>
      <c r="C307" s="56"/>
      <c r="D307" s="62">
        <v>1</v>
      </c>
      <c r="E307" s="63" t="s">
        <v>26</v>
      </c>
      <c r="F307" s="64"/>
      <c r="G307" s="65"/>
      <c r="H307" s="66"/>
      <c r="I307" s="67"/>
      <c r="J307" s="68">
        <v>0</v>
      </c>
      <c r="K307" s="49"/>
      <c r="L307" s="61"/>
      <c r="M307" s="61"/>
      <c r="N307" s="61"/>
    </row>
    <row r="308" spans="1:14" ht="21.75" customHeight="1" x14ac:dyDescent="0.4">
      <c r="A308" s="55"/>
      <c r="B308" s="56"/>
      <c r="C308" s="56"/>
      <c r="D308" s="69">
        <v>2</v>
      </c>
      <c r="E308" s="70" t="s">
        <v>27</v>
      </c>
      <c r="F308" s="71"/>
      <c r="G308" s="72"/>
      <c r="H308" s="66"/>
      <c r="I308" s="67"/>
      <c r="J308" s="68">
        <v>1</v>
      </c>
      <c r="K308" s="49"/>
      <c r="L308" s="61" t="s">
        <v>21</v>
      </c>
      <c r="M308" s="61" t="s">
        <v>21</v>
      </c>
      <c r="N308" s="61"/>
    </row>
    <row r="309" spans="1:14" ht="21.75" customHeight="1" x14ac:dyDescent="0.4">
      <c r="A309" s="55"/>
      <c r="B309" s="56"/>
      <c r="C309" s="56"/>
      <c r="D309" s="73"/>
      <c r="E309" s="74" t="s">
        <v>28</v>
      </c>
      <c r="F309" s="75"/>
      <c r="G309" s="76"/>
      <c r="H309" s="66"/>
      <c r="I309" s="67"/>
      <c r="J309" s="68">
        <v>1</v>
      </c>
      <c r="K309" s="49"/>
      <c r="L309" s="61"/>
      <c r="M309" s="61"/>
      <c r="N309" s="61"/>
    </row>
    <row r="310" spans="1:14" ht="21.75" customHeight="1" x14ac:dyDescent="0.4">
      <c r="A310" s="55"/>
      <c r="B310" s="56"/>
      <c r="C310" s="56"/>
      <c r="D310" s="73"/>
      <c r="E310" s="74" t="s">
        <v>29</v>
      </c>
      <c r="F310" s="75"/>
      <c r="G310" s="76"/>
      <c r="H310" s="66"/>
      <c r="I310" s="67"/>
      <c r="J310" s="68">
        <v>0</v>
      </c>
      <c r="K310" s="49"/>
      <c r="L310" s="61"/>
      <c r="M310" s="61"/>
      <c r="N310" s="61"/>
    </row>
    <row r="311" spans="1:14" ht="21.75" customHeight="1" x14ac:dyDescent="0.4">
      <c r="A311" s="55"/>
      <c r="B311" s="56"/>
      <c r="C311" s="56"/>
      <c r="D311" s="73"/>
      <c r="E311" s="77"/>
      <c r="F311" s="74" t="s">
        <v>50</v>
      </c>
      <c r="G311" s="240"/>
      <c r="H311" s="241" t="s">
        <v>16</v>
      </c>
      <c r="I311" s="79">
        <f t="shared" ref="I311:J311" ca="1" si="72">+I312+I316+I321</f>
        <v>31</v>
      </c>
      <c r="J311" s="79">
        <f t="shared" ca="1" si="72"/>
        <v>0</v>
      </c>
      <c r="K311" s="80">
        <f t="shared" ref="K311:K327" ca="1" si="73">IF(I311&gt;0,J311*100/I311,0)</f>
        <v>0</v>
      </c>
      <c r="L311" s="61"/>
      <c r="M311" s="61"/>
      <c r="N311" s="61"/>
    </row>
    <row r="312" spans="1:14" ht="21.75" customHeight="1" x14ac:dyDescent="0.4">
      <c r="A312" s="55"/>
      <c r="B312" s="56"/>
      <c r="C312" s="56"/>
      <c r="D312" s="73"/>
      <c r="E312" s="77"/>
      <c r="F312" s="242" t="s">
        <v>129</v>
      </c>
      <c r="G312" s="76"/>
      <c r="H312" s="78" t="s">
        <v>16</v>
      </c>
      <c r="I312" s="243">
        <f ca="1">IFERROR(__xludf.DUMMYFUNCTION("IMPORTRANGE(""https://docs.google.com/spreadsheets/d/1C3CXT74ZlgGe6_JY_1olB1XN4rF0dxEuIIF-xsYjHgg/edit?usp=sharing"",""งบกองทุน!ae31"")"),0)</f>
        <v>0</v>
      </c>
      <c r="J312" s="79">
        <f ca="1">IF(AND(J314=I314,J315=I315),I314,0)</f>
        <v>0</v>
      </c>
      <c r="K312" s="80">
        <f t="shared" ca="1" si="73"/>
        <v>0</v>
      </c>
      <c r="L312" s="61"/>
      <c r="M312" s="61"/>
      <c r="N312" s="61"/>
    </row>
    <row r="313" spans="1:14" ht="21.75" customHeight="1" x14ac:dyDescent="0.4">
      <c r="A313" s="55"/>
      <c r="B313" s="56"/>
      <c r="C313" s="56"/>
      <c r="D313" s="73"/>
      <c r="E313" s="77"/>
      <c r="F313" s="75"/>
      <c r="G313" s="76"/>
      <c r="H313" s="78" t="s">
        <v>103</v>
      </c>
      <c r="I313" s="243">
        <f ca="1">IFERROR(__xludf.DUMMYFUNCTION("IMPORTRANGE(""https://docs.google.com/spreadsheets/d/1C3CXT74ZlgGe6_JY_1olB1XN4rF0dxEuIIF-xsYjHgg/edit?usp=sharing"",""งบกองทุน!ad31"")"),0)</f>
        <v>0</v>
      </c>
      <c r="J313" s="79">
        <v>0</v>
      </c>
      <c r="K313" s="80">
        <f t="shared" ca="1" si="73"/>
        <v>0</v>
      </c>
      <c r="L313" s="61"/>
      <c r="M313" s="61"/>
      <c r="N313" s="61"/>
    </row>
    <row r="314" spans="1:14" ht="21.75" customHeight="1" x14ac:dyDescent="0.4">
      <c r="A314" s="55"/>
      <c r="B314" s="56"/>
      <c r="C314" s="56"/>
      <c r="D314" s="73"/>
      <c r="E314" s="77"/>
      <c r="F314" s="75"/>
      <c r="G314" s="99" t="s">
        <v>130</v>
      </c>
      <c r="H314" s="60" t="s">
        <v>16</v>
      </c>
      <c r="I314" s="200">
        <f ca="1">IFERROR(__xludf.DUMMYFUNCTION("IMPORTRANGE(""https://docs.google.com/spreadsheets/d/1C3CXT74ZlgGe6_JY_1olB1XN4rF0dxEuIIF-xsYjHgg/edit?usp=sharing"",""งบกองทุน!af31"")"),0)</f>
        <v>0</v>
      </c>
      <c r="J314" s="67">
        <v>0</v>
      </c>
      <c r="K314" s="49">
        <f t="shared" ca="1" si="73"/>
        <v>0</v>
      </c>
      <c r="L314" s="61"/>
      <c r="M314" s="61"/>
      <c r="N314" s="61"/>
    </row>
    <row r="315" spans="1:14" ht="21.75" customHeight="1" x14ac:dyDescent="0.4">
      <c r="A315" s="105"/>
      <c r="B315" s="106"/>
      <c r="C315" s="106"/>
      <c r="D315" s="244"/>
      <c r="E315" s="245"/>
      <c r="F315" s="204"/>
      <c r="G315" s="246" t="s">
        <v>131</v>
      </c>
      <c r="H315" s="206" t="s">
        <v>16</v>
      </c>
      <c r="I315" s="207">
        <f ca="1">IFERROR(__xludf.DUMMYFUNCTION("IMPORTRANGE(""https://docs.google.com/spreadsheets/d/1C3CXT74ZlgGe6_JY_1olB1XN4rF0dxEuIIF-xsYjHgg/edit?usp=sharing"",""งบกองทุน!ag31"")"),0)</f>
        <v>0</v>
      </c>
      <c r="J315" s="112">
        <v>0</v>
      </c>
      <c r="K315" s="114">
        <f t="shared" ca="1" si="73"/>
        <v>0</v>
      </c>
      <c r="L315" s="115"/>
      <c r="M315" s="115"/>
      <c r="N315" s="115"/>
    </row>
    <row r="316" spans="1:14" ht="21.75" customHeight="1" x14ac:dyDescent="0.4">
      <c r="A316" s="55"/>
      <c r="B316" s="56"/>
      <c r="C316" s="56"/>
      <c r="D316" s="73"/>
      <c r="E316" s="77"/>
      <c r="F316" s="242" t="s">
        <v>132</v>
      </c>
      <c r="G316" s="76"/>
      <c r="H316" s="78" t="s">
        <v>16</v>
      </c>
      <c r="I316" s="243">
        <f ca="1">IFERROR(__xludf.DUMMYFUNCTION("IMPORTRANGE(""https://docs.google.com/spreadsheets/d/1C3CXT74ZlgGe6_JY_1olB1XN4rF0dxEuIIF-xsYjHgg/edit?usp=sharing"",""งบกองทุน!ai31"")"),21)</f>
        <v>21</v>
      </c>
      <c r="J316" s="79">
        <f ca="1">IF(AND(J318=I318,J319=I319,J320=I320),I318,0)</f>
        <v>0</v>
      </c>
      <c r="K316" s="80">
        <f t="shared" ca="1" si="73"/>
        <v>0</v>
      </c>
      <c r="L316" s="61"/>
      <c r="M316" s="61"/>
      <c r="N316" s="61"/>
    </row>
    <row r="317" spans="1:14" ht="21.75" customHeight="1" x14ac:dyDescent="0.4">
      <c r="A317" s="55"/>
      <c r="B317" s="56"/>
      <c r="C317" s="56"/>
      <c r="D317" s="73"/>
      <c r="E317" s="77"/>
      <c r="F317" s="75"/>
      <c r="G317" s="76"/>
      <c r="H317" s="78" t="s">
        <v>103</v>
      </c>
      <c r="I317" s="243">
        <f ca="1">IFERROR(__xludf.DUMMYFUNCTION("IMPORTRANGE(""https://docs.google.com/spreadsheets/d/1C3CXT74ZlgGe6_JY_1olB1XN4rF0dxEuIIF-xsYjHgg/edit?usp=sharing"",""งบกองทุน!ah31"")"),63)</f>
        <v>63</v>
      </c>
      <c r="J317" s="154">
        <v>0</v>
      </c>
      <c r="K317" s="80">
        <f t="shared" ca="1" si="73"/>
        <v>0</v>
      </c>
      <c r="L317" s="61"/>
      <c r="M317" s="61"/>
      <c r="N317" s="61"/>
    </row>
    <row r="318" spans="1:14" ht="21.75" customHeight="1" x14ac:dyDescent="0.4">
      <c r="A318" s="55"/>
      <c r="B318" s="56"/>
      <c r="C318" s="56"/>
      <c r="D318" s="73"/>
      <c r="E318" s="77"/>
      <c r="F318" s="75"/>
      <c r="G318" s="99" t="s">
        <v>133</v>
      </c>
      <c r="H318" s="60" t="s">
        <v>16</v>
      </c>
      <c r="I318" s="200">
        <f ca="1">IFERROR(__xludf.DUMMYFUNCTION("IMPORTRANGE(""https://docs.google.com/spreadsheets/d/1C3CXT74ZlgGe6_JY_1olB1XN4rF0dxEuIIF-xsYjHgg/edit?usp=sharing"",""งบกองทุน!aj31"")"),21)</f>
        <v>21</v>
      </c>
      <c r="J318" s="68">
        <v>0</v>
      </c>
      <c r="K318" s="49">
        <f t="shared" ca="1" si="73"/>
        <v>0</v>
      </c>
      <c r="L318" s="61"/>
      <c r="M318" s="61"/>
      <c r="N318" s="61"/>
    </row>
    <row r="319" spans="1:14" ht="21.75" customHeight="1" x14ac:dyDescent="0.4">
      <c r="A319" s="55"/>
      <c r="B319" s="56"/>
      <c r="C319" s="56"/>
      <c r="D319" s="73"/>
      <c r="E319" s="77"/>
      <c r="F319" s="75"/>
      <c r="G319" s="99" t="s">
        <v>134</v>
      </c>
      <c r="H319" s="60" t="s">
        <v>16</v>
      </c>
      <c r="I319" s="200">
        <f ca="1">IFERROR(__xludf.DUMMYFUNCTION("IMPORTRANGE(""https://docs.google.com/spreadsheets/d/1C3CXT74ZlgGe6_JY_1olB1XN4rF0dxEuIIF-xsYjHgg/edit?usp=sharing"",""งบกองทุน!ak31"")"),21)</f>
        <v>21</v>
      </c>
      <c r="J319" s="68">
        <v>0</v>
      </c>
      <c r="K319" s="49">
        <f t="shared" ca="1" si="73"/>
        <v>0</v>
      </c>
      <c r="L319" s="61"/>
      <c r="M319" s="61"/>
      <c r="N319" s="61"/>
    </row>
    <row r="320" spans="1:14" ht="21.75" customHeight="1" x14ac:dyDescent="0.4">
      <c r="A320" s="55"/>
      <c r="B320" s="56"/>
      <c r="C320" s="56"/>
      <c r="D320" s="73"/>
      <c r="E320" s="77"/>
      <c r="F320" s="75"/>
      <c r="G320" s="99" t="s">
        <v>135</v>
      </c>
      <c r="H320" s="60" t="s">
        <v>16</v>
      </c>
      <c r="I320" s="200">
        <f ca="1">IFERROR(__xludf.DUMMYFUNCTION("IMPORTRANGE(""https://docs.google.com/spreadsheets/d/1C3CXT74ZlgGe6_JY_1olB1XN4rF0dxEuIIF-xsYjHgg/edit?usp=sharing"",""งบกองทุน!al31"")"),21)</f>
        <v>21</v>
      </c>
      <c r="J320" s="68">
        <v>0</v>
      </c>
      <c r="K320" s="49">
        <f t="shared" ca="1" si="73"/>
        <v>0</v>
      </c>
      <c r="L320" s="61"/>
      <c r="M320" s="61"/>
      <c r="N320" s="61"/>
    </row>
    <row r="321" spans="1:14" ht="21.75" customHeight="1" x14ac:dyDescent="0.4">
      <c r="A321" s="55"/>
      <c r="B321" s="56"/>
      <c r="C321" s="56"/>
      <c r="D321" s="73"/>
      <c r="E321" s="77"/>
      <c r="F321" s="242" t="s">
        <v>136</v>
      </c>
      <c r="G321" s="76"/>
      <c r="H321" s="78" t="s">
        <v>16</v>
      </c>
      <c r="I321" s="243">
        <f ca="1">IFERROR(__xludf.DUMMYFUNCTION("IMPORTRANGE(""https://docs.google.com/spreadsheets/d/1C3CXT74ZlgGe6_JY_1olB1XN4rF0dxEuIIF-xsYjHgg/edit?usp=sharing"",""งบกองทุน!an31"")"),10)</f>
        <v>10</v>
      </c>
      <c r="J321" s="79">
        <f ca="1">IF(AND(J323=I323,J324=I324),I323,0)</f>
        <v>0</v>
      </c>
      <c r="K321" s="80">
        <f t="shared" ca="1" si="73"/>
        <v>0</v>
      </c>
      <c r="L321" s="61"/>
      <c r="M321" s="61"/>
      <c r="N321" s="61"/>
    </row>
    <row r="322" spans="1:14" ht="21.75" customHeight="1" x14ac:dyDescent="0.4">
      <c r="A322" s="55"/>
      <c r="B322" s="56"/>
      <c r="C322" s="56"/>
      <c r="D322" s="73"/>
      <c r="E322" s="77"/>
      <c r="F322" s="75"/>
      <c r="G322" s="76"/>
      <c r="H322" s="78" t="s">
        <v>103</v>
      </c>
      <c r="I322" s="243">
        <f ca="1">IFERROR(__xludf.DUMMYFUNCTION("IMPORTRANGE(""https://docs.google.com/spreadsheets/d/1C3CXT74ZlgGe6_JY_1olB1XN4rF0dxEuIIF-xsYjHgg/edit?usp=sharing"",""งบกองทุน!am31"")"),30)</f>
        <v>30</v>
      </c>
      <c r="J322" s="154">
        <v>0</v>
      </c>
      <c r="K322" s="80">
        <f t="shared" ca="1" si="73"/>
        <v>0</v>
      </c>
      <c r="L322" s="61"/>
      <c r="M322" s="61"/>
      <c r="N322" s="61"/>
    </row>
    <row r="323" spans="1:14" ht="21.75" customHeight="1" x14ac:dyDescent="0.4">
      <c r="A323" s="55"/>
      <c r="B323" s="56"/>
      <c r="C323" s="56"/>
      <c r="D323" s="73"/>
      <c r="E323" s="77"/>
      <c r="F323" s="75"/>
      <c r="G323" s="99" t="s">
        <v>137</v>
      </c>
      <c r="H323" s="60" t="s">
        <v>16</v>
      </c>
      <c r="I323" s="248">
        <f ca="1">IFERROR(__xludf.DUMMYFUNCTION("IMPORTRANGE(""https://docs.google.com/spreadsheets/d/1C3CXT74ZlgGe6_JY_1olB1XN4rF0dxEuIIF-xsYjHgg/edit?usp=sharing"",""งบกองทุน!ao31"")"),10)</f>
        <v>10</v>
      </c>
      <c r="J323" s="68">
        <v>0</v>
      </c>
      <c r="K323" s="49">
        <f t="shared" ca="1" si="73"/>
        <v>0</v>
      </c>
      <c r="L323" s="61"/>
      <c r="M323" s="61"/>
      <c r="N323" s="61"/>
    </row>
    <row r="324" spans="1:14" ht="21.75" customHeight="1" x14ac:dyDescent="0.4">
      <c r="A324" s="55"/>
      <c r="B324" s="56"/>
      <c r="C324" s="56"/>
      <c r="D324" s="73"/>
      <c r="E324" s="77"/>
      <c r="F324" s="75"/>
      <c r="G324" s="99" t="s">
        <v>138</v>
      </c>
      <c r="H324" s="60" t="s">
        <v>16</v>
      </c>
      <c r="I324" s="248">
        <f ca="1">IFERROR(__xludf.DUMMYFUNCTION("IMPORTRANGE(""https://docs.google.com/spreadsheets/d/1C3CXT74ZlgGe6_JY_1olB1XN4rF0dxEuIIF-xsYjHgg/edit?usp=sharing"",""งบกองทุน!ap31"")"),10)</f>
        <v>10</v>
      </c>
      <c r="J324" s="68">
        <v>0</v>
      </c>
      <c r="K324" s="49">
        <f t="shared" ca="1" si="73"/>
        <v>0</v>
      </c>
      <c r="L324" s="61"/>
      <c r="M324" s="61"/>
      <c r="N324" s="61"/>
    </row>
    <row r="325" spans="1:14" ht="21.75" customHeight="1" x14ac:dyDescent="0.4">
      <c r="A325" s="55"/>
      <c r="B325" s="56"/>
      <c r="C325" s="56"/>
      <c r="D325" s="73"/>
      <c r="E325" s="77"/>
      <c r="F325" s="74" t="s">
        <v>34</v>
      </c>
      <c r="G325" s="240"/>
      <c r="H325" s="241" t="s">
        <v>16</v>
      </c>
      <c r="I325" s="79">
        <f ca="1">SUM(I326,I327)</f>
        <v>21</v>
      </c>
      <c r="J325" s="79">
        <f ca="1">IF(AND(J326=I326,J327=I327),I325,0)</f>
        <v>0</v>
      </c>
      <c r="K325" s="80">
        <f t="shared" ca="1" si="73"/>
        <v>0</v>
      </c>
      <c r="L325" s="61"/>
      <c r="M325" s="61"/>
      <c r="N325" s="61"/>
    </row>
    <row r="326" spans="1:14" ht="21.75" customHeight="1" x14ac:dyDescent="0.4">
      <c r="A326" s="249"/>
      <c r="B326" s="250"/>
      <c r="C326" s="250"/>
      <c r="D326" s="251"/>
      <c r="E326" s="77"/>
      <c r="F326" s="75"/>
      <c r="G326" s="99" t="s">
        <v>139</v>
      </c>
      <c r="H326" s="60" t="s">
        <v>16</v>
      </c>
      <c r="I326" s="248">
        <f ca="1">IFERROR(__xludf.DUMMYFUNCTION("IMPORTRANGE(""https://docs.google.com/spreadsheets/d/1C3CXT74ZlgGe6_JY_1olB1XN4rF0dxEuIIF-xsYjHgg/edit?usp=sharing"",""งบกองทุน!ar31"")"),0)</f>
        <v>0</v>
      </c>
      <c r="J326" s="67">
        <v>0</v>
      </c>
      <c r="K326" s="49">
        <f t="shared" ca="1" si="73"/>
        <v>0</v>
      </c>
      <c r="L326" s="61"/>
      <c r="M326" s="61"/>
      <c r="N326" s="61"/>
    </row>
    <row r="327" spans="1:14" ht="21.75" customHeight="1" x14ac:dyDescent="0.4">
      <c r="A327" s="249"/>
      <c r="B327" s="250"/>
      <c r="C327" s="250"/>
      <c r="D327" s="251"/>
      <c r="E327" s="77"/>
      <c r="F327" s="75"/>
      <c r="G327" s="99" t="s">
        <v>140</v>
      </c>
      <c r="H327" s="60" t="s">
        <v>16</v>
      </c>
      <c r="I327" s="248">
        <f ca="1">IFERROR(__xludf.DUMMYFUNCTION("IMPORTRANGE(""https://docs.google.com/spreadsheets/d/1C3CXT74ZlgGe6_JY_1olB1XN4rF0dxEuIIF-xsYjHgg/edit?usp=sharing"",""งบกองทุน!as31"")"),21)</f>
        <v>21</v>
      </c>
      <c r="J327" s="68">
        <v>0</v>
      </c>
      <c r="K327" s="49">
        <f t="shared" ca="1" si="73"/>
        <v>0</v>
      </c>
      <c r="L327" s="61"/>
      <c r="M327" s="61"/>
      <c r="N327" s="61"/>
    </row>
    <row r="328" spans="1:14" ht="21.75" customHeight="1" x14ac:dyDescent="0.4">
      <c r="A328" s="55"/>
      <c r="B328" s="56"/>
      <c r="C328" s="56"/>
      <c r="D328" s="73"/>
      <c r="E328" s="74" t="s">
        <v>35</v>
      </c>
      <c r="F328" s="75"/>
      <c r="G328" s="76"/>
      <c r="H328" s="66"/>
      <c r="I328" s="67"/>
      <c r="J328" s="68">
        <v>0</v>
      </c>
      <c r="K328" s="49"/>
      <c r="L328" s="61"/>
      <c r="M328" s="61"/>
      <c r="N328" s="61"/>
    </row>
    <row r="329" spans="1:14" ht="21.75" customHeight="1" x14ac:dyDescent="0.4">
      <c r="A329" s="55"/>
      <c r="B329" s="56"/>
      <c r="C329" s="56"/>
      <c r="D329" s="81">
        <v>3</v>
      </c>
      <c r="E329" s="82" t="s">
        <v>36</v>
      </c>
      <c r="F329" s="83"/>
      <c r="G329" s="84"/>
      <c r="H329" s="66"/>
      <c r="I329" s="67"/>
      <c r="J329" s="85">
        <v>0</v>
      </c>
      <c r="K329" s="49"/>
      <c r="L329" s="61"/>
      <c r="M329" s="61"/>
      <c r="N329" s="61"/>
    </row>
    <row r="330" spans="1:14" ht="21.75" customHeight="1" x14ac:dyDescent="0.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20</v>
      </c>
      <c r="J330" s="257">
        <f>+J344</f>
        <v>20</v>
      </c>
      <c r="K330" s="258">
        <f ca="1">IF(I330&gt;0,J330*100/I330,0)</f>
        <v>100</v>
      </c>
      <c r="L330" s="259">
        <f t="shared" ref="L330:M330" ca="1" si="74">SUM(L331:L332)</f>
        <v>95000</v>
      </c>
      <c r="M330" s="259">
        <f t="shared" si="74"/>
        <v>48305</v>
      </c>
      <c r="N330" s="259">
        <f t="shared" ref="N330:N334" ca="1" si="75">+IF(L330&gt;0,M330*100/L330,0)</f>
        <v>50.847368421052629</v>
      </c>
    </row>
    <row r="331" spans="1:14" ht="21.75" customHeight="1" x14ac:dyDescent="0.4">
      <c r="A331" s="42"/>
      <c r="B331" s="43"/>
      <c r="C331" s="43" t="s">
        <v>17</v>
      </c>
      <c r="D331" s="44" t="s">
        <v>18</v>
      </c>
      <c r="E331" s="45"/>
      <c r="F331" s="45"/>
      <c r="G331" s="46" t="s">
        <v>19</v>
      </c>
      <c r="H331" s="47" t="s">
        <v>20</v>
      </c>
      <c r="I331" s="48" t="s">
        <v>21</v>
      </c>
      <c r="J331" s="48"/>
      <c r="K331" s="49"/>
      <c r="L331" s="50">
        <v>0</v>
      </c>
      <c r="M331" s="53">
        <v>0</v>
      </c>
      <c r="N331" s="53">
        <f t="shared" si="75"/>
        <v>0</v>
      </c>
    </row>
    <row r="332" spans="1:14" ht="21.75" customHeight="1" x14ac:dyDescent="0.4">
      <c r="A332" s="42"/>
      <c r="B332" s="43"/>
      <c r="C332" s="43"/>
      <c r="D332" s="51"/>
      <c r="E332" s="45"/>
      <c r="F332" s="45" t="s">
        <v>21</v>
      </c>
      <c r="G332" s="46" t="s">
        <v>22</v>
      </c>
      <c r="H332" s="47" t="s">
        <v>20</v>
      </c>
      <c r="I332" s="48"/>
      <c r="J332" s="48"/>
      <c r="K332" s="49"/>
      <c r="L332" s="50">
        <f t="shared" ref="L332:M332" ca="1" si="76">SUM(L333:L334)</f>
        <v>95000</v>
      </c>
      <c r="M332" s="53">
        <f t="shared" si="76"/>
        <v>48305</v>
      </c>
      <c r="N332" s="53">
        <f t="shared" ca="1" si="75"/>
        <v>50.847368421052629</v>
      </c>
    </row>
    <row r="333" spans="1:14" ht="21.75" customHeight="1" x14ac:dyDescent="0.4">
      <c r="A333" s="42"/>
      <c r="B333" s="43"/>
      <c r="C333" s="43"/>
      <c r="D333" s="51"/>
      <c r="E333" s="45"/>
      <c r="F333" s="45"/>
      <c r="G333" s="52" t="s">
        <v>110</v>
      </c>
      <c r="H333" s="47" t="s">
        <v>20</v>
      </c>
      <c r="I333" s="48"/>
      <c r="J333" s="48"/>
      <c r="K333" s="49"/>
      <c r="L333" s="53">
        <f ca="1">IFERROR(__xludf.DUMMYFUNCTION("IMPORTRANGE(""https://docs.google.com/spreadsheets/d/1C3CXT74ZlgGe6_JY_1olB1XN4rF0dxEuIIF-xsYjHgg/edit?usp=sharing"",""งบกองทุน!au31"")"),0)</f>
        <v>0</v>
      </c>
      <c r="M333" s="53">
        <v>0</v>
      </c>
      <c r="N333" s="53">
        <f t="shared" ca="1" si="75"/>
        <v>0</v>
      </c>
    </row>
    <row r="334" spans="1:14" ht="21.75" customHeight="1" x14ac:dyDescent="0.4">
      <c r="A334" s="42"/>
      <c r="B334" s="43"/>
      <c r="C334" s="43"/>
      <c r="D334" s="51"/>
      <c r="E334" s="45"/>
      <c r="F334" s="45"/>
      <c r="G334" s="52" t="s">
        <v>111</v>
      </c>
      <c r="H334" s="47" t="s">
        <v>20</v>
      </c>
      <c r="I334" s="48"/>
      <c r="J334" s="48"/>
      <c r="K334" s="49"/>
      <c r="L334" s="53">
        <f ca="1">IFERROR(__xludf.DUMMYFUNCTION("IMPORTRANGE(""https://docs.google.com/spreadsheets/d/1C3CXT74ZlgGe6_JY_1olB1XN4rF0dxEuIIF-xsYjHgg/edit?usp=sharing"",""งบกองทุน!av31"")"),95000)</f>
        <v>95000</v>
      </c>
      <c r="M334" s="53">
        <f>SUM(M335:M338)</f>
        <v>48305</v>
      </c>
      <c r="N334" s="53">
        <f t="shared" ca="1" si="75"/>
        <v>50.847368421052629</v>
      </c>
    </row>
    <row r="335" spans="1:14" ht="21.75" customHeight="1" x14ac:dyDescent="0.4">
      <c r="A335" s="230"/>
      <c r="B335" s="231"/>
      <c r="C335" s="43"/>
      <c r="D335" s="232"/>
      <c r="E335" s="45"/>
      <c r="F335" s="45"/>
      <c r="G335" s="46" t="s">
        <v>112</v>
      </c>
      <c r="H335" s="47" t="s">
        <v>20</v>
      </c>
      <c r="I335" s="67"/>
      <c r="J335" s="67"/>
      <c r="K335" s="233"/>
      <c r="L335" s="53"/>
      <c r="M335" s="54">
        <v>44200</v>
      </c>
      <c r="N335" s="53"/>
    </row>
    <row r="336" spans="1:14" ht="21.75" customHeight="1" x14ac:dyDescent="0.4">
      <c r="A336" s="230"/>
      <c r="B336" s="231"/>
      <c r="C336" s="43"/>
      <c r="D336" s="232"/>
      <c r="E336" s="45"/>
      <c r="F336" s="45"/>
      <c r="G336" s="46" t="s">
        <v>113</v>
      </c>
      <c r="H336" s="47" t="s">
        <v>20</v>
      </c>
      <c r="I336" s="67"/>
      <c r="J336" s="67"/>
      <c r="K336" s="233"/>
      <c r="L336" s="53"/>
      <c r="M336" s="54">
        <v>0</v>
      </c>
      <c r="N336" s="53"/>
    </row>
    <row r="337" spans="1:14" ht="21.75" customHeight="1" x14ac:dyDescent="0.4">
      <c r="A337" s="230"/>
      <c r="B337" s="231"/>
      <c r="C337" s="43"/>
      <c r="D337" s="232"/>
      <c r="E337" s="45"/>
      <c r="F337" s="45"/>
      <c r="G337" s="46" t="s">
        <v>114</v>
      </c>
      <c r="H337" s="47" t="s">
        <v>20</v>
      </c>
      <c r="I337" s="67"/>
      <c r="J337" s="67"/>
      <c r="K337" s="233"/>
      <c r="L337" s="53"/>
      <c r="M337" s="54">
        <v>0</v>
      </c>
      <c r="N337" s="53"/>
    </row>
    <row r="338" spans="1:14" ht="21.75" customHeight="1" x14ac:dyDescent="0.4">
      <c r="A338" s="230"/>
      <c r="B338" s="231"/>
      <c r="C338" s="43"/>
      <c r="D338" s="232"/>
      <c r="E338" s="45"/>
      <c r="F338" s="45"/>
      <c r="G338" s="46" t="s">
        <v>115</v>
      </c>
      <c r="H338" s="47" t="s">
        <v>20</v>
      </c>
      <c r="I338" s="67"/>
      <c r="J338" s="67"/>
      <c r="K338" s="233"/>
      <c r="L338" s="53"/>
      <c r="M338" s="54">
        <v>4105</v>
      </c>
      <c r="N338" s="53"/>
    </row>
    <row r="339" spans="1:14" ht="21.75" customHeight="1" x14ac:dyDescent="0.4">
      <c r="A339" s="55"/>
      <c r="B339" s="56"/>
      <c r="C339" s="43" t="s">
        <v>17</v>
      </c>
      <c r="D339" s="57" t="s">
        <v>25</v>
      </c>
      <c r="E339" s="58"/>
      <c r="F339" s="58"/>
      <c r="G339" s="59"/>
      <c r="H339" s="60"/>
      <c r="I339" s="48"/>
      <c r="J339" s="48"/>
      <c r="K339" s="49"/>
      <c r="L339" s="61"/>
      <c r="M339" s="61"/>
      <c r="N339" s="61"/>
    </row>
    <row r="340" spans="1:14" ht="21.75" customHeight="1" x14ac:dyDescent="0.4">
      <c r="A340" s="55"/>
      <c r="B340" s="56"/>
      <c r="C340" s="56"/>
      <c r="D340" s="62">
        <v>1</v>
      </c>
      <c r="E340" s="63" t="s">
        <v>26</v>
      </c>
      <c r="F340" s="64"/>
      <c r="G340" s="65"/>
      <c r="H340" s="66"/>
      <c r="I340" s="67"/>
      <c r="J340" s="85">
        <v>0</v>
      </c>
      <c r="K340" s="49"/>
      <c r="L340" s="61"/>
      <c r="M340" s="61"/>
      <c r="N340" s="61"/>
    </row>
    <row r="341" spans="1:14" ht="21.75" customHeight="1" x14ac:dyDescent="0.4">
      <c r="A341" s="55"/>
      <c r="B341" s="56"/>
      <c r="C341" s="56"/>
      <c r="D341" s="69">
        <v>2</v>
      </c>
      <c r="E341" s="70" t="s">
        <v>27</v>
      </c>
      <c r="F341" s="71"/>
      <c r="G341" s="72"/>
      <c r="H341" s="66"/>
      <c r="I341" s="67"/>
      <c r="J341" s="85">
        <v>0</v>
      </c>
      <c r="K341" s="49"/>
      <c r="L341" s="61" t="s">
        <v>21</v>
      </c>
      <c r="M341" s="61" t="s">
        <v>21</v>
      </c>
      <c r="N341" s="61"/>
    </row>
    <row r="342" spans="1:14" ht="21.75" customHeight="1" x14ac:dyDescent="0.4">
      <c r="A342" s="55"/>
      <c r="B342" s="56"/>
      <c r="C342" s="56"/>
      <c r="D342" s="73"/>
      <c r="E342" s="74" t="s">
        <v>142</v>
      </c>
      <c r="F342" s="75"/>
      <c r="G342" s="76"/>
      <c r="H342" s="66"/>
      <c r="I342" s="67"/>
      <c r="J342" s="68">
        <v>0</v>
      </c>
      <c r="K342" s="49"/>
      <c r="L342" s="61"/>
      <c r="M342" s="61"/>
      <c r="N342" s="61"/>
    </row>
    <row r="343" spans="1:14" ht="21.75" customHeight="1" x14ac:dyDescent="0.4">
      <c r="A343" s="55"/>
      <c r="B343" s="56"/>
      <c r="C343" s="56"/>
      <c r="D343" s="73"/>
      <c r="E343" s="74" t="s">
        <v>29</v>
      </c>
      <c r="F343" s="75"/>
      <c r="G343" s="76"/>
      <c r="H343" s="66"/>
      <c r="I343" s="67"/>
      <c r="J343" s="68">
        <v>0</v>
      </c>
      <c r="K343" s="49"/>
      <c r="L343" s="61"/>
      <c r="M343" s="61"/>
      <c r="N343" s="61"/>
    </row>
    <row r="344" spans="1:14" ht="21.75" customHeight="1" x14ac:dyDescent="0.4">
      <c r="A344" s="55"/>
      <c r="B344" s="56"/>
      <c r="C344" s="56"/>
      <c r="D344" s="73"/>
      <c r="E344" s="77"/>
      <c r="F344" s="260" t="s">
        <v>82</v>
      </c>
      <c r="G344" s="76"/>
      <c r="H344" s="66" t="s">
        <v>16</v>
      </c>
      <c r="I344" s="243">
        <f t="shared" ref="I344:J344" ca="1" si="77">+I345+I346+I347</f>
        <v>20</v>
      </c>
      <c r="J344" s="79">
        <f t="shared" si="77"/>
        <v>20</v>
      </c>
      <c r="K344" s="49">
        <f t="shared" ref="K344:K347" ca="1" si="78">IF(I344&gt;0,J344*100/I344,0)</f>
        <v>100</v>
      </c>
      <c r="L344" s="61"/>
      <c r="M344" s="61"/>
      <c r="N344" s="61"/>
    </row>
    <row r="345" spans="1:14" ht="21.75" customHeight="1" x14ac:dyDescent="0.4">
      <c r="A345" s="55"/>
      <c r="B345" s="56"/>
      <c r="C345" s="56"/>
      <c r="D345" s="73"/>
      <c r="E345" s="77"/>
      <c r="F345" s="75"/>
      <c r="G345" s="99" t="s">
        <v>143</v>
      </c>
      <c r="H345" s="66" t="s">
        <v>16</v>
      </c>
      <c r="I345" s="200">
        <f ca="1">IFERROR(__xludf.DUMMYFUNCTION("IMPORTRANGE(""https://docs.google.com/spreadsheets/d/1C3CXT74ZlgGe6_JY_1olB1XN4rF0dxEuIIF-xsYjHgg/edit?usp=sharing"",""งบกองทุน!ay31"")"),20)</f>
        <v>20</v>
      </c>
      <c r="J345" s="68">
        <v>20</v>
      </c>
      <c r="K345" s="49">
        <f t="shared" ca="1" si="78"/>
        <v>100</v>
      </c>
      <c r="L345" s="61"/>
      <c r="M345" s="61"/>
      <c r="N345" s="61"/>
    </row>
    <row r="346" spans="1:14" ht="21.75" customHeight="1" x14ac:dyDescent="0.4">
      <c r="A346" s="55"/>
      <c r="B346" s="56"/>
      <c r="C346" s="56"/>
      <c r="D346" s="73"/>
      <c r="E346" s="77"/>
      <c r="F346" s="75"/>
      <c r="G346" s="76" t="s">
        <v>242</v>
      </c>
      <c r="H346" s="66" t="s">
        <v>16</v>
      </c>
      <c r="I346" s="200">
        <f ca="1">IFERROR(__xludf.DUMMYFUNCTION("IMPORTRANGE(""https://docs.google.com/spreadsheets/d/1C3CXT74ZlgGe6_JY_1olB1XN4rF0dxEuIIF-xsYjHgg/edit?usp=sharing"",""งบกองทุน!az31"")"),0)</f>
        <v>0</v>
      </c>
      <c r="J346" s="67">
        <v>0</v>
      </c>
      <c r="K346" s="49">
        <f t="shared" ca="1" si="78"/>
        <v>0</v>
      </c>
      <c r="L346" s="61"/>
      <c r="M346" s="61"/>
      <c r="N346" s="61"/>
    </row>
    <row r="347" spans="1:14" ht="21.75" customHeight="1" x14ac:dyDescent="0.4">
      <c r="A347" s="55"/>
      <c r="B347" s="56"/>
      <c r="C347" s="56"/>
      <c r="D347" s="73"/>
      <c r="E347" s="77"/>
      <c r="F347" s="75"/>
      <c r="G347" s="76" t="s">
        <v>145</v>
      </c>
      <c r="H347" s="66" t="s">
        <v>16</v>
      </c>
      <c r="I347" s="67">
        <f ca="1">IFERROR(__xludf.DUMMYFUNCTION("IMPORTRANGE(""https://docs.google.com/spreadsheets/d/1C3CXT74ZlgGe6_JY_1olB1XN4rF0dxEuIIF-xsYjHgg/edit?usp=sharing"",""งบกองทุน!Ba31"")"),0)</f>
        <v>0</v>
      </c>
      <c r="J347" s="67">
        <v>0</v>
      </c>
      <c r="K347" s="49">
        <f t="shared" ca="1" si="78"/>
        <v>0</v>
      </c>
      <c r="L347" s="61"/>
      <c r="M347" s="61"/>
      <c r="N347" s="61"/>
    </row>
    <row r="348" spans="1:14" ht="21.75" customHeight="1" x14ac:dyDescent="0.4">
      <c r="A348" s="55"/>
      <c r="B348" s="56"/>
      <c r="C348" s="56"/>
      <c r="D348" s="73"/>
      <c r="E348" s="74" t="s">
        <v>35</v>
      </c>
      <c r="F348" s="75"/>
      <c r="G348" s="76"/>
      <c r="H348" s="66"/>
      <c r="I348" s="67"/>
      <c r="J348" s="68">
        <v>1</v>
      </c>
      <c r="K348" s="49"/>
      <c r="L348" s="61"/>
      <c r="M348" s="61"/>
      <c r="N348" s="61"/>
    </row>
    <row r="349" spans="1:14" ht="21.75" customHeight="1" x14ac:dyDescent="0.4">
      <c r="A349" s="55"/>
      <c r="B349" s="56"/>
      <c r="C349" s="56"/>
      <c r="D349" s="81">
        <v>3</v>
      </c>
      <c r="E349" s="82" t="s">
        <v>36</v>
      </c>
      <c r="F349" s="83"/>
      <c r="G349" s="84"/>
      <c r="H349" s="66"/>
      <c r="I349" s="67"/>
      <c r="J349" s="85">
        <v>1</v>
      </c>
      <c r="K349" s="49"/>
      <c r="L349" s="61"/>
      <c r="M349" s="61"/>
      <c r="N349" s="61"/>
    </row>
    <row r="350" spans="1:14" ht="21.75" customHeight="1" x14ac:dyDescent="0.4">
      <c r="A350" s="222"/>
      <c r="B350" s="223">
        <v>5</v>
      </c>
      <c r="C350" s="224" t="s">
        <v>146</v>
      </c>
      <c r="D350" s="224"/>
      <c r="E350" s="224"/>
      <c r="F350" s="224"/>
      <c r="G350" s="225"/>
      <c r="H350" s="226" t="s">
        <v>103</v>
      </c>
      <c r="I350" s="227">
        <f ca="1">I359</f>
        <v>4118</v>
      </c>
      <c r="J350" s="227">
        <f>+J359</f>
        <v>0</v>
      </c>
      <c r="K350" s="228">
        <f ca="1">IF(I350&gt;0,J350*100/I350,0)</f>
        <v>0</v>
      </c>
      <c r="L350" s="229">
        <f t="shared" ref="L350:M350" ca="1" si="79">SUM(L351:L352)</f>
        <v>96393</v>
      </c>
      <c r="M350" s="229">
        <f t="shared" si="79"/>
        <v>0</v>
      </c>
      <c r="N350" s="229">
        <f t="shared" ref="N350:N354" ca="1" si="80">+IF(L350&gt;0,M350*100/L350,0)</f>
        <v>0</v>
      </c>
    </row>
    <row r="351" spans="1:14" ht="21.75" customHeight="1" x14ac:dyDescent="0.4">
      <c r="A351" s="42"/>
      <c r="B351" s="43"/>
      <c r="C351" s="43" t="s">
        <v>17</v>
      </c>
      <c r="D351" s="44" t="s">
        <v>18</v>
      </c>
      <c r="E351" s="45"/>
      <c r="F351" s="45"/>
      <c r="G351" s="46" t="s">
        <v>19</v>
      </c>
      <c r="H351" s="47" t="s">
        <v>20</v>
      </c>
      <c r="I351" s="48" t="s">
        <v>21</v>
      </c>
      <c r="J351" s="48"/>
      <c r="K351" s="49"/>
      <c r="L351" s="50">
        <v>0</v>
      </c>
      <c r="M351" s="53">
        <v>0</v>
      </c>
      <c r="N351" s="53">
        <f t="shared" si="80"/>
        <v>0</v>
      </c>
    </row>
    <row r="352" spans="1:14" ht="21.75" customHeight="1" x14ac:dyDescent="0.4">
      <c r="A352" s="42"/>
      <c r="B352" s="43"/>
      <c r="C352" s="43"/>
      <c r="D352" s="51"/>
      <c r="E352" s="45"/>
      <c r="F352" s="45" t="s">
        <v>21</v>
      </c>
      <c r="G352" s="46" t="s">
        <v>22</v>
      </c>
      <c r="H352" s="47" t="s">
        <v>20</v>
      </c>
      <c r="I352" s="48"/>
      <c r="J352" s="48"/>
      <c r="K352" s="49"/>
      <c r="L352" s="50">
        <f t="shared" ref="L352:M352" ca="1" si="81">SUM(L353:L354)</f>
        <v>96393</v>
      </c>
      <c r="M352" s="53">
        <f t="shared" si="81"/>
        <v>0</v>
      </c>
      <c r="N352" s="53">
        <f t="shared" ca="1" si="80"/>
        <v>0</v>
      </c>
    </row>
    <row r="353" spans="1:14" ht="21.75" customHeight="1" x14ac:dyDescent="0.4">
      <c r="A353" s="42"/>
      <c r="B353" s="43"/>
      <c r="C353" s="43"/>
      <c r="D353" s="51"/>
      <c r="E353" s="45"/>
      <c r="F353" s="45"/>
      <c r="G353" s="52" t="s">
        <v>110</v>
      </c>
      <c r="H353" s="47" t="s">
        <v>20</v>
      </c>
      <c r="I353" s="48"/>
      <c r="J353" s="48"/>
      <c r="K353" s="49"/>
      <c r="L353" s="53">
        <f ca="1">IFERROR(__xludf.DUMMYFUNCTION("IMPORTRANGE(""https://docs.google.com/spreadsheets/d/1C3CXT74ZlgGe6_JY_1olB1XN4rF0dxEuIIF-xsYjHgg/edit?usp=sharing"",""งบกองทุน!Bc31"")"),0)</f>
        <v>0</v>
      </c>
      <c r="M353" s="53">
        <v>0</v>
      </c>
      <c r="N353" s="53">
        <f t="shared" ca="1" si="80"/>
        <v>0</v>
      </c>
    </row>
    <row r="354" spans="1:14" ht="21.75" customHeight="1" x14ac:dyDescent="0.4">
      <c r="A354" s="42"/>
      <c r="B354" s="43"/>
      <c r="C354" s="43"/>
      <c r="D354" s="51"/>
      <c r="E354" s="45"/>
      <c r="F354" s="45"/>
      <c r="G354" s="52" t="s">
        <v>111</v>
      </c>
      <c r="H354" s="47" t="s">
        <v>20</v>
      </c>
      <c r="I354" s="48"/>
      <c r="J354" s="48"/>
      <c r="K354" s="49"/>
      <c r="L354" s="53">
        <f ca="1">IFERROR(__xludf.DUMMYFUNCTION("IMPORTRANGE(""https://docs.google.com/spreadsheets/d/1C3CXT74ZlgGe6_JY_1olB1XN4rF0dxEuIIF-xsYjHgg/edit?usp=sharing"",""งบกองทุน!Bd31"")"),96393)</f>
        <v>96393</v>
      </c>
      <c r="M354" s="53">
        <f>SUM(M355:M358)</f>
        <v>0</v>
      </c>
      <c r="N354" s="53">
        <f t="shared" ca="1" si="80"/>
        <v>0</v>
      </c>
    </row>
    <row r="355" spans="1:14" ht="21.75" customHeight="1" x14ac:dyDescent="0.4">
      <c r="A355" s="230"/>
      <c r="B355" s="231"/>
      <c r="C355" s="43"/>
      <c r="D355" s="232"/>
      <c r="E355" s="45"/>
      <c r="F355" s="45"/>
      <c r="G355" s="46" t="s">
        <v>112</v>
      </c>
      <c r="H355" s="47" t="s">
        <v>20</v>
      </c>
      <c r="I355" s="67"/>
      <c r="J355" s="67"/>
      <c r="K355" s="233"/>
      <c r="L355" s="53"/>
      <c r="M355" s="53">
        <v>0</v>
      </c>
      <c r="N355" s="53"/>
    </row>
    <row r="356" spans="1:14" ht="21.75" customHeight="1" x14ac:dyDescent="0.4">
      <c r="A356" s="230"/>
      <c r="B356" s="231"/>
      <c r="C356" s="43"/>
      <c r="D356" s="232"/>
      <c r="E356" s="45"/>
      <c r="F356" s="45"/>
      <c r="G356" s="46" t="s">
        <v>113</v>
      </c>
      <c r="H356" s="47" t="s">
        <v>20</v>
      </c>
      <c r="I356" s="67"/>
      <c r="J356" s="67"/>
      <c r="K356" s="233"/>
      <c r="L356" s="53"/>
      <c r="M356" s="53">
        <v>0</v>
      </c>
      <c r="N356" s="53"/>
    </row>
    <row r="357" spans="1:14" ht="21.75" customHeight="1" x14ac:dyDescent="0.4">
      <c r="A357" s="230"/>
      <c r="B357" s="231"/>
      <c r="C357" s="43"/>
      <c r="D357" s="232"/>
      <c r="E357" s="45"/>
      <c r="F357" s="45"/>
      <c r="G357" s="46" t="s">
        <v>114</v>
      </c>
      <c r="H357" s="47" t="s">
        <v>20</v>
      </c>
      <c r="I357" s="67"/>
      <c r="J357" s="67"/>
      <c r="K357" s="233"/>
      <c r="L357" s="53"/>
      <c r="M357" s="54">
        <v>0</v>
      </c>
      <c r="N357" s="53"/>
    </row>
    <row r="358" spans="1:14" ht="21.75" customHeight="1" x14ac:dyDescent="0.4">
      <c r="A358" s="230"/>
      <c r="B358" s="231"/>
      <c r="C358" s="43"/>
      <c r="D358" s="232"/>
      <c r="E358" s="45"/>
      <c r="F358" s="45"/>
      <c r="G358" s="46" t="s">
        <v>115</v>
      </c>
      <c r="H358" s="47" t="s">
        <v>20</v>
      </c>
      <c r="I358" s="67"/>
      <c r="J358" s="67"/>
      <c r="K358" s="233"/>
      <c r="L358" s="53"/>
      <c r="M358" s="54">
        <v>0</v>
      </c>
      <c r="N358" s="53"/>
    </row>
    <row r="359" spans="1:14" ht="21.75" customHeight="1" x14ac:dyDescent="0.4">
      <c r="A359" s="55"/>
      <c r="B359" s="56"/>
      <c r="C359" s="261" t="s">
        <v>147</v>
      </c>
      <c r="D359" s="261"/>
      <c r="E359" s="262"/>
      <c r="F359" s="262"/>
      <c r="G359" s="263"/>
      <c r="H359" s="136" t="s">
        <v>103</v>
      </c>
      <c r="I359" s="137">
        <f ca="1">IFERROR(__xludf.DUMMYFUNCTION("IMPORTRANGE(""https://docs.google.com/spreadsheets/d/1C3CXT74ZlgGe6_JY_1olB1XN4rF0dxEuIIF-xsYjHgg/edit?usp=sharing"",""งบกองทุน!BE31"")"),4118)</f>
        <v>4118</v>
      </c>
      <c r="J359" s="137">
        <f>+J376</f>
        <v>0</v>
      </c>
      <c r="K359" s="138">
        <f t="shared" ref="K359:K425" ca="1" si="82">IF(I359&gt;0,J359*100/I359,0)</f>
        <v>0</v>
      </c>
      <c r="L359" s="140"/>
      <c r="M359" s="140"/>
      <c r="N359" s="140"/>
    </row>
    <row r="360" spans="1:14" ht="21.75" customHeight="1" x14ac:dyDescent="0.4">
      <c r="A360" s="249"/>
      <c r="B360" s="250"/>
      <c r="C360" s="250"/>
      <c r="D360" s="251"/>
      <c r="E360" s="73" t="s">
        <v>148</v>
      </c>
      <c r="F360" s="75"/>
      <c r="G360" s="76"/>
      <c r="H360" s="264" t="s">
        <v>103</v>
      </c>
      <c r="I360" s="265">
        <f ca="1">I359</f>
        <v>4118</v>
      </c>
      <c r="J360" s="265">
        <f t="shared" ref="J360:J361" si="83">+J362+J364+J366</f>
        <v>0</v>
      </c>
      <c r="K360" s="80">
        <f t="shared" ca="1" si="82"/>
        <v>0</v>
      </c>
      <c r="L360" s="61"/>
      <c r="M360" s="61"/>
      <c r="N360" s="61"/>
    </row>
    <row r="361" spans="1:14" ht="21.75" customHeight="1" x14ac:dyDescent="0.4">
      <c r="A361" s="249"/>
      <c r="B361" s="250"/>
      <c r="C361" s="250"/>
      <c r="D361" s="251"/>
      <c r="E361" s="75"/>
      <c r="F361" s="75"/>
      <c r="G361" s="76"/>
      <c r="H361" s="264" t="s">
        <v>15</v>
      </c>
      <c r="I361" s="79">
        <f ca="1">IFERROR(__xludf.DUMMYFUNCTION("IMPORTRANGE(""https://docs.google.com/spreadsheets/d/1C3CXT74ZlgGe6_JY_1olB1XN4rF0dxEuIIF-xsYjHgg/edit?usp=sharing"",""งบกองทุน!BF31"")"),1134)</f>
        <v>1134</v>
      </c>
      <c r="J361" s="265">
        <f t="shared" si="83"/>
        <v>0</v>
      </c>
      <c r="K361" s="80">
        <f t="shared" ca="1" si="82"/>
        <v>0</v>
      </c>
      <c r="L361" s="61"/>
      <c r="M361" s="61"/>
      <c r="N361" s="61"/>
    </row>
    <row r="362" spans="1:14" ht="21.75" customHeight="1" x14ac:dyDescent="0.4">
      <c r="A362" s="249"/>
      <c r="B362" s="250"/>
      <c r="C362" s="250"/>
      <c r="D362" s="251"/>
      <c r="E362" s="75"/>
      <c r="F362" s="242" t="s">
        <v>149</v>
      </c>
      <c r="G362" s="266"/>
      <c r="H362" s="267" t="s">
        <v>103</v>
      </c>
      <c r="I362" s="48">
        <v>0</v>
      </c>
      <c r="J362" s="68">
        <v>0</v>
      </c>
      <c r="K362" s="49">
        <f t="shared" si="82"/>
        <v>0</v>
      </c>
      <c r="L362" s="61"/>
      <c r="M362" s="61"/>
      <c r="N362" s="61"/>
    </row>
    <row r="363" spans="1:14" ht="21.75" customHeight="1" x14ac:dyDescent="0.4">
      <c r="A363" s="249"/>
      <c r="B363" s="250"/>
      <c r="C363" s="250"/>
      <c r="D363" s="251"/>
      <c r="E363" s="75"/>
      <c r="F363" s="75"/>
      <c r="G363" s="266"/>
      <c r="H363" s="267" t="s">
        <v>15</v>
      </c>
      <c r="I363" s="48">
        <v>0</v>
      </c>
      <c r="J363" s="68">
        <v>0</v>
      </c>
      <c r="K363" s="49">
        <f t="shared" si="82"/>
        <v>0</v>
      </c>
      <c r="L363" s="61"/>
      <c r="M363" s="61"/>
      <c r="N363" s="61"/>
    </row>
    <row r="364" spans="1:14" ht="21.75" customHeight="1" x14ac:dyDescent="0.4">
      <c r="A364" s="249"/>
      <c r="B364" s="250"/>
      <c r="C364" s="250"/>
      <c r="D364" s="251"/>
      <c r="E364" s="75"/>
      <c r="F364" s="242" t="s">
        <v>150</v>
      </c>
      <c r="G364" s="266"/>
      <c r="H364" s="267" t="s">
        <v>103</v>
      </c>
      <c r="I364" s="48">
        <v>0</v>
      </c>
      <c r="J364" s="68">
        <v>0</v>
      </c>
      <c r="K364" s="49">
        <f t="shared" si="82"/>
        <v>0</v>
      </c>
      <c r="L364" s="61"/>
      <c r="M364" s="61"/>
      <c r="N364" s="61"/>
    </row>
    <row r="365" spans="1:14" ht="21.75" customHeight="1" x14ac:dyDescent="0.4">
      <c r="A365" s="249"/>
      <c r="B365" s="250"/>
      <c r="C365" s="250"/>
      <c r="D365" s="251"/>
      <c r="E365" s="75"/>
      <c r="F365" s="75"/>
      <c r="G365" s="266"/>
      <c r="H365" s="267" t="s">
        <v>15</v>
      </c>
      <c r="I365" s="48">
        <v>0</v>
      </c>
      <c r="J365" s="68">
        <v>0</v>
      </c>
      <c r="K365" s="49">
        <f t="shared" si="82"/>
        <v>0</v>
      </c>
      <c r="L365" s="61"/>
      <c r="M365" s="61"/>
      <c r="N365" s="61"/>
    </row>
    <row r="366" spans="1:14" ht="21.75" customHeight="1" x14ac:dyDescent="0.4">
      <c r="A366" s="249"/>
      <c r="B366" s="250"/>
      <c r="C366" s="250"/>
      <c r="D366" s="251"/>
      <c r="E366" s="75"/>
      <c r="F366" s="242" t="s">
        <v>151</v>
      </c>
      <c r="G366" s="266"/>
      <c r="H366" s="267" t="s">
        <v>103</v>
      </c>
      <c r="I366" s="48">
        <v>0</v>
      </c>
      <c r="J366" s="68">
        <v>0</v>
      </c>
      <c r="K366" s="49">
        <f t="shared" si="82"/>
        <v>0</v>
      </c>
      <c r="L366" s="61"/>
      <c r="M366" s="61"/>
      <c r="N366" s="61"/>
    </row>
    <row r="367" spans="1:14" ht="21.75" customHeight="1" x14ac:dyDescent="0.4">
      <c r="A367" s="249"/>
      <c r="B367" s="250"/>
      <c r="C367" s="250"/>
      <c r="D367" s="251"/>
      <c r="E367" s="75"/>
      <c r="F367" s="75"/>
      <c r="G367" s="75"/>
      <c r="H367" s="267" t="s">
        <v>15</v>
      </c>
      <c r="I367" s="48">
        <v>0</v>
      </c>
      <c r="J367" s="68">
        <v>0</v>
      </c>
      <c r="K367" s="49">
        <f t="shared" si="82"/>
        <v>0</v>
      </c>
      <c r="L367" s="61"/>
      <c r="M367" s="61"/>
      <c r="N367" s="61"/>
    </row>
    <row r="368" spans="1:14" ht="21.75" customHeight="1" x14ac:dyDescent="0.4">
      <c r="A368" s="249"/>
      <c r="B368" s="250"/>
      <c r="C368" s="250"/>
      <c r="D368" s="251"/>
      <c r="E368" s="155" t="s">
        <v>152</v>
      </c>
      <c r="F368" s="75"/>
      <c r="G368" s="76"/>
      <c r="H368" s="264" t="s">
        <v>103</v>
      </c>
      <c r="I368" s="265">
        <f ca="1">+I359</f>
        <v>4118</v>
      </c>
      <c r="J368" s="265">
        <f t="shared" ref="J368:J369" si="84">+J370+J372+J374</f>
        <v>0</v>
      </c>
      <c r="K368" s="80">
        <f t="shared" ca="1" si="82"/>
        <v>0</v>
      </c>
      <c r="L368" s="61"/>
      <c r="M368" s="61"/>
      <c r="N368" s="61"/>
    </row>
    <row r="369" spans="1:14" ht="21.75" customHeight="1" x14ac:dyDescent="0.4">
      <c r="A369" s="249"/>
      <c r="B369" s="250"/>
      <c r="C369" s="250"/>
      <c r="D369" s="251"/>
      <c r="E369" s="75"/>
      <c r="F369" s="75"/>
      <c r="G369" s="76"/>
      <c r="H369" s="264" t="s">
        <v>15</v>
      </c>
      <c r="I369" s="265">
        <f ca="1">I361</f>
        <v>1134</v>
      </c>
      <c r="J369" s="265">
        <f t="shared" si="84"/>
        <v>0</v>
      </c>
      <c r="K369" s="80">
        <f t="shared" ca="1" si="82"/>
        <v>0</v>
      </c>
      <c r="L369" s="61"/>
      <c r="M369" s="61"/>
      <c r="N369" s="61"/>
    </row>
    <row r="370" spans="1:14" ht="21.75" customHeight="1" x14ac:dyDescent="0.4">
      <c r="A370" s="249"/>
      <c r="B370" s="250"/>
      <c r="C370" s="250"/>
      <c r="D370" s="251"/>
      <c r="E370" s="75"/>
      <c r="F370" s="74" t="s">
        <v>153</v>
      </c>
      <c r="G370" s="266"/>
      <c r="H370" s="267" t="s">
        <v>103</v>
      </c>
      <c r="I370" s="48">
        <v>0</v>
      </c>
      <c r="J370" s="68">
        <v>0</v>
      </c>
      <c r="K370" s="49">
        <f t="shared" si="82"/>
        <v>0</v>
      </c>
      <c r="L370" s="61"/>
      <c r="M370" s="61"/>
      <c r="N370" s="61"/>
    </row>
    <row r="371" spans="1:14" ht="21.75" customHeight="1" x14ac:dyDescent="0.4">
      <c r="A371" s="249"/>
      <c r="B371" s="250"/>
      <c r="C371" s="250"/>
      <c r="D371" s="251"/>
      <c r="E371" s="75"/>
      <c r="F371" s="75"/>
      <c r="G371" s="266"/>
      <c r="H371" s="267" t="s">
        <v>15</v>
      </c>
      <c r="I371" s="48">
        <v>0</v>
      </c>
      <c r="J371" s="68">
        <v>0</v>
      </c>
      <c r="K371" s="49">
        <f t="shared" si="82"/>
        <v>0</v>
      </c>
      <c r="L371" s="61"/>
      <c r="M371" s="61"/>
      <c r="N371" s="61"/>
    </row>
    <row r="372" spans="1:14" ht="21.75" customHeight="1" x14ac:dyDescent="0.4">
      <c r="A372" s="249"/>
      <c r="B372" s="250"/>
      <c r="C372" s="250"/>
      <c r="D372" s="251"/>
      <c r="E372" s="75"/>
      <c r="F372" s="74" t="s">
        <v>154</v>
      </c>
      <c r="G372" s="266"/>
      <c r="H372" s="267" t="s">
        <v>103</v>
      </c>
      <c r="I372" s="48">
        <v>0</v>
      </c>
      <c r="J372" s="68">
        <v>0</v>
      </c>
      <c r="K372" s="49">
        <f t="shared" si="82"/>
        <v>0</v>
      </c>
      <c r="L372" s="61"/>
      <c r="M372" s="61"/>
      <c r="N372" s="61"/>
    </row>
    <row r="373" spans="1:14" ht="21.75" customHeight="1" x14ac:dyDescent="0.4">
      <c r="A373" s="249"/>
      <c r="B373" s="250"/>
      <c r="C373" s="250"/>
      <c r="D373" s="251"/>
      <c r="E373" s="75"/>
      <c r="F373" s="75"/>
      <c r="G373" s="266"/>
      <c r="H373" s="267" t="s">
        <v>15</v>
      </c>
      <c r="I373" s="48">
        <v>0</v>
      </c>
      <c r="J373" s="68">
        <v>0</v>
      </c>
      <c r="K373" s="49">
        <f t="shared" si="82"/>
        <v>0</v>
      </c>
      <c r="L373" s="61"/>
      <c r="M373" s="61"/>
      <c r="N373" s="61"/>
    </row>
    <row r="374" spans="1:14" ht="21.75" customHeight="1" x14ac:dyDescent="0.4">
      <c r="A374" s="249"/>
      <c r="B374" s="250"/>
      <c r="C374" s="250"/>
      <c r="D374" s="251"/>
      <c r="E374" s="75"/>
      <c r="F374" s="74" t="s">
        <v>155</v>
      </c>
      <c r="G374" s="266"/>
      <c r="H374" s="267" t="s">
        <v>103</v>
      </c>
      <c r="I374" s="48">
        <v>0</v>
      </c>
      <c r="J374" s="68">
        <v>0</v>
      </c>
      <c r="K374" s="49">
        <f t="shared" si="82"/>
        <v>0</v>
      </c>
      <c r="L374" s="61"/>
      <c r="M374" s="61"/>
      <c r="N374" s="61"/>
    </row>
    <row r="375" spans="1:14" ht="21.75" customHeight="1" x14ac:dyDescent="0.4">
      <c r="A375" s="249"/>
      <c r="B375" s="250"/>
      <c r="C375" s="250"/>
      <c r="D375" s="251"/>
      <c r="E375" s="75"/>
      <c r="F375" s="75"/>
      <c r="G375" s="76"/>
      <c r="H375" s="267" t="s">
        <v>15</v>
      </c>
      <c r="I375" s="48">
        <v>0</v>
      </c>
      <c r="J375" s="68">
        <v>0</v>
      </c>
      <c r="K375" s="49">
        <f t="shared" si="82"/>
        <v>0</v>
      </c>
      <c r="L375" s="61"/>
      <c r="M375" s="61"/>
      <c r="N375" s="61"/>
    </row>
    <row r="376" spans="1:14" ht="21.75" customHeight="1" x14ac:dyDescent="0.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4118</v>
      </c>
      <c r="J376" s="265">
        <f t="shared" ref="J376:J377" si="85">+J378+J380+J382+J388</f>
        <v>0</v>
      </c>
      <c r="K376" s="80">
        <f t="shared" ca="1" si="82"/>
        <v>0</v>
      </c>
      <c r="L376" s="275"/>
      <c r="M376" s="275"/>
      <c r="N376" s="275"/>
    </row>
    <row r="377" spans="1:14" ht="21.75" customHeight="1" x14ac:dyDescent="0.4">
      <c r="A377" s="249"/>
      <c r="B377" s="250"/>
      <c r="C377" s="250"/>
      <c r="D377" s="251"/>
      <c r="E377" s="75"/>
      <c r="F377" s="75"/>
      <c r="G377" s="76"/>
      <c r="H377" s="264" t="s">
        <v>15</v>
      </c>
      <c r="I377" s="265">
        <f ca="1">I361</f>
        <v>1134</v>
      </c>
      <c r="J377" s="265">
        <f t="shared" si="85"/>
        <v>0</v>
      </c>
      <c r="K377" s="80">
        <f t="shared" ca="1" si="82"/>
        <v>0</v>
      </c>
      <c r="L377" s="61"/>
      <c r="M377" s="61"/>
      <c r="N377" s="61"/>
    </row>
    <row r="378" spans="1:14" ht="21.75" customHeight="1" x14ac:dyDescent="0.4">
      <c r="A378" s="249"/>
      <c r="B378" s="250"/>
      <c r="C378" s="250"/>
      <c r="D378" s="251"/>
      <c r="E378" s="75"/>
      <c r="F378" s="74" t="s">
        <v>157</v>
      </c>
      <c r="G378" s="266"/>
      <c r="H378" s="267" t="s">
        <v>103</v>
      </c>
      <c r="I378" s="48">
        <v>0</v>
      </c>
      <c r="J378" s="68">
        <v>0</v>
      </c>
      <c r="K378" s="49">
        <f t="shared" si="82"/>
        <v>0</v>
      </c>
      <c r="L378" s="61"/>
      <c r="M378" s="61"/>
      <c r="N378" s="61"/>
    </row>
    <row r="379" spans="1:14" ht="21.75" customHeight="1" x14ac:dyDescent="0.4">
      <c r="A379" s="249"/>
      <c r="B379" s="250"/>
      <c r="C379" s="250"/>
      <c r="D379" s="251"/>
      <c r="E379" s="75"/>
      <c r="F379" s="75"/>
      <c r="G379" s="266"/>
      <c r="H379" s="267" t="s">
        <v>15</v>
      </c>
      <c r="I379" s="48">
        <v>0</v>
      </c>
      <c r="J379" s="68">
        <v>0</v>
      </c>
      <c r="K379" s="49">
        <f t="shared" si="82"/>
        <v>0</v>
      </c>
      <c r="L379" s="61"/>
      <c r="M379" s="61"/>
      <c r="N379" s="61"/>
    </row>
    <row r="380" spans="1:14" ht="21.75" customHeight="1" x14ac:dyDescent="0.4">
      <c r="A380" s="249"/>
      <c r="B380" s="250"/>
      <c r="C380" s="250"/>
      <c r="D380" s="251"/>
      <c r="E380" s="75"/>
      <c r="F380" s="74" t="s">
        <v>158</v>
      </c>
      <c r="G380" s="266"/>
      <c r="H380" s="267" t="s">
        <v>103</v>
      </c>
      <c r="I380" s="48">
        <v>0</v>
      </c>
      <c r="J380" s="68">
        <v>0</v>
      </c>
      <c r="K380" s="49">
        <f t="shared" si="82"/>
        <v>0</v>
      </c>
      <c r="L380" s="61"/>
      <c r="M380" s="61"/>
      <c r="N380" s="61"/>
    </row>
    <row r="381" spans="1:14" ht="21.75" customHeight="1" x14ac:dyDescent="0.4">
      <c r="A381" s="249"/>
      <c r="B381" s="250"/>
      <c r="C381" s="250"/>
      <c r="D381" s="251"/>
      <c r="E381" s="75"/>
      <c r="F381" s="75"/>
      <c r="G381" s="266"/>
      <c r="H381" s="267" t="s">
        <v>15</v>
      </c>
      <c r="I381" s="48">
        <v>0</v>
      </c>
      <c r="J381" s="68">
        <v>0</v>
      </c>
      <c r="K381" s="49">
        <f t="shared" si="82"/>
        <v>0</v>
      </c>
      <c r="L381" s="61"/>
      <c r="M381" s="61"/>
      <c r="N381" s="61"/>
    </row>
    <row r="382" spans="1:14" ht="21.75" customHeight="1" x14ac:dyDescent="0.4">
      <c r="A382" s="249"/>
      <c r="B382" s="250"/>
      <c r="C382" s="250"/>
      <c r="D382" s="251"/>
      <c r="E382" s="75"/>
      <c r="F382" s="74" t="s">
        <v>159</v>
      </c>
      <c r="G382" s="266"/>
      <c r="H382" s="267" t="s">
        <v>103</v>
      </c>
      <c r="I382" s="48">
        <v>0</v>
      </c>
      <c r="J382" s="265">
        <f t="shared" ref="J382:J383" si="86">J384+J386</f>
        <v>0</v>
      </c>
      <c r="K382" s="49">
        <f t="shared" si="82"/>
        <v>0</v>
      </c>
      <c r="L382" s="61"/>
      <c r="M382" s="61"/>
      <c r="N382" s="61"/>
    </row>
    <row r="383" spans="1:14" ht="21.75" customHeight="1" x14ac:dyDescent="0.4">
      <c r="A383" s="249"/>
      <c r="B383" s="250"/>
      <c r="C383" s="250"/>
      <c r="D383" s="251"/>
      <c r="E383" s="75"/>
      <c r="F383" s="75"/>
      <c r="G383" s="75"/>
      <c r="H383" s="267" t="s">
        <v>15</v>
      </c>
      <c r="I383" s="48">
        <v>0</v>
      </c>
      <c r="J383" s="265">
        <f t="shared" si="86"/>
        <v>0</v>
      </c>
      <c r="K383" s="49">
        <f t="shared" si="82"/>
        <v>0</v>
      </c>
      <c r="L383" s="61"/>
      <c r="M383" s="61"/>
      <c r="N383" s="61"/>
    </row>
    <row r="384" spans="1:14" ht="21.75" customHeight="1" x14ac:dyDescent="0.4">
      <c r="A384" s="249"/>
      <c r="B384" s="250"/>
      <c r="C384" s="250"/>
      <c r="D384" s="251"/>
      <c r="E384" s="75"/>
      <c r="F384" s="75"/>
      <c r="G384" s="74" t="s">
        <v>160</v>
      </c>
      <c r="H384" s="267" t="s">
        <v>103</v>
      </c>
      <c r="I384" s="48">
        <v>0</v>
      </c>
      <c r="J384" s="68">
        <v>0</v>
      </c>
      <c r="K384" s="49">
        <f t="shared" si="82"/>
        <v>0</v>
      </c>
      <c r="L384" s="61"/>
      <c r="M384" s="61"/>
      <c r="N384" s="61"/>
    </row>
    <row r="385" spans="1:14" ht="21.75" customHeight="1" x14ac:dyDescent="0.4">
      <c r="A385" s="249"/>
      <c r="B385" s="250"/>
      <c r="C385" s="250"/>
      <c r="D385" s="251"/>
      <c r="E385" s="75"/>
      <c r="F385" s="75"/>
      <c r="G385" s="75"/>
      <c r="H385" s="267" t="s">
        <v>15</v>
      </c>
      <c r="I385" s="48">
        <v>0</v>
      </c>
      <c r="J385" s="68">
        <v>0</v>
      </c>
      <c r="K385" s="49">
        <f t="shared" si="82"/>
        <v>0</v>
      </c>
      <c r="L385" s="61"/>
      <c r="M385" s="61"/>
      <c r="N385" s="61"/>
    </row>
    <row r="386" spans="1:14" ht="21.75" customHeight="1" x14ac:dyDescent="0.4">
      <c r="A386" s="249"/>
      <c r="B386" s="250"/>
      <c r="C386" s="250"/>
      <c r="D386" s="251"/>
      <c r="E386" s="75"/>
      <c r="F386" s="75"/>
      <c r="G386" s="74" t="s">
        <v>161</v>
      </c>
      <c r="H386" s="267" t="s">
        <v>103</v>
      </c>
      <c r="I386" s="48">
        <v>0</v>
      </c>
      <c r="J386" s="68">
        <v>0</v>
      </c>
      <c r="K386" s="49">
        <f t="shared" si="82"/>
        <v>0</v>
      </c>
      <c r="L386" s="61"/>
      <c r="M386" s="61"/>
      <c r="N386" s="61"/>
    </row>
    <row r="387" spans="1:14" ht="21.75" customHeight="1" x14ac:dyDescent="0.4">
      <c r="A387" s="249"/>
      <c r="B387" s="250"/>
      <c r="C387" s="250"/>
      <c r="D387" s="251"/>
      <c r="E387" s="75"/>
      <c r="F387" s="75"/>
      <c r="G387" s="76"/>
      <c r="H387" s="267" t="s">
        <v>15</v>
      </c>
      <c r="I387" s="48">
        <v>0</v>
      </c>
      <c r="J387" s="68">
        <v>0</v>
      </c>
      <c r="K387" s="49">
        <f t="shared" si="82"/>
        <v>0</v>
      </c>
      <c r="L387" s="61"/>
      <c r="M387" s="61"/>
      <c r="N387" s="61"/>
    </row>
    <row r="388" spans="1:14" ht="21.75" customHeight="1" x14ac:dyDescent="0.4">
      <c r="A388" s="249"/>
      <c r="B388" s="250"/>
      <c r="C388" s="250"/>
      <c r="D388" s="251"/>
      <c r="E388" s="75"/>
      <c r="F388" s="74" t="s">
        <v>162</v>
      </c>
      <c r="G388" s="266"/>
      <c r="H388" s="267" t="s">
        <v>103</v>
      </c>
      <c r="I388" s="48">
        <v>0</v>
      </c>
      <c r="J388" s="68">
        <v>0</v>
      </c>
      <c r="K388" s="49">
        <f t="shared" si="82"/>
        <v>0</v>
      </c>
      <c r="L388" s="61"/>
      <c r="M388" s="61"/>
      <c r="N388" s="61"/>
    </row>
    <row r="389" spans="1:14" ht="21.75" customHeight="1" x14ac:dyDescent="0.4">
      <c r="A389" s="276"/>
      <c r="B389" s="277"/>
      <c r="C389" s="277"/>
      <c r="D389" s="278"/>
      <c r="E389" s="204"/>
      <c r="F389" s="204"/>
      <c r="G389" s="204"/>
      <c r="H389" s="279" t="s">
        <v>15</v>
      </c>
      <c r="I389" s="384">
        <v>0</v>
      </c>
      <c r="J389" s="68">
        <v>0</v>
      </c>
      <c r="K389" s="49">
        <f t="shared" si="82"/>
        <v>0</v>
      </c>
      <c r="L389" s="115"/>
      <c r="M389" s="115"/>
      <c r="N389" s="115"/>
    </row>
    <row r="390" spans="1:14" ht="21.75" customHeight="1" x14ac:dyDescent="0.4">
      <c r="A390" s="55"/>
      <c r="B390" s="56"/>
      <c r="C390" s="261" t="s">
        <v>163</v>
      </c>
      <c r="D390" s="261"/>
      <c r="E390" s="262"/>
      <c r="F390" s="262"/>
      <c r="G390" s="263"/>
      <c r="H390" s="136" t="s">
        <v>103</v>
      </c>
      <c r="I390" s="137">
        <f ca="1">IFERROR(__xludf.DUMMYFUNCTION("IMPORTRANGE(""https://docs.google.com/spreadsheets/d/1C3CXT74ZlgGe6_JY_1olB1XN4rF0dxEuIIF-xsYjHgg/edit?usp=sharing"",""งบกองทุน!cd31"")"),21)</f>
        <v>21</v>
      </c>
      <c r="J390" s="137">
        <f>J391</f>
        <v>0</v>
      </c>
      <c r="K390" s="138">
        <f t="shared" ca="1" si="82"/>
        <v>0</v>
      </c>
      <c r="L390" s="140"/>
      <c r="M390" s="140"/>
      <c r="N390" s="140"/>
    </row>
    <row r="391" spans="1:14" ht="21.75" customHeight="1" x14ac:dyDescent="0.4">
      <c r="A391" s="55"/>
      <c r="B391" s="56"/>
      <c r="C391" s="56"/>
      <c r="D391" s="251"/>
      <c r="E391" s="280" t="s">
        <v>164</v>
      </c>
      <c r="F391" s="281"/>
      <c r="G391" s="282"/>
      <c r="H391" s="283" t="s">
        <v>103</v>
      </c>
      <c r="I391" s="79">
        <f ca="1">IFERROR(__xludf.DUMMYFUNCTION("IMPORTRANGE(""https://docs.google.com/spreadsheets/d/1C3CXT74ZlgGe6_JY_1olB1XN4rF0dxEuIIF-xsYjHgg/edit?usp=sharing"",""งบกองทุน!cd31"")"),21)</f>
        <v>21</v>
      </c>
      <c r="J391" s="265">
        <f t="shared" ref="J391:J392" si="87">J393+J401+J407</f>
        <v>0</v>
      </c>
      <c r="K391" s="362">
        <f t="shared" ca="1" si="82"/>
        <v>0</v>
      </c>
      <c r="L391" s="61"/>
      <c r="M391" s="61"/>
      <c r="N391" s="61"/>
    </row>
    <row r="392" spans="1:14" ht="21.75" customHeight="1" x14ac:dyDescent="0.4">
      <c r="A392" s="55"/>
      <c r="B392" s="56"/>
      <c r="C392" s="56"/>
      <c r="D392" s="73"/>
      <c r="E392" s="281"/>
      <c r="F392" s="281"/>
      <c r="G392" s="282"/>
      <c r="H392" s="283" t="s">
        <v>15</v>
      </c>
      <c r="I392" s="79">
        <f ca="1">IFERROR(__xludf.DUMMYFUNCTION("IMPORTRANGE(""https://docs.google.com/spreadsheets/d/1C3CXT74ZlgGe6_JY_1olB1XN4rF0dxEuIIF-xsYjHgg/edit?usp=sharing"",""งบกองทุน!cc31"")"),7)</f>
        <v>7</v>
      </c>
      <c r="J392" s="265">
        <f t="shared" si="87"/>
        <v>0</v>
      </c>
      <c r="K392" s="362">
        <f t="shared" ca="1" si="82"/>
        <v>0</v>
      </c>
      <c r="L392" s="61"/>
      <c r="M392" s="61"/>
      <c r="N392" s="61"/>
    </row>
    <row r="393" spans="1:14" ht="21.75" customHeight="1" x14ac:dyDescent="0.4">
      <c r="A393" s="55"/>
      <c r="B393" s="56"/>
      <c r="C393" s="56"/>
      <c r="D393" s="251"/>
      <c r="E393" s="251" t="s">
        <v>165</v>
      </c>
      <c r="F393" s="75"/>
      <c r="G393" s="76"/>
      <c r="H393" s="267" t="s">
        <v>103</v>
      </c>
      <c r="I393" s="48">
        <v>0</v>
      </c>
      <c r="J393" s="48">
        <f t="shared" ref="J393:J394" si="88">J395+J397+J399</f>
        <v>0</v>
      </c>
      <c r="K393" s="233">
        <f t="shared" si="82"/>
        <v>0</v>
      </c>
      <c r="L393" s="61"/>
      <c r="M393" s="61"/>
      <c r="N393" s="61"/>
    </row>
    <row r="394" spans="1:14" ht="21.75" customHeight="1" x14ac:dyDescent="0.4">
      <c r="A394" s="55"/>
      <c r="B394" s="56"/>
      <c r="C394" s="56"/>
      <c r="D394" s="73"/>
      <c r="E394" s="75"/>
      <c r="F394" s="75"/>
      <c r="G394" s="76"/>
      <c r="H394" s="267" t="s">
        <v>15</v>
      </c>
      <c r="I394" s="48">
        <v>0</v>
      </c>
      <c r="J394" s="48">
        <f t="shared" si="88"/>
        <v>0</v>
      </c>
      <c r="K394" s="233">
        <f t="shared" si="82"/>
        <v>0</v>
      </c>
      <c r="L394" s="61"/>
      <c r="M394" s="61"/>
      <c r="N394" s="61"/>
    </row>
    <row r="395" spans="1:14" ht="21.75" customHeight="1" x14ac:dyDescent="0.4">
      <c r="A395" s="55"/>
      <c r="B395" s="56"/>
      <c r="C395" s="56"/>
      <c r="D395" s="73"/>
      <c r="E395" s="75"/>
      <c r="F395" s="242" t="s">
        <v>166</v>
      </c>
      <c r="G395" s="266"/>
      <c r="H395" s="267" t="s">
        <v>103</v>
      </c>
      <c r="I395" s="48">
        <v>0</v>
      </c>
      <c r="J395" s="68">
        <v>0</v>
      </c>
      <c r="K395" s="233">
        <f t="shared" si="82"/>
        <v>0</v>
      </c>
      <c r="L395" s="61"/>
      <c r="M395" s="61"/>
      <c r="N395" s="61"/>
    </row>
    <row r="396" spans="1:14" ht="21.75" customHeight="1" x14ac:dyDescent="0.4">
      <c r="A396" s="55"/>
      <c r="B396" s="56"/>
      <c r="C396" s="56"/>
      <c r="D396" s="73"/>
      <c r="E396" s="75"/>
      <c r="F396" s="75"/>
      <c r="G396" s="266"/>
      <c r="H396" s="267" t="s">
        <v>15</v>
      </c>
      <c r="I396" s="48">
        <v>0</v>
      </c>
      <c r="J396" s="68">
        <v>0</v>
      </c>
      <c r="K396" s="233">
        <f t="shared" si="82"/>
        <v>0</v>
      </c>
      <c r="L396" s="61"/>
      <c r="M396" s="61"/>
      <c r="N396" s="61"/>
    </row>
    <row r="397" spans="1:14" ht="21.75" customHeight="1" x14ac:dyDescent="0.4">
      <c r="A397" s="55"/>
      <c r="B397" s="56"/>
      <c r="C397" s="56"/>
      <c r="D397" s="73"/>
      <c r="E397" s="75"/>
      <c r="F397" s="242" t="s">
        <v>167</v>
      </c>
      <c r="G397" s="266"/>
      <c r="H397" s="267" t="s">
        <v>103</v>
      </c>
      <c r="I397" s="48">
        <v>0</v>
      </c>
      <c r="J397" s="68">
        <v>0</v>
      </c>
      <c r="K397" s="233">
        <f t="shared" si="82"/>
        <v>0</v>
      </c>
      <c r="L397" s="61"/>
      <c r="M397" s="61"/>
      <c r="N397" s="61"/>
    </row>
    <row r="398" spans="1:14" ht="21.75" customHeight="1" x14ac:dyDescent="0.4">
      <c r="A398" s="55"/>
      <c r="B398" s="56"/>
      <c r="C398" s="56"/>
      <c r="D398" s="73"/>
      <c r="E398" s="75"/>
      <c r="F398" s="75"/>
      <c r="G398" s="266"/>
      <c r="H398" s="267" t="s">
        <v>15</v>
      </c>
      <c r="I398" s="48">
        <v>0</v>
      </c>
      <c r="J398" s="68">
        <v>0</v>
      </c>
      <c r="K398" s="233">
        <f t="shared" si="82"/>
        <v>0</v>
      </c>
      <c r="L398" s="61"/>
      <c r="M398" s="61"/>
      <c r="N398" s="61"/>
    </row>
    <row r="399" spans="1:14" ht="21.75" customHeight="1" x14ac:dyDescent="0.4">
      <c r="A399" s="55"/>
      <c r="B399" s="56"/>
      <c r="C399" s="56"/>
      <c r="D399" s="73"/>
      <c r="E399" s="75"/>
      <c r="F399" s="242" t="s">
        <v>168</v>
      </c>
      <c r="G399" s="266"/>
      <c r="H399" s="267" t="s">
        <v>103</v>
      </c>
      <c r="I399" s="48">
        <v>0</v>
      </c>
      <c r="J399" s="68">
        <v>0</v>
      </c>
      <c r="K399" s="233">
        <f t="shared" si="82"/>
        <v>0</v>
      </c>
      <c r="L399" s="61"/>
      <c r="M399" s="61"/>
      <c r="N399" s="61"/>
    </row>
    <row r="400" spans="1:14" ht="21.75" customHeight="1" x14ac:dyDescent="0.4">
      <c r="A400" s="55"/>
      <c r="B400" s="56"/>
      <c r="C400" s="56"/>
      <c r="D400" s="73"/>
      <c r="E400" s="75"/>
      <c r="F400" s="75"/>
      <c r="G400" s="75"/>
      <c r="H400" s="267" t="s">
        <v>15</v>
      </c>
      <c r="I400" s="48">
        <v>0</v>
      </c>
      <c r="J400" s="68">
        <v>0</v>
      </c>
      <c r="K400" s="233">
        <f t="shared" si="82"/>
        <v>0</v>
      </c>
      <c r="L400" s="61"/>
      <c r="M400" s="61"/>
      <c r="N400" s="61"/>
    </row>
    <row r="401" spans="1:14" ht="21.75" customHeight="1" x14ac:dyDescent="0.4">
      <c r="A401" s="55"/>
      <c r="B401" s="56"/>
      <c r="C401" s="56"/>
      <c r="D401" s="73"/>
      <c r="E401" s="74" t="s">
        <v>169</v>
      </c>
      <c r="F401" s="75"/>
      <c r="G401" s="266"/>
      <c r="H401" s="267" t="s">
        <v>103</v>
      </c>
      <c r="I401" s="48">
        <v>0</v>
      </c>
      <c r="J401" s="48">
        <f t="shared" ref="J401:J402" si="89">+J403+J405</f>
        <v>0</v>
      </c>
      <c r="K401" s="233">
        <f t="shared" si="82"/>
        <v>0</v>
      </c>
      <c r="L401" s="61"/>
      <c r="M401" s="61"/>
      <c r="N401" s="61"/>
    </row>
    <row r="402" spans="1:14" ht="21.75" customHeight="1" x14ac:dyDescent="0.4">
      <c r="A402" s="55"/>
      <c r="B402" s="56"/>
      <c r="C402" s="56"/>
      <c r="D402" s="73"/>
      <c r="E402" s="75"/>
      <c r="F402" s="75"/>
      <c r="G402" s="75"/>
      <c r="H402" s="267" t="s">
        <v>15</v>
      </c>
      <c r="I402" s="48">
        <v>0</v>
      </c>
      <c r="J402" s="48">
        <f t="shared" si="89"/>
        <v>0</v>
      </c>
      <c r="K402" s="233">
        <f t="shared" si="82"/>
        <v>0</v>
      </c>
      <c r="L402" s="61"/>
      <c r="M402" s="61"/>
      <c r="N402" s="61"/>
    </row>
    <row r="403" spans="1:14" ht="21.75" customHeight="1" x14ac:dyDescent="0.4">
      <c r="A403" s="55"/>
      <c r="B403" s="56"/>
      <c r="C403" s="56"/>
      <c r="D403" s="73"/>
      <c r="E403" s="75"/>
      <c r="F403" s="74" t="s">
        <v>170</v>
      </c>
      <c r="G403" s="75"/>
      <c r="H403" s="267" t="s">
        <v>103</v>
      </c>
      <c r="I403" s="48">
        <v>0</v>
      </c>
      <c r="J403" s="68">
        <v>0</v>
      </c>
      <c r="K403" s="233">
        <f t="shared" si="82"/>
        <v>0</v>
      </c>
      <c r="L403" s="61"/>
      <c r="M403" s="61"/>
      <c r="N403" s="61"/>
    </row>
    <row r="404" spans="1:14" ht="21.75" customHeight="1" x14ac:dyDescent="0.4">
      <c r="A404" s="55"/>
      <c r="B404" s="56"/>
      <c r="C404" s="56"/>
      <c r="D404" s="73"/>
      <c r="E404" s="75"/>
      <c r="F404" s="75"/>
      <c r="G404" s="75"/>
      <c r="H404" s="267" t="s">
        <v>15</v>
      </c>
      <c r="I404" s="48">
        <v>0</v>
      </c>
      <c r="J404" s="68">
        <v>0</v>
      </c>
      <c r="K404" s="233">
        <f t="shared" si="82"/>
        <v>0</v>
      </c>
      <c r="L404" s="61"/>
      <c r="M404" s="61"/>
      <c r="N404" s="61"/>
    </row>
    <row r="405" spans="1:14" ht="21.75" customHeight="1" x14ac:dyDescent="0.4">
      <c r="A405" s="55"/>
      <c r="B405" s="56"/>
      <c r="C405" s="56"/>
      <c r="D405" s="73"/>
      <c r="E405" s="75"/>
      <c r="F405" s="74" t="s">
        <v>171</v>
      </c>
      <c r="G405" s="75"/>
      <c r="H405" s="267" t="s">
        <v>103</v>
      </c>
      <c r="I405" s="48">
        <v>0</v>
      </c>
      <c r="J405" s="68">
        <v>0</v>
      </c>
      <c r="K405" s="233">
        <f t="shared" si="82"/>
        <v>0</v>
      </c>
      <c r="L405" s="61"/>
      <c r="M405" s="61"/>
      <c r="N405" s="61"/>
    </row>
    <row r="406" spans="1:14" ht="21.75" customHeight="1" x14ac:dyDescent="0.4">
      <c r="A406" s="55"/>
      <c r="B406" s="56"/>
      <c r="C406" s="56"/>
      <c r="D406" s="73"/>
      <c r="E406" s="75"/>
      <c r="F406" s="75"/>
      <c r="G406" s="76"/>
      <c r="H406" s="267" t="s">
        <v>15</v>
      </c>
      <c r="I406" s="48">
        <v>0</v>
      </c>
      <c r="J406" s="68">
        <v>0</v>
      </c>
      <c r="K406" s="233">
        <f t="shared" si="82"/>
        <v>0</v>
      </c>
      <c r="L406" s="61"/>
      <c r="M406" s="61"/>
      <c r="N406" s="61"/>
    </row>
    <row r="407" spans="1:14" ht="21.75" customHeight="1" x14ac:dyDescent="0.4">
      <c r="A407" s="55"/>
      <c r="B407" s="56"/>
      <c r="C407" s="56"/>
      <c r="D407" s="251"/>
      <c r="E407" s="251" t="s">
        <v>225</v>
      </c>
      <c r="F407" s="75"/>
      <c r="G407" s="76"/>
      <c r="H407" s="267" t="s">
        <v>103</v>
      </c>
      <c r="I407" s="48">
        <v>0</v>
      </c>
      <c r="J407" s="68">
        <v>0</v>
      </c>
      <c r="K407" s="233">
        <f t="shared" si="82"/>
        <v>0</v>
      </c>
      <c r="L407" s="61"/>
      <c r="M407" s="61"/>
      <c r="N407" s="61"/>
    </row>
    <row r="408" spans="1:14" ht="21.75" customHeight="1" x14ac:dyDescent="0.4">
      <c r="A408" s="55"/>
      <c r="B408" s="56"/>
      <c r="C408" s="56"/>
      <c r="D408" s="73"/>
      <c r="E408" s="75"/>
      <c r="F408" s="75"/>
      <c r="G408" s="76"/>
      <c r="H408" s="267" t="s">
        <v>15</v>
      </c>
      <c r="I408" s="48">
        <v>0</v>
      </c>
      <c r="J408" s="68">
        <v>0</v>
      </c>
      <c r="K408" s="233">
        <f t="shared" si="82"/>
        <v>0</v>
      </c>
      <c r="L408" s="61"/>
      <c r="M408" s="61"/>
      <c r="N408" s="61"/>
    </row>
    <row r="409" spans="1:14" ht="21.75" customHeight="1" x14ac:dyDescent="0.4">
      <c r="A409" s="55"/>
      <c r="B409" s="56"/>
      <c r="C409" s="261" t="s">
        <v>173</v>
      </c>
      <c r="D409" s="261"/>
      <c r="E409" s="285"/>
      <c r="F409" s="285"/>
      <c r="G409" s="286"/>
      <c r="H409" s="287" t="s">
        <v>103</v>
      </c>
      <c r="I409" s="137">
        <f ca="1">IFERROR(__xludf.DUMMYFUNCTION("IMPORTRANGE(""https://docs.google.com/spreadsheets/d/1C3CXT74ZlgGe6_JY_1olB1XN4rF0dxEuIIF-xsYjHgg/edit?usp=sharing"",""งบกองทุน!cz31"")"),0)</f>
        <v>0</v>
      </c>
      <c r="J409" s="137">
        <f ca="1">+J412+J414</f>
        <v>0</v>
      </c>
      <c r="K409" s="138">
        <f t="shared" ca="1" si="82"/>
        <v>0</v>
      </c>
      <c r="L409" s="61"/>
      <c r="M409" s="61"/>
      <c r="N409" s="61"/>
    </row>
    <row r="410" spans="1:14" ht="21.75" customHeight="1" x14ac:dyDescent="0.4">
      <c r="A410" s="55"/>
      <c r="B410" s="56"/>
      <c r="C410" s="288"/>
      <c r="D410" s="288"/>
      <c r="E410" s="288" t="s">
        <v>174</v>
      </c>
      <c r="F410" s="289"/>
      <c r="G410" s="290"/>
      <c r="H410" s="363" t="s">
        <v>103</v>
      </c>
      <c r="I410" s="150">
        <f ca="1">IFERROR(__xludf.DUMMYFUNCTION("IMPORTRANGE(""https://docs.google.com/spreadsheets/d/1C3CXT74ZlgGe6_JY_1olB1XN4rF0dxEuIIF-xsYjHgg/edit?usp=sharing"",""งบกองทุน!cz31"")"),0)</f>
        <v>0</v>
      </c>
      <c r="J410" s="150">
        <f t="shared" ref="J410:J411" ca="1" si="90">SUM(J412,J414)</f>
        <v>0</v>
      </c>
      <c r="K410" s="151">
        <f t="shared" ca="1" si="82"/>
        <v>0</v>
      </c>
      <c r="L410" s="61"/>
      <c r="M410" s="61"/>
      <c r="N410" s="61"/>
    </row>
    <row r="411" spans="1:14" ht="21.75" customHeight="1" x14ac:dyDescent="0.4">
      <c r="A411" s="55"/>
      <c r="B411" s="56"/>
      <c r="C411" s="288"/>
      <c r="D411" s="288"/>
      <c r="E411" s="288" t="s">
        <v>175</v>
      </c>
      <c r="F411" s="289"/>
      <c r="G411" s="290"/>
      <c r="H411" s="363" t="s">
        <v>15</v>
      </c>
      <c r="I411" s="150">
        <f ca="1">IFERROR(__xludf.DUMMYFUNCTION("IMPORTRANGE(""https://docs.google.com/spreadsheets/d/1C3CXT74ZlgGe6_JY_1olB1XN4rF0dxEuIIF-xsYjHgg/edit?usp=sharing"",""งบกองทุน!cy31"")"),0)</f>
        <v>0</v>
      </c>
      <c r="J411" s="150">
        <f t="shared" ca="1" si="90"/>
        <v>0</v>
      </c>
      <c r="K411" s="151">
        <f t="shared" ca="1" si="82"/>
        <v>0</v>
      </c>
      <c r="L411" s="61"/>
      <c r="M411" s="61"/>
      <c r="N411" s="61"/>
    </row>
    <row r="412" spans="1:14" ht="21.75" customHeight="1" x14ac:dyDescent="0.4">
      <c r="A412" s="55"/>
      <c r="B412" s="56"/>
      <c r="C412" s="56"/>
      <c r="D412" s="73"/>
      <c r="E412" s="75"/>
      <c r="F412" s="75"/>
      <c r="G412" s="99" t="s">
        <v>176</v>
      </c>
      <c r="H412" s="364" t="s">
        <v>103</v>
      </c>
      <c r="I412" s="365">
        <v>0</v>
      </c>
      <c r="J412" s="366">
        <f ca="1">IFERROR(__xludf.DUMMYFUNCTION("IMPORTRANGE(""https://docs.google.com/spreadsheets/d/1C3CXT74ZlgGe6_JY_1olB1XN4rF0dxEuIIF-xsYjHgg/edit?usp=sharing"",""งบกองทุน!db31"")"),0)</f>
        <v>0</v>
      </c>
      <c r="K412" s="367">
        <f t="shared" si="82"/>
        <v>0</v>
      </c>
      <c r="L412" s="61"/>
      <c r="M412" s="61"/>
      <c r="N412" s="61"/>
    </row>
    <row r="413" spans="1:14" ht="21.75" customHeight="1" x14ac:dyDescent="0.4">
      <c r="A413" s="55"/>
      <c r="B413" s="56"/>
      <c r="C413" s="56"/>
      <c r="D413" s="73"/>
      <c r="E413" s="75"/>
      <c r="F413" s="75"/>
      <c r="G413" s="76"/>
      <c r="H413" s="364" t="s">
        <v>15</v>
      </c>
      <c r="I413" s="365">
        <v>0</v>
      </c>
      <c r="J413" s="366">
        <f ca="1">IFERROR(__xludf.DUMMYFUNCTION("IMPORTRANGE(""https://docs.google.com/spreadsheets/d/1C3CXT74ZlgGe6_JY_1olB1XN4rF0dxEuIIF-xsYjHgg/edit?usp=sharing"",""งบกองทุน!da31"")"),0)</f>
        <v>0</v>
      </c>
      <c r="K413" s="367">
        <f t="shared" si="82"/>
        <v>0</v>
      </c>
      <c r="L413" s="61"/>
      <c r="M413" s="61"/>
      <c r="N413" s="61"/>
    </row>
    <row r="414" spans="1:14" ht="21.75" customHeight="1" x14ac:dyDescent="0.4">
      <c r="A414" s="55"/>
      <c r="B414" s="56"/>
      <c r="C414" s="56"/>
      <c r="D414" s="73"/>
      <c r="E414" s="75"/>
      <c r="F414" s="75"/>
      <c r="G414" s="99" t="s">
        <v>177</v>
      </c>
      <c r="H414" s="364" t="s">
        <v>103</v>
      </c>
      <c r="I414" s="365">
        <v>0</v>
      </c>
      <c r="J414" s="366">
        <f ca="1">IFERROR(__xludf.DUMMYFUNCTION("IMPORTRANGE(""https://docs.google.com/spreadsheets/d/1C3CXT74ZlgGe6_JY_1olB1XN4rF0dxEuIIF-xsYjHgg/edit?usp=sharing"",""งบกองทุน!dd31"")"),0)</f>
        <v>0</v>
      </c>
      <c r="K414" s="367">
        <f t="shared" si="82"/>
        <v>0</v>
      </c>
      <c r="L414" s="61"/>
      <c r="M414" s="61"/>
      <c r="N414" s="61"/>
    </row>
    <row r="415" spans="1:14" ht="21.75" customHeight="1" x14ac:dyDescent="0.4">
      <c r="A415" s="55"/>
      <c r="B415" s="56"/>
      <c r="C415" s="56"/>
      <c r="D415" s="73"/>
      <c r="E415" s="75"/>
      <c r="F415" s="75"/>
      <c r="G415" s="76"/>
      <c r="H415" s="364" t="s">
        <v>15</v>
      </c>
      <c r="I415" s="365">
        <v>0</v>
      </c>
      <c r="J415" s="366">
        <f ca="1">IFERROR(__xludf.DUMMYFUNCTION("IMPORTRANGE(""https://docs.google.com/spreadsheets/d/1C3CXT74ZlgGe6_JY_1olB1XN4rF0dxEuIIF-xsYjHgg/edit?usp=sharing"",""งบกองทุน!dc31"")"),0)</f>
        <v>0</v>
      </c>
      <c r="K415" s="367">
        <f t="shared" si="82"/>
        <v>0</v>
      </c>
      <c r="L415" s="61"/>
      <c r="M415" s="61"/>
      <c r="N415" s="61"/>
    </row>
    <row r="416" spans="1:14" ht="21.75" customHeight="1" x14ac:dyDescent="0.4">
      <c r="A416" s="55"/>
      <c r="B416" s="56"/>
      <c r="C416" s="56"/>
      <c r="D416" s="73"/>
      <c r="E416" s="75"/>
      <c r="F416" s="75"/>
      <c r="G416" s="99" t="s">
        <v>178</v>
      </c>
      <c r="H416" s="364" t="s">
        <v>103</v>
      </c>
      <c r="I416" s="365">
        <v>0</v>
      </c>
      <c r="J416" s="366">
        <f ca="1">IFERROR(__xludf.DUMMYFUNCTION("IMPORTRANGE(""https://docs.google.com/spreadsheets/d/1C3CXT74ZlgGe6_JY_1olB1XN4rF0dxEuIIF-xsYjHgg/edit?usp=sharing"",""งบกองทุน!df31"")"),0)</f>
        <v>0</v>
      </c>
      <c r="K416" s="367">
        <f t="shared" si="82"/>
        <v>0</v>
      </c>
      <c r="L416" s="61"/>
      <c r="M416" s="61"/>
      <c r="N416" s="61"/>
    </row>
    <row r="417" spans="1:14" ht="21.75" customHeight="1" x14ac:dyDescent="0.4">
      <c r="A417" s="55"/>
      <c r="B417" s="56"/>
      <c r="C417" s="56"/>
      <c r="D417" s="73"/>
      <c r="E417" s="75"/>
      <c r="F417" s="75"/>
      <c r="G417" s="76"/>
      <c r="H417" s="364" t="s">
        <v>15</v>
      </c>
      <c r="I417" s="365">
        <v>0</v>
      </c>
      <c r="J417" s="366">
        <f ca="1">IFERROR(__xludf.DUMMYFUNCTION("IMPORTRANGE(""https://docs.google.com/spreadsheets/d/1C3CXT74ZlgGe6_JY_1olB1XN4rF0dxEuIIF-xsYjHgg/edit?usp=sharing"",""งบกองทุน!de31"")"),0)</f>
        <v>0</v>
      </c>
      <c r="K417" s="367">
        <f t="shared" si="82"/>
        <v>0</v>
      </c>
      <c r="L417" s="61"/>
      <c r="M417" s="61"/>
      <c r="N417" s="61"/>
    </row>
    <row r="418" spans="1:14" ht="21.75" customHeight="1" x14ac:dyDescent="0.4">
      <c r="A418" s="55"/>
      <c r="B418" s="56"/>
      <c r="C418" s="288"/>
      <c r="D418" s="288"/>
      <c r="E418" s="288" t="s">
        <v>179</v>
      </c>
      <c r="F418" s="289"/>
      <c r="G418" s="290"/>
      <c r="H418" s="363" t="s">
        <v>103</v>
      </c>
      <c r="I418" s="368">
        <f t="shared" ref="I418:I419" ca="1" si="91">J416</f>
        <v>0</v>
      </c>
      <c r="J418" s="150">
        <f t="shared" ref="J418:J419" si="92">SUM(J420,J422,J424)</f>
        <v>0</v>
      </c>
      <c r="K418" s="369">
        <f t="shared" ca="1" si="82"/>
        <v>0</v>
      </c>
      <c r="L418" s="61"/>
      <c r="M418" s="61"/>
      <c r="N418" s="61"/>
    </row>
    <row r="419" spans="1:14" ht="21.75" customHeight="1" x14ac:dyDescent="0.4">
      <c r="A419" s="55"/>
      <c r="B419" s="56"/>
      <c r="C419" s="288"/>
      <c r="D419" s="288"/>
      <c r="E419" s="288" t="s">
        <v>180</v>
      </c>
      <c r="F419" s="289"/>
      <c r="G419" s="290"/>
      <c r="H419" s="363" t="s">
        <v>15</v>
      </c>
      <c r="I419" s="368">
        <f t="shared" ca="1" si="91"/>
        <v>0</v>
      </c>
      <c r="J419" s="150">
        <f t="shared" si="92"/>
        <v>0</v>
      </c>
      <c r="K419" s="369">
        <f t="shared" ca="1" si="82"/>
        <v>0</v>
      </c>
      <c r="L419" s="61"/>
      <c r="M419" s="61"/>
      <c r="N419" s="61"/>
    </row>
    <row r="420" spans="1:14" ht="21.75" customHeight="1" x14ac:dyDescent="0.4">
      <c r="A420" s="55"/>
      <c r="B420" s="56"/>
      <c r="C420" s="56"/>
      <c r="D420" s="73"/>
      <c r="E420" s="75"/>
      <c r="F420" s="75"/>
      <c r="G420" s="99" t="s">
        <v>176</v>
      </c>
      <c r="H420" s="364" t="s">
        <v>103</v>
      </c>
      <c r="I420" s="365">
        <v>0</v>
      </c>
      <c r="J420" s="68">
        <v>0</v>
      </c>
      <c r="K420" s="370">
        <f t="shared" si="82"/>
        <v>0</v>
      </c>
      <c r="L420" s="61"/>
      <c r="M420" s="61"/>
      <c r="N420" s="61"/>
    </row>
    <row r="421" spans="1:14" ht="21.75" customHeight="1" x14ac:dyDescent="0.4">
      <c r="A421" s="55"/>
      <c r="B421" s="56"/>
      <c r="C421" s="56"/>
      <c r="D421" s="73"/>
      <c r="E421" s="75"/>
      <c r="F421" s="75"/>
      <c r="G421" s="76"/>
      <c r="H421" s="364" t="s">
        <v>15</v>
      </c>
      <c r="I421" s="365">
        <v>0</v>
      </c>
      <c r="J421" s="68">
        <v>0</v>
      </c>
      <c r="K421" s="370">
        <f t="shared" si="82"/>
        <v>0</v>
      </c>
      <c r="L421" s="61"/>
      <c r="M421" s="61"/>
      <c r="N421" s="61"/>
    </row>
    <row r="422" spans="1:14" ht="21.75" customHeight="1" x14ac:dyDescent="0.4">
      <c r="A422" s="55"/>
      <c r="B422" s="56"/>
      <c r="C422" s="56"/>
      <c r="D422" s="73"/>
      <c r="E422" s="75"/>
      <c r="F422" s="75"/>
      <c r="G422" s="99" t="s">
        <v>177</v>
      </c>
      <c r="H422" s="364" t="s">
        <v>103</v>
      </c>
      <c r="I422" s="365">
        <v>0</v>
      </c>
      <c r="J422" s="68">
        <v>0</v>
      </c>
      <c r="K422" s="370">
        <f t="shared" si="82"/>
        <v>0</v>
      </c>
      <c r="L422" s="61"/>
      <c r="M422" s="61"/>
      <c r="N422" s="61"/>
    </row>
    <row r="423" spans="1:14" ht="21.75" customHeight="1" x14ac:dyDescent="0.4">
      <c r="A423" s="55"/>
      <c r="B423" s="56"/>
      <c r="C423" s="56"/>
      <c r="D423" s="73"/>
      <c r="E423" s="75"/>
      <c r="F423" s="75"/>
      <c r="G423" s="76"/>
      <c r="H423" s="364" t="s">
        <v>15</v>
      </c>
      <c r="I423" s="365">
        <v>0</v>
      </c>
      <c r="J423" s="68">
        <v>0</v>
      </c>
      <c r="K423" s="370">
        <f t="shared" si="82"/>
        <v>0</v>
      </c>
      <c r="L423" s="61"/>
      <c r="M423" s="61"/>
      <c r="N423" s="61"/>
    </row>
    <row r="424" spans="1:14" ht="21.75" customHeight="1" x14ac:dyDescent="0.4">
      <c r="A424" s="55"/>
      <c r="B424" s="56"/>
      <c r="C424" s="56"/>
      <c r="D424" s="73"/>
      <c r="E424" s="75"/>
      <c r="F424" s="75"/>
      <c r="G424" s="99" t="s">
        <v>181</v>
      </c>
      <c r="H424" s="364" t="s">
        <v>103</v>
      </c>
      <c r="I424" s="365">
        <v>0</v>
      </c>
      <c r="J424" s="68">
        <v>0</v>
      </c>
      <c r="K424" s="370">
        <f t="shared" si="82"/>
        <v>0</v>
      </c>
      <c r="L424" s="61"/>
      <c r="M424" s="61"/>
      <c r="N424" s="61"/>
    </row>
    <row r="425" spans="1:14" ht="21.75" customHeight="1" x14ac:dyDescent="0.4">
      <c r="A425" s="292"/>
      <c r="B425" s="293"/>
      <c r="C425" s="293"/>
      <c r="D425" s="294"/>
      <c r="E425" s="295"/>
      <c r="F425" s="295"/>
      <c r="G425" s="296"/>
      <c r="H425" s="387" t="s">
        <v>15</v>
      </c>
      <c r="I425" s="388">
        <v>0</v>
      </c>
      <c r="J425" s="299">
        <v>0</v>
      </c>
      <c r="K425" s="389">
        <f t="shared" si="82"/>
        <v>0</v>
      </c>
      <c r="L425" s="300"/>
      <c r="M425" s="300"/>
      <c r="N425" s="300"/>
    </row>
    <row r="426" spans="1:14" ht="21.75" customHeight="1" x14ac:dyDescent="0.4">
      <c r="A426" s="252"/>
      <c r="B426" s="253">
        <v>6</v>
      </c>
      <c r="C426" s="254" t="s">
        <v>182</v>
      </c>
      <c r="D426" s="254"/>
      <c r="E426" s="254"/>
      <c r="F426" s="254"/>
      <c r="G426" s="390"/>
      <c r="H426" s="391" t="s">
        <v>16</v>
      </c>
      <c r="I426" s="392">
        <f t="shared" ref="I426:J426" ca="1" si="93">I440</f>
        <v>22</v>
      </c>
      <c r="J426" s="392">
        <f t="shared" si="93"/>
        <v>0</v>
      </c>
      <c r="K426" s="393">
        <f ca="1">IF(I426&gt;0,J426*100/I426,0)</f>
        <v>0</v>
      </c>
      <c r="L426" s="394">
        <f t="shared" ref="L426:M426" ca="1" si="94">SUM(L427:L428)</f>
        <v>34340</v>
      </c>
      <c r="M426" s="259">
        <f t="shared" si="94"/>
        <v>0</v>
      </c>
      <c r="N426" s="259">
        <f t="shared" ref="N426:N430" ca="1" si="95">+IF(L426&gt;0,M426*100/L426,0)</f>
        <v>0</v>
      </c>
    </row>
    <row r="427" spans="1:14" ht="21.75" customHeight="1" x14ac:dyDescent="0.4">
      <c r="A427" s="42"/>
      <c r="B427" s="43"/>
      <c r="C427" s="43" t="s">
        <v>17</v>
      </c>
      <c r="D427" s="44" t="s">
        <v>18</v>
      </c>
      <c r="E427" s="45"/>
      <c r="F427" s="45"/>
      <c r="G427" s="46" t="s">
        <v>19</v>
      </c>
      <c r="H427" s="47" t="s">
        <v>20</v>
      </c>
      <c r="I427" s="48" t="s">
        <v>21</v>
      </c>
      <c r="J427" s="48"/>
      <c r="K427" s="49"/>
      <c r="L427" s="50">
        <v>0</v>
      </c>
      <c r="M427" s="53">
        <v>0</v>
      </c>
      <c r="N427" s="53">
        <f t="shared" si="95"/>
        <v>0</v>
      </c>
    </row>
    <row r="428" spans="1:14" ht="21.75" customHeight="1" x14ac:dyDescent="0.4">
      <c r="A428" s="42"/>
      <c r="B428" s="43"/>
      <c r="C428" s="43"/>
      <c r="D428" s="51"/>
      <c r="E428" s="45"/>
      <c r="F428" s="45" t="s">
        <v>21</v>
      </c>
      <c r="G428" s="46" t="s">
        <v>22</v>
      </c>
      <c r="H428" s="47" t="s">
        <v>20</v>
      </c>
      <c r="I428" s="48"/>
      <c r="J428" s="48"/>
      <c r="K428" s="49"/>
      <c r="L428" s="50">
        <f t="shared" ref="L428:M428" ca="1" si="96">SUM(L429:L430)</f>
        <v>34340</v>
      </c>
      <c r="M428" s="53">
        <f t="shared" si="96"/>
        <v>0</v>
      </c>
      <c r="N428" s="53">
        <f t="shared" ca="1" si="95"/>
        <v>0</v>
      </c>
    </row>
    <row r="429" spans="1:14" ht="21.75" customHeight="1" x14ac:dyDescent="0.4">
      <c r="A429" s="42"/>
      <c r="B429" s="43"/>
      <c r="C429" s="43"/>
      <c r="D429" s="51"/>
      <c r="E429" s="45"/>
      <c r="F429" s="45"/>
      <c r="G429" s="52" t="s">
        <v>110</v>
      </c>
      <c r="H429" s="47" t="s">
        <v>20</v>
      </c>
      <c r="I429" s="48"/>
      <c r="J429" s="48"/>
      <c r="K429" s="49"/>
      <c r="L429" s="53">
        <f ca="1">IFERROR(__xludf.DUMMYFUNCTION("IMPORTRANGE(""https://docs.google.com/spreadsheets/d/1C3CXT74ZlgGe6_JY_1olB1XN4rF0dxEuIIF-xsYjHgg/edit?usp=sharing"",""งบกองทุน!dn31"")"),0)</f>
        <v>0</v>
      </c>
      <c r="M429" s="53">
        <v>0</v>
      </c>
      <c r="N429" s="53">
        <f t="shared" ca="1" si="95"/>
        <v>0</v>
      </c>
    </row>
    <row r="430" spans="1:14" ht="21.75" customHeight="1" x14ac:dyDescent="0.4">
      <c r="A430" s="42"/>
      <c r="B430" s="43"/>
      <c r="C430" s="43"/>
      <c r="D430" s="51"/>
      <c r="E430" s="45"/>
      <c r="F430" s="45"/>
      <c r="G430" s="52" t="s">
        <v>111</v>
      </c>
      <c r="H430" s="47" t="s">
        <v>20</v>
      </c>
      <c r="I430" s="48"/>
      <c r="J430" s="48"/>
      <c r="K430" s="49"/>
      <c r="L430" s="53">
        <f ca="1">IFERROR(__xludf.DUMMYFUNCTION("IMPORTRANGE(""https://docs.google.com/spreadsheets/d/1C3CXT74ZlgGe6_JY_1olB1XN4rF0dxEuIIF-xsYjHgg/edit?usp=sharing"",""งบกองทุน!do31"")"),34340)</f>
        <v>34340</v>
      </c>
      <c r="M430" s="53">
        <f>SUM(M431:M434)</f>
        <v>0</v>
      </c>
      <c r="N430" s="53">
        <f t="shared" ca="1" si="95"/>
        <v>0</v>
      </c>
    </row>
    <row r="431" spans="1:14" ht="21.75" customHeight="1" x14ac:dyDescent="0.4">
      <c r="A431" s="230"/>
      <c r="B431" s="231"/>
      <c r="C431" s="43"/>
      <c r="D431" s="232"/>
      <c r="E431" s="45"/>
      <c r="F431" s="45"/>
      <c r="G431" s="46" t="s">
        <v>112</v>
      </c>
      <c r="H431" s="47" t="s">
        <v>20</v>
      </c>
      <c r="I431" s="67"/>
      <c r="J431" s="67"/>
      <c r="K431" s="233"/>
      <c r="L431" s="53"/>
      <c r="M431" s="54">
        <v>0</v>
      </c>
      <c r="N431" s="53"/>
    </row>
    <row r="432" spans="1:14" ht="21.75" customHeight="1" x14ac:dyDescent="0.4">
      <c r="A432" s="230"/>
      <c r="B432" s="231"/>
      <c r="C432" s="43"/>
      <c r="D432" s="232"/>
      <c r="E432" s="45"/>
      <c r="F432" s="45"/>
      <c r="G432" s="46" t="s">
        <v>113</v>
      </c>
      <c r="H432" s="47" t="s">
        <v>20</v>
      </c>
      <c r="I432" s="67"/>
      <c r="J432" s="67"/>
      <c r="K432" s="233"/>
      <c r="L432" s="53"/>
      <c r="M432" s="54">
        <v>0</v>
      </c>
      <c r="N432" s="53"/>
    </row>
    <row r="433" spans="1:14" ht="21.75" customHeight="1" x14ac:dyDescent="0.4">
      <c r="A433" s="230"/>
      <c r="B433" s="231"/>
      <c r="C433" s="43"/>
      <c r="D433" s="232"/>
      <c r="E433" s="45"/>
      <c r="F433" s="45"/>
      <c r="G433" s="46" t="s">
        <v>114</v>
      </c>
      <c r="H433" s="47" t="s">
        <v>20</v>
      </c>
      <c r="I433" s="67"/>
      <c r="J433" s="67"/>
      <c r="K433" s="233"/>
      <c r="L433" s="53"/>
      <c r="M433" s="54">
        <v>0</v>
      </c>
      <c r="N433" s="53"/>
    </row>
    <row r="434" spans="1:14" ht="21.75" customHeight="1" x14ac:dyDescent="0.4">
      <c r="A434" s="230"/>
      <c r="B434" s="231"/>
      <c r="C434" s="43"/>
      <c r="D434" s="232"/>
      <c r="E434" s="45"/>
      <c r="F434" s="45"/>
      <c r="G434" s="46" t="s">
        <v>115</v>
      </c>
      <c r="H434" s="47" t="s">
        <v>20</v>
      </c>
      <c r="I434" s="67"/>
      <c r="J434" s="67"/>
      <c r="K434" s="233"/>
      <c r="L434" s="53"/>
      <c r="M434" s="54">
        <v>0</v>
      </c>
      <c r="N434" s="53"/>
    </row>
    <row r="435" spans="1:14" ht="21.75" customHeight="1" x14ac:dyDescent="0.4">
      <c r="A435" s="55"/>
      <c r="B435" s="56"/>
      <c r="C435" s="43" t="s">
        <v>17</v>
      </c>
      <c r="D435" s="57" t="s">
        <v>25</v>
      </c>
      <c r="E435" s="58"/>
      <c r="F435" s="58"/>
      <c r="G435" s="59"/>
      <c r="H435" s="60"/>
      <c r="I435" s="48"/>
      <c r="J435" s="48"/>
      <c r="K435" s="49"/>
      <c r="L435" s="61"/>
      <c r="M435" s="61"/>
      <c r="N435" s="61"/>
    </row>
    <row r="436" spans="1:14" ht="21.75" customHeight="1" x14ac:dyDescent="0.4">
      <c r="A436" s="55"/>
      <c r="B436" s="56"/>
      <c r="C436" s="56"/>
      <c r="D436" s="62">
        <v>1</v>
      </c>
      <c r="E436" s="63" t="s">
        <v>26</v>
      </c>
      <c r="F436" s="64"/>
      <c r="G436" s="65"/>
      <c r="H436" s="66"/>
      <c r="I436" s="67"/>
      <c r="J436" s="68">
        <v>0</v>
      </c>
      <c r="K436" s="49"/>
      <c r="L436" s="61"/>
      <c r="M436" s="61"/>
      <c r="N436" s="61"/>
    </row>
    <row r="437" spans="1:14" ht="21.75" customHeight="1" x14ac:dyDescent="0.4">
      <c r="A437" s="55"/>
      <c r="B437" s="56"/>
      <c r="C437" s="56"/>
      <c r="D437" s="69">
        <v>2</v>
      </c>
      <c r="E437" s="70" t="s">
        <v>27</v>
      </c>
      <c r="F437" s="71"/>
      <c r="G437" s="72"/>
      <c r="H437" s="66"/>
      <c r="I437" s="67"/>
      <c r="J437" s="68">
        <v>1</v>
      </c>
      <c r="K437" s="49"/>
      <c r="L437" s="61" t="s">
        <v>21</v>
      </c>
      <c r="M437" s="61" t="s">
        <v>21</v>
      </c>
      <c r="N437" s="61"/>
    </row>
    <row r="438" spans="1:14" ht="21.75" customHeight="1" x14ac:dyDescent="0.4">
      <c r="A438" s="55"/>
      <c r="B438" s="56"/>
      <c r="C438" s="56"/>
      <c r="D438" s="73"/>
      <c r="E438" s="74" t="s">
        <v>28</v>
      </c>
      <c r="F438" s="75"/>
      <c r="G438" s="76"/>
      <c r="H438" s="66"/>
      <c r="I438" s="67"/>
      <c r="J438" s="68">
        <v>1</v>
      </c>
      <c r="K438" s="49"/>
      <c r="L438" s="61"/>
      <c r="M438" s="61"/>
      <c r="N438" s="61"/>
    </row>
    <row r="439" spans="1:14" ht="21.75" customHeight="1" x14ac:dyDescent="0.4">
      <c r="A439" s="55"/>
      <c r="B439" s="56"/>
      <c r="C439" s="56"/>
      <c r="D439" s="73"/>
      <c r="E439" s="74" t="s">
        <v>29</v>
      </c>
      <c r="F439" s="75"/>
      <c r="G439" s="76"/>
      <c r="H439" s="66"/>
      <c r="I439" s="67"/>
      <c r="J439" s="68">
        <v>0</v>
      </c>
      <c r="K439" s="49"/>
      <c r="L439" s="61"/>
      <c r="M439" s="61"/>
      <c r="N439" s="61"/>
    </row>
    <row r="440" spans="1:14" ht="21.75" customHeight="1" x14ac:dyDescent="0.4">
      <c r="A440" s="55"/>
      <c r="B440" s="56"/>
      <c r="C440" s="56"/>
      <c r="D440" s="73"/>
      <c r="E440" s="77"/>
      <c r="F440" s="75"/>
      <c r="G440" s="99" t="s">
        <v>183</v>
      </c>
      <c r="H440" s="66" t="s">
        <v>16</v>
      </c>
      <c r="I440" s="200">
        <f ca="1">IFERROR(__xludf.DUMMYFUNCTION("IMPORTRANGE(""https://docs.google.com/spreadsheets/d/1C3CXT74ZlgGe6_JY_1olB1XN4rF0dxEuIIF-xsYjHgg/edit?usp=sharing"",""งบกองทุน!dq31"")"),22)</f>
        <v>22</v>
      </c>
      <c r="J440" s="68">
        <v>0</v>
      </c>
      <c r="K440" s="49">
        <f t="shared" ref="K440:K441" ca="1" si="97">IF(I440&gt;0,J440*100/I440,0)</f>
        <v>0</v>
      </c>
      <c r="L440" s="61"/>
      <c r="M440" s="61"/>
      <c r="N440" s="61"/>
    </row>
    <row r="441" spans="1:14" ht="21.75" hidden="1" customHeight="1" x14ac:dyDescent="0.4">
      <c r="A441" s="55"/>
      <c r="B441" s="56"/>
      <c r="C441" s="56"/>
      <c r="D441" s="73"/>
      <c r="E441" s="77"/>
      <c r="F441" s="75"/>
      <c r="G441" s="99" t="s">
        <v>184</v>
      </c>
      <c r="H441" s="66" t="s">
        <v>16</v>
      </c>
      <c r="I441" s="200">
        <f ca="1">IFERROR(__xludf.DUMMYFUNCTION("IMPORTRANGE(""https://docs.google.com/spreadsheets/d/1C3CXT74ZlgGe6_JY_1olB1XN4rF0dxEuIIF-xsYjHgg/edit?usp=sharing"",""งบกองทุน!dr31"")"),22)</f>
        <v>22</v>
      </c>
      <c r="J441" s="68">
        <v>0</v>
      </c>
      <c r="K441" s="49">
        <f t="shared" ca="1" si="97"/>
        <v>0</v>
      </c>
      <c r="L441" s="61"/>
      <c r="M441" s="61"/>
      <c r="N441" s="61"/>
    </row>
    <row r="442" spans="1:14" ht="21.75" customHeight="1" x14ac:dyDescent="0.4">
      <c r="A442" s="55"/>
      <c r="B442" s="56"/>
      <c r="C442" s="56"/>
      <c r="D442" s="73"/>
      <c r="E442" s="74" t="s">
        <v>35</v>
      </c>
      <c r="F442" s="75"/>
      <c r="G442" s="76"/>
      <c r="H442" s="66"/>
      <c r="I442" s="67"/>
      <c r="J442" s="68">
        <v>0</v>
      </c>
      <c r="K442" s="49"/>
      <c r="L442" s="61"/>
      <c r="M442" s="61"/>
      <c r="N442" s="61"/>
    </row>
    <row r="443" spans="1:14" ht="21.75" customHeight="1" x14ac:dyDescent="0.4">
      <c r="A443" s="292"/>
      <c r="B443" s="293"/>
      <c r="C443" s="293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309"/>
      <c r="L443" s="300"/>
      <c r="M443" s="300"/>
      <c r="N443" s="300"/>
    </row>
    <row r="444" spans="1:14" ht="21.75" customHeight="1" x14ac:dyDescent="0.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8">SUM(I453,I455)</f>
        <v>0</v>
      </c>
      <c r="J444" s="257">
        <f t="shared" si="98"/>
        <v>0</v>
      </c>
      <c r="K444" s="258">
        <f ca="1">IF(I444&gt;0,J444*100/I444,0)</f>
        <v>0</v>
      </c>
      <c r="L444" s="259">
        <f t="shared" ref="L444:M444" ca="1" si="99">SUM(L445:L446)</f>
        <v>0</v>
      </c>
      <c r="M444" s="259">
        <f t="shared" si="99"/>
        <v>0</v>
      </c>
      <c r="N444" s="259">
        <f t="shared" ref="N444:N448" ca="1" si="100">+IF(L444&gt;0,M444*100/L444,0)</f>
        <v>0</v>
      </c>
    </row>
    <row r="445" spans="1:14" ht="21.75" customHeight="1" x14ac:dyDescent="0.4">
      <c r="A445" s="42"/>
      <c r="B445" s="43"/>
      <c r="C445" s="43" t="s">
        <v>17</v>
      </c>
      <c r="D445" s="44" t="s">
        <v>18</v>
      </c>
      <c r="E445" s="45"/>
      <c r="F445" s="45"/>
      <c r="G445" s="46" t="s">
        <v>19</v>
      </c>
      <c r="H445" s="47" t="s">
        <v>20</v>
      </c>
      <c r="I445" s="48" t="s">
        <v>21</v>
      </c>
      <c r="J445" s="48"/>
      <c r="K445" s="49"/>
      <c r="L445" s="50">
        <v>0</v>
      </c>
      <c r="M445" s="53">
        <v>0</v>
      </c>
      <c r="N445" s="53">
        <f t="shared" si="100"/>
        <v>0</v>
      </c>
    </row>
    <row r="446" spans="1:14" ht="21.75" customHeight="1" x14ac:dyDescent="0.4">
      <c r="A446" s="42"/>
      <c r="B446" s="43"/>
      <c r="C446" s="43"/>
      <c r="D446" s="51"/>
      <c r="E446" s="45"/>
      <c r="F446" s="45" t="s">
        <v>21</v>
      </c>
      <c r="G446" s="46" t="s">
        <v>22</v>
      </c>
      <c r="H446" s="47" t="s">
        <v>20</v>
      </c>
      <c r="I446" s="48"/>
      <c r="J446" s="48"/>
      <c r="K446" s="49"/>
      <c r="L446" s="50">
        <f t="shared" ref="L446:M446" ca="1" si="101">SUM(L447:L448)</f>
        <v>0</v>
      </c>
      <c r="M446" s="53">
        <f t="shared" si="101"/>
        <v>0</v>
      </c>
      <c r="N446" s="53">
        <f t="shared" ca="1" si="100"/>
        <v>0</v>
      </c>
    </row>
    <row r="447" spans="1:14" ht="21.75" customHeight="1" x14ac:dyDescent="0.4">
      <c r="A447" s="42"/>
      <c r="B447" s="43"/>
      <c r="C447" s="43"/>
      <c r="D447" s="51"/>
      <c r="E447" s="45"/>
      <c r="F447" s="45"/>
      <c r="G447" s="52" t="s">
        <v>110</v>
      </c>
      <c r="H447" s="47" t="s">
        <v>20</v>
      </c>
      <c r="I447" s="48"/>
      <c r="J447" s="48"/>
      <c r="K447" s="49"/>
      <c r="L447" s="53">
        <f ca="1">IFERROR(__xludf.DUMMYFUNCTION("IMPORTRANGE(""https://docs.google.com/spreadsheets/d/1C3CXT74ZlgGe6_JY_1olB1XN4rF0dxEuIIF-xsYjHgg/edit?usp=sharing"",""งบกองทุน!dt31"")"),0)</f>
        <v>0</v>
      </c>
      <c r="M447" s="53">
        <v>0</v>
      </c>
      <c r="N447" s="53">
        <f t="shared" ca="1" si="100"/>
        <v>0</v>
      </c>
    </row>
    <row r="448" spans="1:14" ht="21.75" customHeight="1" x14ac:dyDescent="0.4">
      <c r="A448" s="42"/>
      <c r="B448" s="43"/>
      <c r="C448" s="43"/>
      <c r="D448" s="51"/>
      <c r="E448" s="45"/>
      <c r="F448" s="45"/>
      <c r="G448" s="52" t="s">
        <v>111</v>
      </c>
      <c r="H448" s="47" t="s">
        <v>20</v>
      </c>
      <c r="I448" s="48"/>
      <c r="J448" s="48"/>
      <c r="K448" s="49"/>
      <c r="L448" s="53">
        <f ca="1">IFERROR(__xludf.DUMMYFUNCTION("IMPORTRANGE(""https://docs.google.com/spreadsheets/d/1C3CXT74ZlgGe6_JY_1olB1XN4rF0dxEuIIF-xsYjHgg/edit?usp=sharing"",""งบกองทุน!du31"")"),0)</f>
        <v>0</v>
      </c>
      <c r="M448" s="53">
        <f>SUM(M449:M452)</f>
        <v>0</v>
      </c>
      <c r="N448" s="53">
        <f t="shared" ca="1" si="100"/>
        <v>0</v>
      </c>
    </row>
    <row r="449" spans="1:14" ht="21.75" customHeight="1" x14ac:dyDescent="0.4">
      <c r="A449" s="230"/>
      <c r="B449" s="231"/>
      <c r="C449" s="43"/>
      <c r="D449" s="232"/>
      <c r="E449" s="45"/>
      <c r="F449" s="45"/>
      <c r="G449" s="46" t="s">
        <v>112</v>
      </c>
      <c r="H449" s="47" t="s">
        <v>20</v>
      </c>
      <c r="I449" s="67"/>
      <c r="J449" s="67"/>
      <c r="K449" s="233"/>
      <c r="L449" s="53"/>
      <c r="M449" s="53">
        <v>0</v>
      </c>
      <c r="N449" s="53"/>
    </row>
    <row r="450" spans="1:14" ht="21.75" customHeight="1" x14ac:dyDescent="0.4">
      <c r="A450" s="230"/>
      <c r="B450" s="231"/>
      <c r="C450" s="43"/>
      <c r="D450" s="232"/>
      <c r="E450" s="45"/>
      <c r="F450" s="45"/>
      <c r="G450" s="46" t="s">
        <v>113</v>
      </c>
      <c r="H450" s="47" t="s">
        <v>20</v>
      </c>
      <c r="I450" s="67"/>
      <c r="J450" s="67"/>
      <c r="K450" s="233"/>
      <c r="L450" s="53"/>
      <c r="M450" s="53">
        <v>0</v>
      </c>
      <c r="N450" s="53"/>
    </row>
    <row r="451" spans="1:14" ht="21.75" customHeight="1" x14ac:dyDescent="0.4">
      <c r="A451" s="230"/>
      <c r="B451" s="231"/>
      <c r="C451" s="43"/>
      <c r="D451" s="232"/>
      <c r="E451" s="45"/>
      <c r="F451" s="45"/>
      <c r="G451" s="46" t="s">
        <v>114</v>
      </c>
      <c r="H451" s="47" t="s">
        <v>20</v>
      </c>
      <c r="I451" s="67"/>
      <c r="J451" s="67"/>
      <c r="K451" s="233"/>
      <c r="L451" s="53"/>
      <c r="M451" s="53">
        <v>0</v>
      </c>
      <c r="N451" s="53"/>
    </row>
    <row r="452" spans="1:14" ht="21.75" customHeight="1" x14ac:dyDescent="0.4">
      <c r="A452" s="230"/>
      <c r="B452" s="231"/>
      <c r="C452" s="43"/>
      <c r="D452" s="232"/>
      <c r="E452" s="45"/>
      <c r="F452" s="45"/>
      <c r="G452" s="46" t="s">
        <v>115</v>
      </c>
      <c r="H452" s="47" t="s">
        <v>20</v>
      </c>
      <c r="I452" s="67"/>
      <c r="J452" s="67"/>
      <c r="K452" s="233"/>
      <c r="L452" s="53"/>
      <c r="M452" s="53">
        <v>0</v>
      </c>
      <c r="N452" s="53"/>
    </row>
    <row r="453" spans="1:14" ht="21.75" customHeight="1" x14ac:dyDescent="0.4">
      <c r="A453" s="55"/>
      <c r="B453" s="56"/>
      <c r="C453" s="56"/>
      <c r="D453" s="73"/>
      <c r="E453" s="75"/>
      <c r="F453" s="75" t="s">
        <v>186</v>
      </c>
      <c r="G453" s="76"/>
      <c r="H453" s="315" t="s">
        <v>103</v>
      </c>
      <c r="I453" s="67">
        <f ca="1">IFERROR(__xludf.DUMMYFUNCTION("IMPORTRANGE(""https://docs.google.com/spreadsheets/d/1C3CXT74ZlgGe6_JY_1olB1XN4rF0dxEuIIF-xsYjHgg/edit?usp=sharing"",""งบกองทุน!dw31"")"),0)</f>
        <v>0</v>
      </c>
      <c r="J453" s="67">
        <v>0</v>
      </c>
      <c r="K453" s="233">
        <f t="shared" ref="K453:K457" ca="1" si="102">IF(I453&gt;0,J453*100/I453,0)</f>
        <v>0</v>
      </c>
      <c r="L453" s="53"/>
      <c r="M453" s="53"/>
      <c r="N453" s="61"/>
    </row>
    <row r="454" spans="1:14" ht="21.75" customHeight="1" x14ac:dyDescent="0.4">
      <c r="A454" s="55"/>
      <c r="B454" s="56"/>
      <c r="C454" s="56"/>
      <c r="D454" s="73"/>
      <c r="E454" s="75"/>
      <c r="F454" s="75"/>
      <c r="G454" s="76"/>
      <c r="H454" s="315" t="s">
        <v>15</v>
      </c>
      <c r="I454" s="67">
        <f ca="1">IFERROR(__xludf.DUMMYFUNCTION("IMPORTRANGE(""https://docs.google.com/spreadsheets/d/1C3CXT74ZlgGe6_JY_1olB1XN4rF0dxEuIIF-xsYjHgg/edit?usp=sharing"",""งบกองทุน!dx31"")"),0)</f>
        <v>0</v>
      </c>
      <c r="J454" s="67">
        <v>0</v>
      </c>
      <c r="K454" s="233">
        <f t="shared" ca="1" si="102"/>
        <v>0</v>
      </c>
      <c r="L454" s="53"/>
      <c r="M454" s="53"/>
      <c r="N454" s="61"/>
    </row>
    <row r="455" spans="1:14" ht="21.75" customHeight="1" x14ac:dyDescent="0.4">
      <c r="A455" s="55"/>
      <c r="B455" s="56"/>
      <c r="C455" s="56"/>
      <c r="D455" s="73"/>
      <c r="E455" s="75"/>
      <c r="F455" s="75" t="s">
        <v>187</v>
      </c>
      <c r="G455" s="76"/>
      <c r="H455" s="315" t="s">
        <v>103</v>
      </c>
      <c r="I455" s="67">
        <f ca="1">IFERROR(__xludf.DUMMYFUNCTION("IMPORTRANGE(""https://docs.google.com/spreadsheets/d/1C3CXT74ZlgGe6_JY_1olB1XN4rF0dxEuIIF-xsYjHgg/edit?usp=sharing"",""งบกองทุน!dy31"")"),0)</f>
        <v>0</v>
      </c>
      <c r="J455" s="67">
        <v>0</v>
      </c>
      <c r="K455" s="233">
        <f t="shared" ca="1" si="102"/>
        <v>0</v>
      </c>
      <c r="L455" s="53"/>
      <c r="M455" s="53"/>
      <c r="N455" s="61"/>
    </row>
    <row r="456" spans="1:14" ht="21.75" customHeight="1" x14ac:dyDescent="0.4">
      <c r="A456" s="55"/>
      <c r="B456" s="56"/>
      <c r="C456" s="56"/>
      <c r="D456" s="73"/>
      <c r="E456" s="75"/>
      <c r="F456" s="75"/>
      <c r="G456" s="76"/>
      <c r="H456" s="315" t="s">
        <v>15</v>
      </c>
      <c r="I456" s="48">
        <f ca="1">IFERROR(__xludf.DUMMYFUNCTION("IMPORTRANGE(""https://docs.google.com/spreadsheets/d/1C3CXT74ZlgGe6_JY_1olB1XN4rF0dxEuIIF-xsYjHgg/edit?usp=sharing"",""งบกองทุน!dz31"")"),0)</f>
        <v>0</v>
      </c>
      <c r="J456" s="67">
        <v>0</v>
      </c>
      <c r="K456" s="49">
        <f t="shared" ca="1" si="102"/>
        <v>0</v>
      </c>
      <c r="L456" s="61"/>
      <c r="M456" s="61"/>
      <c r="N456" s="61"/>
    </row>
    <row r="457" spans="1:14" ht="21.75" customHeight="1" x14ac:dyDescent="0.4">
      <c r="A457" s="222"/>
      <c r="B457" s="223">
        <v>8</v>
      </c>
      <c r="C457" s="224" t="s">
        <v>188</v>
      </c>
      <c r="D457" s="224"/>
      <c r="E457" s="224"/>
      <c r="F457" s="224"/>
      <c r="G457" s="225"/>
      <c r="H457" s="226" t="s">
        <v>16</v>
      </c>
      <c r="I457" s="227">
        <f ca="1">I466</f>
        <v>250</v>
      </c>
      <c r="J457" s="227">
        <f>+J466</f>
        <v>61</v>
      </c>
      <c r="K457" s="228">
        <f t="shared" ca="1" si="102"/>
        <v>24.4</v>
      </c>
      <c r="L457" s="229">
        <f t="shared" ref="L457:M457" ca="1" si="103">SUM(L458:L459)</f>
        <v>130080</v>
      </c>
      <c r="M457" s="229">
        <f t="shared" si="103"/>
        <v>0</v>
      </c>
      <c r="N457" s="229">
        <f t="shared" ref="N457:N461" ca="1" si="104">+IF(L457&gt;0,M457*100/L457,0)</f>
        <v>0</v>
      </c>
    </row>
    <row r="458" spans="1:14" ht="21.75" customHeight="1" x14ac:dyDescent="0.4">
      <c r="A458" s="42"/>
      <c r="B458" s="43"/>
      <c r="C458" s="43" t="s">
        <v>17</v>
      </c>
      <c r="D458" s="44" t="s">
        <v>18</v>
      </c>
      <c r="E458" s="45"/>
      <c r="F458" s="45"/>
      <c r="G458" s="46" t="s">
        <v>19</v>
      </c>
      <c r="H458" s="47" t="s">
        <v>20</v>
      </c>
      <c r="I458" s="48" t="s">
        <v>21</v>
      </c>
      <c r="J458" s="48"/>
      <c r="K458" s="49"/>
      <c r="L458" s="50">
        <v>0</v>
      </c>
      <c r="M458" s="53">
        <v>0</v>
      </c>
      <c r="N458" s="53">
        <f t="shared" si="104"/>
        <v>0</v>
      </c>
    </row>
    <row r="459" spans="1:14" ht="21.75" customHeight="1" x14ac:dyDescent="0.4">
      <c r="A459" s="42"/>
      <c r="B459" s="43"/>
      <c r="C459" s="43"/>
      <c r="D459" s="51"/>
      <c r="E459" s="45"/>
      <c r="F459" s="45" t="s">
        <v>21</v>
      </c>
      <c r="G459" s="46" t="s">
        <v>22</v>
      </c>
      <c r="H459" s="47" t="s">
        <v>20</v>
      </c>
      <c r="I459" s="48"/>
      <c r="J459" s="48"/>
      <c r="K459" s="49"/>
      <c r="L459" s="50">
        <f t="shared" ref="L459:M459" ca="1" si="105">SUM(L460:L461)</f>
        <v>130080</v>
      </c>
      <c r="M459" s="53">
        <f t="shared" si="105"/>
        <v>0</v>
      </c>
      <c r="N459" s="53">
        <f t="shared" ca="1" si="104"/>
        <v>0</v>
      </c>
    </row>
    <row r="460" spans="1:14" ht="21.75" customHeight="1" x14ac:dyDescent="0.4">
      <c r="A460" s="42"/>
      <c r="B460" s="43"/>
      <c r="C460" s="43"/>
      <c r="D460" s="51"/>
      <c r="E460" s="45"/>
      <c r="F460" s="45"/>
      <c r="G460" s="52" t="s">
        <v>110</v>
      </c>
      <c r="H460" s="47" t="s">
        <v>20</v>
      </c>
      <c r="I460" s="48"/>
      <c r="J460" s="48"/>
      <c r="K460" s="49"/>
      <c r="L460" s="53">
        <f ca="1">IFERROR(__xludf.DUMMYFUNCTION("IMPORTRANGE(""https://docs.google.com/spreadsheets/d/1C3CXT74ZlgGe6_JY_1olB1XN4rF0dxEuIIF-xsYjHgg/edit?usp=sharing"",""งบกองทุน!Eb31"")"),0)</f>
        <v>0</v>
      </c>
      <c r="M460" s="53">
        <v>0</v>
      </c>
      <c r="N460" s="53">
        <f t="shared" ca="1" si="104"/>
        <v>0</v>
      </c>
    </row>
    <row r="461" spans="1:14" ht="21.75" customHeight="1" x14ac:dyDescent="0.4">
      <c r="A461" s="42"/>
      <c r="B461" s="43"/>
      <c r="C461" s="43"/>
      <c r="D461" s="51"/>
      <c r="E461" s="45"/>
      <c r="F461" s="45"/>
      <c r="G461" s="52" t="s">
        <v>111</v>
      </c>
      <c r="H461" s="47" t="s">
        <v>20</v>
      </c>
      <c r="I461" s="48"/>
      <c r="J461" s="48"/>
      <c r="K461" s="49"/>
      <c r="L461" s="53">
        <f ca="1">IFERROR(__xludf.DUMMYFUNCTION("IMPORTRANGE(""https://docs.google.com/spreadsheets/d/1C3CXT74ZlgGe6_JY_1olB1XN4rF0dxEuIIF-xsYjHgg/edit?usp=sharing"",""งบกองทุน!Ec31"")"),130080)</f>
        <v>130080</v>
      </c>
      <c r="M461" s="53">
        <f>SUM(M462:M465)</f>
        <v>0</v>
      </c>
      <c r="N461" s="53">
        <f t="shared" ca="1" si="104"/>
        <v>0</v>
      </c>
    </row>
    <row r="462" spans="1:14" ht="21.75" customHeight="1" x14ac:dyDescent="0.4">
      <c r="A462" s="230"/>
      <c r="B462" s="231"/>
      <c r="C462" s="43"/>
      <c r="D462" s="232"/>
      <c r="E462" s="45"/>
      <c r="F462" s="45"/>
      <c r="G462" s="46" t="s">
        <v>112</v>
      </c>
      <c r="H462" s="47" t="s">
        <v>20</v>
      </c>
      <c r="I462" s="67"/>
      <c r="J462" s="67"/>
      <c r="K462" s="233"/>
      <c r="L462" s="53"/>
      <c r="M462" s="53">
        <v>0</v>
      </c>
      <c r="N462" s="53"/>
    </row>
    <row r="463" spans="1:14" ht="21.75" customHeight="1" x14ac:dyDescent="0.4">
      <c r="A463" s="230"/>
      <c r="B463" s="231"/>
      <c r="C463" s="43"/>
      <c r="D463" s="232"/>
      <c r="E463" s="45"/>
      <c r="F463" s="45"/>
      <c r="G463" s="46" t="s">
        <v>113</v>
      </c>
      <c r="H463" s="47" t="s">
        <v>20</v>
      </c>
      <c r="I463" s="67"/>
      <c r="J463" s="67"/>
      <c r="K463" s="233"/>
      <c r="L463" s="53"/>
      <c r="M463" s="53">
        <v>0</v>
      </c>
      <c r="N463" s="53"/>
    </row>
    <row r="464" spans="1:14" ht="21.75" customHeight="1" x14ac:dyDescent="0.4">
      <c r="A464" s="230"/>
      <c r="B464" s="231"/>
      <c r="C464" s="43"/>
      <c r="D464" s="232"/>
      <c r="E464" s="45"/>
      <c r="F464" s="45"/>
      <c r="G464" s="46" t="s">
        <v>114</v>
      </c>
      <c r="H464" s="47" t="s">
        <v>20</v>
      </c>
      <c r="I464" s="67"/>
      <c r="J464" s="67"/>
      <c r="K464" s="233"/>
      <c r="L464" s="53"/>
      <c r="M464" s="54">
        <v>0</v>
      </c>
      <c r="N464" s="53"/>
    </row>
    <row r="465" spans="1:14" ht="21.75" customHeight="1" x14ac:dyDescent="0.4">
      <c r="A465" s="230"/>
      <c r="B465" s="231"/>
      <c r="C465" s="43"/>
      <c r="D465" s="232"/>
      <c r="E465" s="45"/>
      <c r="F465" s="45"/>
      <c r="G465" s="46" t="s">
        <v>115</v>
      </c>
      <c r="H465" s="47" t="s">
        <v>20</v>
      </c>
      <c r="I465" s="67"/>
      <c r="J465" s="67"/>
      <c r="K465" s="233"/>
      <c r="L465" s="53"/>
      <c r="M465" s="54">
        <v>0</v>
      </c>
      <c r="N465" s="53"/>
    </row>
    <row r="466" spans="1:14" ht="21.75" customHeight="1" x14ac:dyDescent="0.4">
      <c r="A466" s="55"/>
      <c r="B466" s="56"/>
      <c r="C466" s="56"/>
      <c r="D466" s="75"/>
      <c r="E466" s="74" t="s">
        <v>21</v>
      </c>
      <c r="F466" s="260" t="s">
        <v>189</v>
      </c>
      <c r="G466" s="240"/>
      <c r="H466" s="314" t="s">
        <v>16</v>
      </c>
      <c r="I466" s="265">
        <f ca="1">IFERROR(__xludf.DUMMYFUNCTION("IMPORTRANGE(""https://docs.google.com/spreadsheets/d/1C3CXT74ZlgGe6_JY_1olB1XN4rF0dxEuIIF-xsYjHgg/edit?usp=sharing"",""งบกองทุน!Ed31"")"),250)</f>
        <v>250</v>
      </c>
      <c r="J466" s="265">
        <f>+J469+J470+J471+J472</f>
        <v>61</v>
      </c>
      <c r="K466" s="80">
        <f ca="1">IF(I466&gt;0,J466*100/I466,0)</f>
        <v>24.4</v>
      </c>
      <c r="L466" s="61"/>
      <c r="M466" s="61"/>
      <c r="N466" s="61"/>
    </row>
    <row r="467" spans="1:14" ht="21.75" customHeight="1" x14ac:dyDescent="0.4">
      <c r="A467" s="55"/>
      <c r="B467" s="56"/>
      <c r="C467" s="56"/>
      <c r="D467" s="75"/>
      <c r="E467" s="75"/>
      <c r="F467" s="74" t="s">
        <v>190</v>
      </c>
      <c r="G467" s="76"/>
      <c r="H467" s="315"/>
      <c r="I467" s="48"/>
      <c r="J467" s="48"/>
      <c r="K467" s="49"/>
      <c r="L467" s="61"/>
      <c r="M467" s="61"/>
      <c r="N467" s="61"/>
    </row>
    <row r="468" spans="1:14" ht="21.75" customHeight="1" x14ac:dyDescent="0.4">
      <c r="A468" s="55"/>
      <c r="B468" s="56"/>
      <c r="C468" s="56"/>
      <c r="D468" s="75"/>
      <c r="E468" s="74" t="s">
        <v>21</v>
      </c>
      <c r="F468" s="74" t="s">
        <v>191</v>
      </c>
      <c r="G468" s="76"/>
      <c r="H468" s="315" t="s">
        <v>57</v>
      </c>
      <c r="I468" s="48">
        <v>0</v>
      </c>
      <c r="J468" s="68">
        <v>2</v>
      </c>
      <c r="K468" s="49">
        <f t="shared" ref="K468:K472" si="106">IF(I468&gt;0,J468*100/I468,0)</f>
        <v>0</v>
      </c>
      <c r="L468" s="61"/>
      <c r="M468" s="61"/>
      <c r="N468" s="61"/>
    </row>
    <row r="469" spans="1:14" ht="21.75" customHeight="1" x14ac:dyDescent="0.4">
      <c r="A469" s="55"/>
      <c r="B469" s="56"/>
      <c r="C469" s="56"/>
      <c r="D469" s="75"/>
      <c r="E469" s="75"/>
      <c r="F469" s="74" t="s">
        <v>192</v>
      </c>
      <c r="G469" s="76"/>
      <c r="H469" s="315" t="s">
        <v>16</v>
      </c>
      <c r="I469" s="48">
        <v>0</v>
      </c>
      <c r="J469" s="68">
        <v>48</v>
      </c>
      <c r="K469" s="49">
        <f t="shared" si="106"/>
        <v>0</v>
      </c>
      <c r="L469" s="61"/>
      <c r="M469" s="61"/>
      <c r="N469" s="61"/>
    </row>
    <row r="470" spans="1:14" ht="21.75" customHeight="1" x14ac:dyDescent="0.4">
      <c r="A470" s="55"/>
      <c r="B470" s="56"/>
      <c r="C470" s="56"/>
      <c r="D470" s="75"/>
      <c r="E470" s="75"/>
      <c r="F470" s="74" t="s">
        <v>193</v>
      </c>
      <c r="G470" s="76"/>
      <c r="H470" s="315" t="s">
        <v>16</v>
      </c>
      <c r="I470" s="48">
        <v>0</v>
      </c>
      <c r="J470" s="68">
        <v>13</v>
      </c>
      <c r="K470" s="49">
        <f t="shared" si="106"/>
        <v>0</v>
      </c>
      <c r="L470" s="61"/>
      <c r="M470" s="61"/>
      <c r="N470" s="61"/>
    </row>
    <row r="471" spans="1:14" ht="21.75" customHeight="1" x14ac:dyDescent="0.4">
      <c r="A471" s="55"/>
      <c r="B471" s="56"/>
      <c r="C471" s="56"/>
      <c r="D471" s="75"/>
      <c r="E471" s="75"/>
      <c r="F471" s="74" t="s">
        <v>194</v>
      </c>
      <c r="G471" s="266"/>
      <c r="H471" s="315" t="s">
        <v>16</v>
      </c>
      <c r="I471" s="48">
        <v>0</v>
      </c>
      <c r="J471" s="68">
        <v>0</v>
      </c>
      <c r="K471" s="49">
        <f t="shared" si="106"/>
        <v>0</v>
      </c>
      <c r="L471" s="61"/>
      <c r="M471" s="61"/>
      <c r="N471" s="61"/>
    </row>
    <row r="472" spans="1:14" ht="21.75" customHeight="1" x14ac:dyDescent="0.4">
      <c r="A472" s="55"/>
      <c r="B472" s="56"/>
      <c r="C472" s="56"/>
      <c r="D472" s="75"/>
      <c r="E472" s="75"/>
      <c r="F472" s="74" t="s">
        <v>195</v>
      </c>
      <c r="G472" s="266"/>
      <c r="H472" s="315" t="s">
        <v>16</v>
      </c>
      <c r="I472" s="48">
        <v>0</v>
      </c>
      <c r="J472" s="68">
        <v>0</v>
      </c>
      <c r="K472" s="49">
        <f t="shared" si="106"/>
        <v>0</v>
      </c>
      <c r="L472" s="61"/>
      <c r="M472" s="61"/>
      <c r="N472" s="61"/>
    </row>
    <row r="473" spans="1:14" ht="21.75" customHeight="1" x14ac:dyDescent="0.4">
      <c r="A473" s="222"/>
      <c r="B473" s="223">
        <v>9</v>
      </c>
      <c r="C473" s="224" t="s">
        <v>196</v>
      </c>
      <c r="D473" s="224"/>
      <c r="E473" s="224"/>
      <c r="F473" s="224"/>
      <c r="G473" s="225"/>
      <c r="H473" s="226" t="s">
        <v>16</v>
      </c>
      <c r="I473" s="227">
        <f ca="1">I484</f>
        <v>34</v>
      </c>
      <c r="J473" s="227">
        <f ca="1">J488</f>
        <v>0</v>
      </c>
      <c r="K473" s="228">
        <f ca="1">IF(I473&gt;0,J473*100/I473,0)</f>
        <v>0</v>
      </c>
      <c r="L473" s="229">
        <f ca="1">SUM(L474,L475)</f>
        <v>128934</v>
      </c>
      <c r="M473" s="229">
        <f>SUM(M474:M475)</f>
        <v>0</v>
      </c>
      <c r="N473" s="229">
        <f t="shared" ref="N473:N477" ca="1" si="107">+IF(L473&gt;0,M473*100/L473,0)</f>
        <v>0</v>
      </c>
    </row>
    <row r="474" spans="1:14" ht="21.75" customHeight="1" x14ac:dyDescent="0.4">
      <c r="A474" s="42"/>
      <c r="B474" s="43"/>
      <c r="C474" s="43" t="s">
        <v>17</v>
      </c>
      <c r="D474" s="44" t="s">
        <v>18</v>
      </c>
      <c r="E474" s="45"/>
      <c r="F474" s="45"/>
      <c r="G474" s="46" t="s">
        <v>19</v>
      </c>
      <c r="H474" s="47" t="s">
        <v>20</v>
      </c>
      <c r="I474" s="48" t="s">
        <v>21</v>
      </c>
      <c r="J474" s="48"/>
      <c r="K474" s="49"/>
      <c r="L474" s="50">
        <v>0</v>
      </c>
      <c r="M474" s="53">
        <v>0</v>
      </c>
      <c r="N474" s="53">
        <f t="shared" si="107"/>
        <v>0</v>
      </c>
    </row>
    <row r="475" spans="1:14" ht="21.75" customHeight="1" x14ac:dyDescent="0.4">
      <c r="A475" s="42"/>
      <c r="B475" s="43"/>
      <c r="C475" s="43"/>
      <c r="D475" s="51"/>
      <c r="E475" s="45"/>
      <c r="F475" s="45" t="s">
        <v>21</v>
      </c>
      <c r="G475" s="46" t="s">
        <v>22</v>
      </c>
      <c r="H475" s="47" t="s">
        <v>20</v>
      </c>
      <c r="I475" s="48"/>
      <c r="J475" s="48"/>
      <c r="K475" s="49"/>
      <c r="L475" s="50">
        <f t="shared" ref="L475:M475" ca="1" si="108">SUM(L476:L477)</f>
        <v>128934</v>
      </c>
      <c r="M475" s="53">
        <f t="shared" si="108"/>
        <v>0</v>
      </c>
      <c r="N475" s="53">
        <f t="shared" ca="1" si="107"/>
        <v>0</v>
      </c>
    </row>
    <row r="476" spans="1:14" ht="21.75" customHeight="1" x14ac:dyDescent="0.4">
      <c r="A476" s="42"/>
      <c r="B476" s="43"/>
      <c r="C476" s="43"/>
      <c r="D476" s="51"/>
      <c r="E476" s="45"/>
      <c r="F476" s="45"/>
      <c r="G476" s="52" t="s">
        <v>110</v>
      </c>
      <c r="H476" s="47" t="s">
        <v>20</v>
      </c>
      <c r="I476" s="48"/>
      <c r="J476" s="48"/>
      <c r="K476" s="49"/>
      <c r="L476" s="53">
        <f ca="1">IFERROR(__xludf.DUMMYFUNCTION("IMPORTRANGE(""https://docs.google.com/spreadsheets/d/1C3CXT74ZlgGe6_JY_1olB1XN4rF0dxEuIIF-xsYjHgg/edit?usp=sharing"",""งบกองทุน!Ek31"")"),0)</f>
        <v>0</v>
      </c>
      <c r="M476" s="53">
        <v>0</v>
      </c>
      <c r="N476" s="53">
        <f t="shared" ca="1" si="107"/>
        <v>0</v>
      </c>
    </row>
    <row r="477" spans="1:14" ht="21.75" customHeight="1" x14ac:dyDescent="0.4">
      <c r="A477" s="42"/>
      <c r="B477" s="43"/>
      <c r="C477" s="43"/>
      <c r="D477" s="51"/>
      <c r="E477" s="45"/>
      <c r="F477" s="45"/>
      <c r="G477" s="52" t="s">
        <v>111</v>
      </c>
      <c r="H477" s="47" t="s">
        <v>20</v>
      </c>
      <c r="I477" s="48"/>
      <c r="J477" s="48"/>
      <c r="K477" s="49"/>
      <c r="L477" s="53">
        <f ca="1">IFERROR(__xludf.DUMMYFUNCTION("IMPORTRANGE(""https://docs.google.com/spreadsheets/d/1C3CXT74ZlgGe6_JY_1olB1XN4rF0dxEuIIF-xsYjHgg/edit?usp=sharing"",""งบกองทุน!El31"")"),128934)</f>
        <v>128934</v>
      </c>
      <c r="M477" s="53">
        <f>SUM(M478:M481)</f>
        <v>0</v>
      </c>
      <c r="N477" s="53">
        <f t="shared" ca="1" si="107"/>
        <v>0</v>
      </c>
    </row>
    <row r="478" spans="1:14" ht="21.75" customHeight="1" x14ac:dyDescent="0.4">
      <c r="A478" s="230"/>
      <c r="B478" s="231"/>
      <c r="C478" s="43"/>
      <c r="D478" s="232"/>
      <c r="E478" s="45"/>
      <c r="F478" s="45"/>
      <c r="G478" s="46" t="s">
        <v>112</v>
      </c>
      <c r="H478" s="47" t="s">
        <v>20</v>
      </c>
      <c r="I478" s="67"/>
      <c r="J478" s="67"/>
      <c r="K478" s="233"/>
      <c r="L478" s="53"/>
      <c r="M478" s="53">
        <v>0</v>
      </c>
      <c r="N478" s="53"/>
    </row>
    <row r="479" spans="1:14" ht="21.75" customHeight="1" x14ac:dyDescent="0.4">
      <c r="A479" s="230"/>
      <c r="B479" s="231"/>
      <c r="C479" s="43"/>
      <c r="D479" s="232"/>
      <c r="E479" s="45"/>
      <c r="F479" s="45"/>
      <c r="G479" s="46" t="s">
        <v>113</v>
      </c>
      <c r="H479" s="47" t="s">
        <v>20</v>
      </c>
      <c r="I479" s="67"/>
      <c r="J479" s="67"/>
      <c r="K479" s="233"/>
      <c r="L479" s="53"/>
      <c r="M479" s="53">
        <v>0</v>
      </c>
      <c r="N479" s="53"/>
    </row>
    <row r="480" spans="1:14" ht="21.75" customHeight="1" x14ac:dyDescent="0.4">
      <c r="A480" s="230"/>
      <c r="B480" s="231"/>
      <c r="C480" s="43"/>
      <c r="D480" s="232"/>
      <c r="E480" s="45"/>
      <c r="F480" s="45"/>
      <c r="G480" s="46" t="s">
        <v>114</v>
      </c>
      <c r="H480" s="47" t="s">
        <v>20</v>
      </c>
      <c r="I480" s="67"/>
      <c r="J480" s="67"/>
      <c r="K480" s="233"/>
      <c r="L480" s="53"/>
      <c r="M480" s="54">
        <v>0</v>
      </c>
      <c r="N480" s="53"/>
    </row>
    <row r="481" spans="1:14" ht="21.75" customHeight="1" x14ac:dyDescent="0.4">
      <c r="A481" s="230"/>
      <c r="B481" s="231"/>
      <c r="C481" s="43"/>
      <c r="D481" s="232"/>
      <c r="E481" s="45"/>
      <c r="F481" s="45"/>
      <c r="G481" s="46" t="s">
        <v>115</v>
      </c>
      <c r="H481" s="47" t="s">
        <v>20</v>
      </c>
      <c r="I481" s="67"/>
      <c r="J481" s="67"/>
      <c r="K481" s="233"/>
      <c r="L481" s="53"/>
      <c r="M481" s="54">
        <v>0</v>
      </c>
      <c r="N481" s="53"/>
    </row>
    <row r="482" spans="1:14" ht="21.75" customHeight="1" x14ac:dyDescent="0.4">
      <c r="A482" s="316"/>
      <c r="B482" s="51"/>
      <c r="C482" s="43"/>
      <c r="D482" s="155"/>
      <c r="E482" s="74" t="s">
        <v>197</v>
      </c>
      <c r="F482" s="75"/>
      <c r="G482" s="76"/>
      <c r="H482" s="60" t="s">
        <v>15</v>
      </c>
      <c r="I482" s="200">
        <f ca="1">IFERROR(__xludf.DUMMYFUNCTION("IMPORTRANGE(""https://docs.google.com/spreadsheets/d/1C3CXT74ZlgGe6_JY_1olB1XN4rF0dxEuIIF-xsYjHgg/edit?usp=sharing"",""งบกองทุน!Em31"")"),34)</f>
        <v>34</v>
      </c>
      <c r="J482" s="67">
        <f ca="1">IFERROR(__xludf.DUMMYFUNCTION("IMPORTRANGE(""https://docs.google.com/spreadsheets/d/1AGHcLOeeYFL3K4b9R1dSzyJy00PE_ra89DNTVfnxSWM/edit?usp=sharing"",""รวมที่ชุมชน!G20"")"),0)</f>
        <v>0</v>
      </c>
      <c r="K482" s="49">
        <f t="shared" ref="K482:K489" ca="1" si="109">IF(I482&gt;0,J482*100/I482,0)</f>
        <v>0</v>
      </c>
      <c r="L482" s="61"/>
      <c r="M482" s="61"/>
      <c r="N482" s="61"/>
    </row>
    <row r="483" spans="1:14" ht="21.75" customHeight="1" x14ac:dyDescent="0.4">
      <c r="A483" s="316"/>
      <c r="B483" s="51"/>
      <c r="C483" s="43"/>
      <c r="D483" s="155"/>
      <c r="E483" s="75"/>
      <c r="F483" s="75"/>
      <c r="G483" s="76"/>
      <c r="H483" s="60" t="s">
        <v>103</v>
      </c>
      <c r="I483" s="200">
        <f ca="1">IFERROR(__xludf.DUMMYFUNCTION("IMPORTRANGE(""https://docs.google.com/spreadsheets/d/1C3CXT74ZlgGe6_JY_1olB1XN4rF0dxEuIIF-xsYjHgg/edit?usp=sharing"",""งบกองทุน!En31"")"),0)</f>
        <v>0</v>
      </c>
      <c r="J483" s="67">
        <f ca="1">IFERROR(__xludf.DUMMYFUNCTION("IMPORTRANGE(""https://docs.google.com/spreadsheets/d/1AGHcLOeeYFL3K4b9R1dSzyJy00PE_ra89DNTVfnxSWM/edit?usp=sharing"",""รวมที่ชุมชน!H20"")"),0)</f>
        <v>0</v>
      </c>
      <c r="K483" s="49">
        <f t="shared" ca="1" si="109"/>
        <v>0</v>
      </c>
      <c r="L483" s="61"/>
      <c r="M483" s="61"/>
      <c r="N483" s="61"/>
    </row>
    <row r="484" spans="1:14" ht="21.75" customHeight="1" x14ac:dyDescent="0.4">
      <c r="A484" s="316"/>
      <c r="B484" s="51"/>
      <c r="C484" s="43"/>
      <c r="D484" s="155"/>
      <c r="E484" s="74" t="s">
        <v>104</v>
      </c>
      <c r="F484" s="75"/>
      <c r="G484" s="76"/>
      <c r="H484" s="60" t="s">
        <v>16</v>
      </c>
      <c r="I484" s="200">
        <f ca="1">IFERROR(__xludf.DUMMYFUNCTION("IMPORTRANGE(""https://docs.google.com/spreadsheets/d/1C3CXT74ZlgGe6_JY_1olB1XN4rF0dxEuIIF-xsYjHgg/edit?usp=sharing"",""งบกองทุน!Eo31"")"),34)</f>
        <v>34</v>
      </c>
      <c r="J484" s="67">
        <f ca="1">IFERROR(__xludf.DUMMYFUNCTION("IMPORTRANGE(""https://docs.google.com/spreadsheets/d/1AGHcLOeeYFL3K4b9R1dSzyJy00PE_ra89DNTVfnxSWM/edit?usp=sharing"",""รวมที่ชุมชน!J20"")"),0)</f>
        <v>0</v>
      </c>
      <c r="K484" s="49">
        <f t="shared" ca="1" si="109"/>
        <v>0</v>
      </c>
      <c r="L484" s="61"/>
      <c r="M484" s="61"/>
      <c r="N484" s="61"/>
    </row>
    <row r="485" spans="1:14" ht="21.75" customHeight="1" x14ac:dyDescent="0.4">
      <c r="A485" s="316"/>
      <c r="B485" s="51"/>
      <c r="C485" s="43"/>
      <c r="D485" s="155"/>
      <c r="E485" s="75"/>
      <c r="F485" s="75"/>
      <c r="G485" s="76"/>
      <c r="H485" s="60" t="s">
        <v>103</v>
      </c>
      <c r="I485" s="200">
        <f ca="1">IFERROR(__xludf.DUMMYFUNCTION("IMPORTRANGE(""https://docs.google.com/spreadsheets/d/1C3CXT74ZlgGe6_JY_1olB1XN4rF0dxEuIIF-xsYjHgg/edit?usp=sharing"",""งบกองทุน!Ep31"")"),0)</f>
        <v>0</v>
      </c>
      <c r="J485" s="67">
        <f ca="1">IFERROR(__xludf.DUMMYFUNCTION("IMPORTRANGE(""https://docs.google.com/spreadsheets/d/1AGHcLOeeYFL3K4b9R1dSzyJy00PE_ra89DNTVfnxSWM/edit?usp=sharing"",""รวมที่ชุมชน!L20"")"),0)</f>
        <v>0</v>
      </c>
      <c r="K485" s="49">
        <f t="shared" ca="1" si="109"/>
        <v>0</v>
      </c>
      <c r="L485" s="61"/>
      <c r="M485" s="61"/>
      <c r="N485" s="61"/>
    </row>
    <row r="486" spans="1:14" ht="21.75" customHeight="1" x14ac:dyDescent="0.4">
      <c r="A486" s="316"/>
      <c r="B486" s="51"/>
      <c r="C486" s="43"/>
      <c r="D486" s="155"/>
      <c r="E486" s="74" t="s">
        <v>105</v>
      </c>
      <c r="F486" s="75"/>
      <c r="G486" s="76"/>
      <c r="H486" s="60" t="s">
        <v>16</v>
      </c>
      <c r="I486" s="200">
        <f ca="1">IFERROR(__xludf.DUMMYFUNCTION("IMPORTRANGE(""https://docs.google.com/spreadsheets/d/1C3CXT74ZlgGe6_JY_1olB1XN4rF0dxEuIIF-xsYjHgg/edit?usp=sharing"",""งบกองทุน!Eq31"")"),34)</f>
        <v>34</v>
      </c>
      <c r="J486" s="67">
        <f ca="1">IFERROR(__xludf.DUMMYFUNCTION("IMPORTRANGE(""https://docs.google.com/spreadsheets/d/1AGHcLOeeYFL3K4b9R1dSzyJy00PE_ra89DNTVfnxSWM/edit?usp=sharing"",""รวมที่ชุมชน!S20"")"),0)</f>
        <v>0</v>
      </c>
      <c r="K486" s="49">
        <f t="shared" ca="1" si="109"/>
        <v>0</v>
      </c>
      <c r="L486" s="61"/>
      <c r="M486" s="61"/>
      <c r="N486" s="61"/>
    </row>
    <row r="487" spans="1:14" ht="21.75" customHeight="1" x14ac:dyDescent="0.4">
      <c r="A487" s="316"/>
      <c r="B487" s="51"/>
      <c r="C487" s="43"/>
      <c r="D487" s="155"/>
      <c r="E487" s="75"/>
      <c r="F487" s="75"/>
      <c r="G487" s="76"/>
      <c r="H487" s="60" t="s">
        <v>103</v>
      </c>
      <c r="I487" s="200">
        <f ca="1">IFERROR(__xludf.DUMMYFUNCTION("IMPORTRANGE(""https://docs.google.com/spreadsheets/d/1C3CXT74ZlgGe6_JY_1olB1XN4rF0dxEuIIF-xsYjHgg/edit?usp=sharing"",""งบกองทุน!Er31"")"),0)</f>
        <v>0</v>
      </c>
      <c r="J487" s="67">
        <f ca="1">IFERROR(__xludf.DUMMYFUNCTION("IMPORTRANGE(""https://docs.google.com/spreadsheets/d/1AGHcLOeeYFL3K4b9R1dSzyJy00PE_ra89DNTVfnxSWM/edit?usp=sharing"",""รวมที่ชุมชน!U20"")"),0)</f>
        <v>0</v>
      </c>
      <c r="K487" s="49">
        <f t="shared" ca="1" si="109"/>
        <v>0</v>
      </c>
      <c r="L487" s="61"/>
      <c r="M487" s="61"/>
      <c r="N487" s="61"/>
    </row>
    <row r="488" spans="1:14" ht="21.75" customHeight="1" x14ac:dyDescent="0.4">
      <c r="A488" s="316"/>
      <c r="B488" s="51"/>
      <c r="C488" s="43"/>
      <c r="D488" s="155"/>
      <c r="E488" s="74" t="s">
        <v>106</v>
      </c>
      <c r="F488" s="75"/>
      <c r="G488" s="76"/>
      <c r="H488" s="60" t="s">
        <v>16</v>
      </c>
      <c r="I488" s="200">
        <f ca="1">IFERROR(__xludf.DUMMYFUNCTION("IMPORTRANGE(""https://docs.google.com/spreadsheets/d/1C3CXT74ZlgGe6_JY_1olB1XN4rF0dxEuIIF-xsYjHgg/edit?usp=sharing"",""งบกองทุน!Es31"")"),34)</f>
        <v>34</v>
      </c>
      <c r="J488" s="67">
        <f ca="1">IFERROR(__xludf.DUMMYFUNCTION("IMPORTRANGE(""https://docs.google.com/spreadsheets/d/1AGHcLOeeYFL3K4b9R1dSzyJy00PE_ra89DNTVfnxSWM/edit?usp=sharing"",""รวมที่ชุมชน!V20"")"),0)</f>
        <v>0</v>
      </c>
      <c r="K488" s="49">
        <f t="shared" ca="1" si="109"/>
        <v>0</v>
      </c>
      <c r="L488" s="61"/>
      <c r="M488" s="61"/>
      <c r="N488" s="61"/>
    </row>
    <row r="489" spans="1:14" ht="21.75" customHeight="1" x14ac:dyDescent="0.4">
      <c r="A489" s="317"/>
      <c r="B489" s="318"/>
      <c r="C489" s="319"/>
      <c r="D489" s="320"/>
      <c r="E489" s="295"/>
      <c r="F489" s="295"/>
      <c r="G489" s="296"/>
      <c r="H489" s="321" t="s">
        <v>103</v>
      </c>
      <c r="I489" s="322">
        <f ca="1">IFERROR(__xludf.DUMMYFUNCTION("IMPORTRANGE(""https://docs.google.com/spreadsheets/d/1C3CXT74ZlgGe6_JY_1olB1XN4rF0dxEuIIF-xsYjHgg/edit?usp=sharing"",""งบกองทุน!Et31"")"),0)</f>
        <v>0</v>
      </c>
      <c r="J489" s="112">
        <f ca="1">IFERROR(__xludf.DUMMYFUNCTION("IMPORTRANGE(""https://docs.google.com/spreadsheets/d/1AGHcLOeeYFL3K4b9R1dSzyJy00PE_ra89DNTVfnxSWM/edit?usp=sharing"",""รวมที่ชุมชน!X20"")"),0)</f>
        <v>0</v>
      </c>
      <c r="K489" s="114">
        <f t="shared" ca="1" si="109"/>
        <v>0</v>
      </c>
      <c r="L489" s="300"/>
      <c r="M489" s="300"/>
      <c r="N489" s="300"/>
    </row>
    <row r="490" spans="1:14" ht="21.75" customHeight="1" x14ac:dyDescent="0.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10">I504</f>
        <v>50</v>
      </c>
      <c r="J490" s="375">
        <f t="shared" si="110"/>
        <v>0</v>
      </c>
      <c r="K490" s="301">
        <f ca="1">IF(I490&gt;0,J490*100/I490,0)</f>
        <v>0</v>
      </c>
      <c r="L490" s="259">
        <f ca="1">SUM(L491,L492)</f>
        <v>6950</v>
      </c>
      <c r="M490" s="259">
        <f>SUM(M491:M492)</f>
        <v>0</v>
      </c>
      <c r="N490" s="259">
        <f t="shared" ref="N490:N494" ca="1" si="111">+IF(L490&gt;0,M490*100/L490,0)</f>
        <v>0</v>
      </c>
    </row>
    <row r="491" spans="1:14" ht="21.75" customHeight="1" x14ac:dyDescent="0.4">
      <c r="A491" s="42"/>
      <c r="B491" s="43"/>
      <c r="C491" s="43" t="s">
        <v>17</v>
      </c>
      <c r="D491" s="44" t="s">
        <v>18</v>
      </c>
      <c r="E491" s="45"/>
      <c r="F491" s="45"/>
      <c r="G491" s="46" t="s">
        <v>19</v>
      </c>
      <c r="H491" s="47" t="s">
        <v>20</v>
      </c>
      <c r="I491" s="48" t="s">
        <v>21</v>
      </c>
      <c r="J491" s="48"/>
      <c r="K491" s="49"/>
      <c r="L491" s="50">
        <v>0</v>
      </c>
      <c r="M491" s="53">
        <v>0</v>
      </c>
      <c r="N491" s="53">
        <f t="shared" si="111"/>
        <v>0</v>
      </c>
    </row>
    <row r="492" spans="1:14" ht="21.75" customHeight="1" x14ac:dyDescent="0.4">
      <c r="A492" s="42"/>
      <c r="B492" s="43"/>
      <c r="C492" s="43"/>
      <c r="D492" s="51"/>
      <c r="E492" s="45"/>
      <c r="F492" s="45" t="s">
        <v>21</v>
      </c>
      <c r="G492" s="46" t="s">
        <v>22</v>
      </c>
      <c r="H492" s="47" t="s">
        <v>20</v>
      </c>
      <c r="I492" s="48"/>
      <c r="J492" s="48"/>
      <c r="K492" s="49"/>
      <c r="L492" s="50">
        <f t="shared" ref="L492:M492" ca="1" si="112">SUM(L493:L494)</f>
        <v>6950</v>
      </c>
      <c r="M492" s="53">
        <f t="shared" si="112"/>
        <v>0</v>
      </c>
      <c r="N492" s="53">
        <f t="shared" ca="1" si="111"/>
        <v>0</v>
      </c>
    </row>
    <row r="493" spans="1:14" ht="21.75" customHeight="1" x14ac:dyDescent="0.4">
      <c r="A493" s="42"/>
      <c r="B493" s="43"/>
      <c r="C493" s="43"/>
      <c r="D493" s="51"/>
      <c r="E493" s="45"/>
      <c r="F493" s="45"/>
      <c r="G493" s="52" t="s">
        <v>110</v>
      </c>
      <c r="H493" s="47" t="s">
        <v>20</v>
      </c>
      <c r="I493" s="48"/>
      <c r="J493" s="48"/>
      <c r="K493" s="49"/>
      <c r="L493" s="53">
        <f ca="1">IFERROR(__xludf.DUMMYFUNCTION("IMPORTRANGE(""https://docs.google.com/spreadsheets/d/1C3CXT74ZlgGe6_JY_1olB1XN4rF0dxEuIIF-xsYjHgg/edit?usp=sharing"",""งบกองทุน!Ev31"")"),0)</f>
        <v>0</v>
      </c>
      <c r="M493" s="53">
        <v>0</v>
      </c>
      <c r="N493" s="53">
        <f t="shared" ca="1" si="111"/>
        <v>0</v>
      </c>
    </row>
    <row r="494" spans="1:14" ht="21.75" customHeight="1" x14ac:dyDescent="0.4">
      <c r="A494" s="42"/>
      <c r="B494" s="43"/>
      <c r="C494" s="43"/>
      <c r="D494" s="51"/>
      <c r="E494" s="45"/>
      <c r="F494" s="45"/>
      <c r="G494" s="52" t="s">
        <v>111</v>
      </c>
      <c r="H494" s="47" t="s">
        <v>20</v>
      </c>
      <c r="I494" s="48"/>
      <c r="J494" s="48"/>
      <c r="K494" s="49"/>
      <c r="L494" s="53">
        <f ca="1">IFERROR(__xludf.DUMMYFUNCTION("IMPORTRANGE(""https://docs.google.com/spreadsheets/d/1C3CXT74ZlgGe6_JY_1olB1XN4rF0dxEuIIF-xsYjHgg/edit?usp=sharing"",""งบกองทุน!Ew31"")"),6950)</f>
        <v>6950</v>
      </c>
      <c r="M494" s="53">
        <f>SUM(M495:M498)</f>
        <v>0</v>
      </c>
      <c r="N494" s="53">
        <f t="shared" ca="1" si="111"/>
        <v>0</v>
      </c>
    </row>
    <row r="495" spans="1:14" ht="21.75" customHeight="1" x14ac:dyDescent="0.4">
      <c r="A495" s="230"/>
      <c r="B495" s="231"/>
      <c r="C495" s="43"/>
      <c r="D495" s="232"/>
      <c r="E495" s="45"/>
      <c r="F495" s="45"/>
      <c r="G495" s="46" t="s">
        <v>112</v>
      </c>
      <c r="H495" s="47" t="s">
        <v>20</v>
      </c>
      <c r="I495" s="67"/>
      <c r="J495" s="67"/>
      <c r="K495" s="233"/>
      <c r="L495" s="53"/>
      <c r="M495" s="53">
        <v>0</v>
      </c>
      <c r="N495" s="53"/>
    </row>
    <row r="496" spans="1:14" ht="21.75" customHeight="1" x14ac:dyDescent="0.4">
      <c r="A496" s="230"/>
      <c r="B496" s="231"/>
      <c r="C496" s="43"/>
      <c r="D496" s="232"/>
      <c r="E496" s="45"/>
      <c r="F496" s="45"/>
      <c r="G496" s="46" t="s">
        <v>113</v>
      </c>
      <c r="H496" s="47" t="s">
        <v>20</v>
      </c>
      <c r="I496" s="67"/>
      <c r="J496" s="67"/>
      <c r="K496" s="233"/>
      <c r="L496" s="53"/>
      <c r="M496" s="53">
        <v>0</v>
      </c>
      <c r="N496" s="53"/>
    </row>
    <row r="497" spans="1:14" ht="21.75" customHeight="1" x14ac:dyDescent="0.4">
      <c r="A497" s="230"/>
      <c r="B497" s="231"/>
      <c r="C497" s="43"/>
      <c r="D497" s="232"/>
      <c r="E497" s="45"/>
      <c r="F497" s="45"/>
      <c r="G497" s="46" t="s">
        <v>114</v>
      </c>
      <c r="H497" s="47" t="s">
        <v>20</v>
      </c>
      <c r="I497" s="67"/>
      <c r="J497" s="67"/>
      <c r="K497" s="233"/>
      <c r="L497" s="53"/>
      <c r="M497" s="54">
        <v>0</v>
      </c>
      <c r="N497" s="53"/>
    </row>
    <row r="498" spans="1:14" ht="21.75" customHeight="1" x14ac:dyDescent="0.4">
      <c r="A498" s="230"/>
      <c r="B498" s="231"/>
      <c r="C498" s="43"/>
      <c r="D498" s="232"/>
      <c r="E498" s="45"/>
      <c r="F498" s="45"/>
      <c r="G498" s="46" t="s">
        <v>115</v>
      </c>
      <c r="H498" s="47" t="s">
        <v>20</v>
      </c>
      <c r="I498" s="67"/>
      <c r="J498" s="67"/>
      <c r="K498" s="233"/>
      <c r="L498" s="53"/>
      <c r="M498" s="54">
        <v>0</v>
      </c>
      <c r="N498" s="53"/>
    </row>
    <row r="499" spans="1:14" ht="21.75" customHeight="1" x14ac:dyDescent="0.4">
      <c r="A499" s="55"/>
      <c r="B499" s="56"/>
      <c r="C499" s="43" t="s">
        <v>17</v>
      </c>
      <c r="D499" s="57" t="s">
        <v>25</v>
      </c>
      <c r="E499" s="58"/>
      <c r="F499" s="58"/>
      <c r="G499" s="59"/>
      <c r="H499" s="60"/>
      <c r="I499" s="48"/>
      <c r="J499" s="48"/>
      <c r="K499" s="49"/>
      <c r="L499" s="61"/>
      <c r="M499" s="61"/>
      <c r="N499" s="61"/>
    </row>
    <row r="500" spans="1:14" ht="21.75" customHeight="1" x14ac:dyDescent="0.4">
      <c r="A500" s="55"/>
      <c r="B500" s="56"/>
      <c r="C500" s="56"/>
      <c r="D500" s="62">
        <v>1</v>
      </c>
      <c r="E500" s="63" t="s">
        <v>26</v>
      </c>
      <c r="F500" s="64"/>
      <c r="G500" s="65"/>
      <c r="H500" s="66"/>
      <c r="I500" s="67"/>
      <c r="J500" s="68">
        <v>0</v>
      </c>
      <c r="K500" s="49"/>
      <c r="L500" s="61"/>
      <c r="M500" s="61"/>
      <c r="N500" s="61"/>
    </row>
    <row r="501" spans="1:14" ht="21.75" customHeight="1" x14ac:dyDescent="0.4">
      <c r="A501" s="55"/>
      <c r="B501" s="56"/>
      <c r="C501" s="56"/>
      <c r="D501" s="69">
        <v>2</v>
      </c>
      <c r="E501" s="70" t="s">
        <v>27</v>
      </c>
      <c r="F501" s="71"/>
      <c r="G501" s="72"/>
      <c r="H501" s="66"/>
      <c r="I501" s="67"/>
      <c r="J501" s="68">
        <v>1</v>
      </c>
      <c r="K501" s="49"/>
      <c r="L501" s="61" t="s">
        <v>21</v>
      </c>
      <c r="M501" s="61" t="s">
        <v>21</v>
      </c>
      <c r="N501" s="61"/>
    </row>
    <row r="502" spans="1:14" ht="21.75" hidden="1" customHeight="1" x14ac:dyDescent="0.4">
      <c r="A502" s="376"/>
      <c r="B502" s="377"/>
      <c r="C502" s="377"/>
      <c r="D502" s="378"/>
      <c r="E502" s="379" t="s">
        <v>28</v>
      </c>
      <c r="F502" s="380"/>
      <c r="G502" s="381"/>
      <c r="H502" s="330"/>
      <c r="I502" s="331"/>
      <c r="J502" s="331">
        <v>0</v>
      </c>
      <c r="K502" s="382"/>
      <c r="L502" s="383"/>
      <c r="M502" s="383"/>
      <c r="N502" s="383"/>
    </row>
    <row r="503" spans="1:14" ht="21.75" hidden="1" customHeight="1" x14ac:dyDescent="0.4">
      <c r="A503" s="376"/>
      <c r="B503" s="377"/>
      <c r="C503" s="377"/>
      <c r="D503" s="378"/>
      <c r="E503" s="379" t="s">
        <v>29</v>
      </c>
      <c r="F503" s="380"/>
      <c r="G503" s="381"/>
      <c r="H503" s="330"/>
      <c r="I503" s="331"/>
      <c r="J503" s="331">
        <v>0</v>
      </c>
      <c r="K503" s="382"/>
      <c r="L503" s="383"/>
      <c r="M503" s="383"/>
      <c r="N503" s="383"/>
    </row>
    <row r="504" spans="1:14" ht="21.75" customHeight="1" x14ac:dyDescent="0.4">
      <c r="A504" s="55"/>
      <c r="B504" s="56"/>
      <c r="C504" s="56"/>
      <c r="D504" s="73"/>
      <c r="E504" s="75"/>
      <c r="F504" s="75" t="s">
        <v>199</v>
      </c>
      <c r="G504" s="76"/>
      <c r="H504" s="60" t="s">
        <v>103</v>
      </c>
      <c r="I504" s="67">
        <f ca="1">IFERROR(__xludf.DUMMYFUNCTION("IMPORTRANGE(""https://docs.google.com/spreadsheets/d/1C3CXT74ZlgGe6_JY_1olB1XN4rF0dxEuIIF-xsYjHgg/edit?usp=sharing"",""งบกองทุน!EZ31"")"),50)</f>
        <v>50</v>
      </c>
      <c r="J504" s="48">
        <f>+J510</f>
        <v>0</v>
      </c>
      <c r="K504" s="49">
        <f t="shared" ref="K504:K512" ca="1" si="113">IF(I$504&gt;0,J504*100/I$504,0)</f>
        <v>0</v>
      </c>
      <c r="L504" s="61"/>
      <c r="M504" s="61"/>
      <c r="N504" s="61"/>
    </row>
    <row r="505" spans="1:14" ht="21.75" customHeight="1" x14ac:dyDescent="0.4">
      <c r="A505" s="55"/>
      <c r="B505" s="56"/>
      <c r="C505" s="56"/>
      <c r="D505" s="73"/>
      <c r="E505" s="77"/>
      <c r="F505" s="75"/>
      <c r="G505" s="99" t="s">
        <v>200</v>
      </c>
      <c r="H505" s="60" t="s">
        <v>103</v>
      </c>
      <c r="I505" s="67">
        <v>0</v>
      </c>
      <c r="J505" s="68">
        <v>0</v>
      </c>
      <c r="K505" s="49">
        <f t="shared" ca="1" si="113"/>
        <v>0</v>
      </c>
      <c r="L505" s="61"/>
      <c r="M505" s="61"/>
      <c r="N505" s="61"/>
    </row>
    <row r="506" spans="1:14" ht="21.75" customHeight="1" x14ac:dyDescent="0.4">
      <c r="A506" s="55"/>
      <c r="B506" s="56"/>
      <c r="C506" s="56"/>
      <c r="D506" s="73"/>
      <c r="E506" s="77"/>
      <c r="F506" s="75"/>
      <c r="G506" s="99" t="s">
        <v>201</v>
      </c>
      <c r="H506" s="60" t="s">
        <v>103</v>
      </c>
      <c r="I506" s="67">
        <v>0</v>
      </c>
      <c r="J506" s="68">
        <v>0</v>
      </c>
      <c r="K506" s="49">
        <f t="shared" ca="1" si="113"/>
        <v>0</v>
      </c>
      <c r="L506" s="61"/>
      <c r="M506" s="61"/>
      <c r="N506" s="61"/>
    </row>
    <row r="507" spans="1:14" ht="21.75" customHeight="1" x14ac:dyDescent="0.4">
      <c r="A507" s="55"/>
      <c r="B507" s="56"/>
      <c r="C507" s="56"/>
      <c r="D507" s="73"/>
      <c r="E507" s="77"/>
      <c r="F507" s="75"/>
      <c r="G507" s="99" t="s">
        <v>202</v>
      </c>
      <c r="H507" s="60" t="s">
        <v>103</v>
      </c>
      <c r="I507" s="67">
        <v>0</v>
      </c>
      <c r="J507" s="68">
        <v>0</v>
      </c>
      <c r="K507" s="49">
        <f t="shared" ca="1" si="113"/>
        <v>0</v>
      </c>
      <c r="L507" s="61"/>
      <c r="M507" s="61"/>
      <c r="N507" s="61"/>
    </row>
    <row r="508" spans="1:14" ht="21.75" customHeight="1" x14ac:dyDescent="0.4">
      <c r="A508" s="55"/>
      <c r="B508" s="56"/>
      <c r="C508" s="56"/>
      <c r="D508" s="73"/>
      <c r="E508" s="77"/>
      <c r="F508" s="75"/>
      <c r="G508" s="99" t="s">
        <v>203</v>
      </c>
      <c r="H508" s="60" t="s">
        <v>103</v>
      </c>
      <c r="I508" s="67">
        <v>0</v>
      </c>
      <c r="J508" s="68">
        <v>0</v>
      </c>
      <c r="K508" s="49">
        <f t="shared" ca="1" si="113"/>
        <v>0</v>
      </c>
      <c r="L508" s="61"/>
      <c r="M508" s="61"/>
      <c r="N508" s="61"/>
    </row>
    <row r="509" spans="1:14" ht="21.75" customHeight="1" x14ac:dyDescent="0.4">
      <c r="A509" s="55"/>
      <c r="B509" s="56"/>
      <c r="C509" s="56"/>
      <c r="D509" s="73"/>
      <c r="E509" s="77"/>
      <c r="F509" s="75"/>
      <c r="G509" s="74" t="s">
        <v>204</v>
      </c>
      <c r="H509" s="60" t="s">
        <v>103</v>
      </c>
      <c r="I509" s="67">
        <v>0</v>
      </c>
      <c r="J509" s="68">
        <v>0</v>
      </c>
      <c r="K509" s="49">
        <f t="shared" ca="1" si="113"/>
        <v>0</v>
      </c>
      <c r="L509" s="61"/>
      <c r="M509" s="61"/>
      <c r="N509" s="61"/>
    </row>
    <row r="510" spans="1:14" ht="21.75" customHeight="1" x14ac:dyDescent="0.4">
      <c r="A510" s="55"/>
      <c r="B510" s="56"/>
      <c r="C510" s="56"/>
      <c r="D510" s="73"/>
      <c r="E510" s="77"/>
      <c r="F510" s="75"/>
      <c r="G510" s="74" t="s">
        <v>205</v>
      </c>
      <c r="H510" s="60" t="s">
        <v>103</v>
      </c>
      <c r="I510" s="67">
        <f t="shared" ref="I510:J510" si="114">I511+I512</f>
        <v>0</v>
      </c>
      <c r="J510" s="67">
        <f t="shared" si="114"/>
        <v>0</v>
      </c>
      <c r="K510" s="49">
        <f t="shared" ca="1" si="113"/>
        <v>0</v>
      </c>
      <c r="L510" s="61"/>
      <c r="M510" s="61"/>
      <c r="N510" s="61"/>
    </row>
    <row r="511" spans="1:14" ht="21.75" customHeight="1" x14ac:dyDescent="0.4">
      <c r="A511" s="55"/>
      <c r="B511" s="56"/>
      <c r="C511" s="56"/>
      <c r="D511" s="73"/>
      <c r="E511" s="77"/>
      <c r="F511" s="75"/>
      <c r="G511" s="334" t="s">
        <v>206</v>
      </c>
      <c r="H511" s="60" t="s">
        <v>103</v>
      </c>
      <c r="I511" s="67">
        <v>0</v>
      </c>
      <c r="J511" s="68">
        <v>0</v>
      </c>
      <c r="K511" s="49">
        <f t="shared" ca="1" si="113"/>
        <v>0</v>
      </c>
      <c r="L511" s="61"/>
      <c r="M511" s="61"/>
      <c r="N511" s="61"/>
    </row>
    <row r="512" spans="1:14" ht="21.75" customHeight="1" x14ac:dyDescent="0.4">
      <c r="A512" s="55"/>
      <c r="B512" s="56"/>
      <c r="C512" s="56"/>
      <c r="D512" s="73"/>
      <c r="E512" s="77"/>
      <c r="F512" s="75"/>
      <c r="G512" s="334" t="s">
        <v>207</v>
      </c>
      <c r="H512" s="60" t="s">
        <v>103</v>
      </c>
      <c r="I512" s="67">
        <v>0</v>
      </c>
      <c r="J512" s="68">
        <v>0</v>
      </c>
      <c r="K512" s="49">
        <f t="shared" ca="1" si="113"/>
        <v>0</v>
      </c>
      <c r="L512" s="61"/>
      <c r="M512" s="61"/>
      <c r="N512" s="61"/>
    </row>
    <row r="513" spans="1:14" ht="21.75" customHeight="1" x14ac:dyDescent="0.4">
      <c r="A513" s="55"/>
      <c r="B513" s="56"/>
      <c r="C513" s="56"/>
      <c r="D513" s="73"/>
      <c r="E513" s="75"/>
      <c r="F513" s="74" t="s">
        <v>208</v>
      </c>
      <c r="G513" s="76"/>
      <c r="H513" s="60" t="s">
        <v>103</v>
      </c>
      <c r="I513" s="67">
        <f ca="1">IFERROR(__xludf.DUMMYFUNCTION("IMPORTRANGE(""https://docs.google.com/spreadsheets/d/1C3CXT74ZlgGe6_JY_1olB1XN4rF0dxEuIIF-xsYjHgg/edit?usp=sharing"",""งบกองทุน!ff31"")"),0)</f>
        <v>0</v>
      </c>
      <c r="J513" s="48">
        <f>J514</f>
        <v>0</v>
      </c>
      <c r="K513" s="49">
        <f t="shared" ref="K513:K519" ca="1" si="115">IF(I$513&gt;0,J513*100/I$513,0)</f>
        <v>0</v>
      </c>
      <c r="L513" s="61"/>
      <c r="M513" s="61"/>
      <c r="N513" s="61"/>
    </row>
    <row r="514" spans="1:14" ht="21.75" customHeight="1" x14ac:dyDescent="0.4">
      <c r="A514" s="55"/>
      <c r="B514" s="56"/>
      <c r="C514" s="56"/>
      <c r="D514" s="73"/>
      <c r="E514" s="77"/>
      <c r="F514" s="75"/>
      <c r="G514" s="99" t="s">
        <v>205</v>
      </c>
      <c r="H514" s="60" t="s">
        <v>103</v>
      </c>
      <c r="I514" s="48">
        <f t="shared" ref="I514:J514" si="116">I515+I516</f>
        <v>0</v>
      </c>
      <c r="J514" s="48">
        <f t="shared" si="116"/>
        <v>0</v>
      </c>
      <c r="K514" s="49">
        <f t="shared" ca="1" si="115"/>
        <v>0</v>
      </c>
      <c r="L514" s="61"/>
      <c r="M514" s="61"/>
      <c r="N514" s="61"/>
    </row>
    <row r="515" spans="1:14" ht="21.75" customHeight="1" x14ac:dyDescent="0.4">
      <c r="A515" s="55"/>
      <c r="B515" s="56"/>
      <c r="C515" s="56"/>
      <c r="D515" s="73"/>
      <c r="E515" s="77"/>
      <c r="F515" s="75"/>
      <c r="G515" s="334" t="s">
        <v>206</v>
      </c>
      <c r="H515" s="60" t="s">
        <v>103</v>
      </c>
      <c r="I515" s="67">
        <v>0</v>
      </c>
      <c r="J515" s="68">
        <v>0</v>
      </c>
      <c r="K515" s="49">
        <f t="shared" ca="1" si="115"/>
        <v>0</v>
      </c>
      <c r="L515" s="61"/>
      <c r="M515" s="61"/>
      <c r="N515" s="61"/>
    </row>
    <row r="516" spans="1:14" ht="21.75" customHeight="1" x14ac:dyDescent="0.4">
      <c r="A516" s="55"/>
      <c r="B516" s="56"/>
      <c r="C516" s="56"/>
      <c r="D516" s="73"/>
      <c r="E516" s="77"/>
      <c r="F516" s="75"/>
      <c r="G516" s="334" t="s">
        <v>207</v>
      </c>
      <c r="H516" s="60" t="s">
        <v>103</v>
      </c>
      <c r="I516" s="67">
        <v>0</v>
      </c>
      <c r="J516" s="68">
        <v>0</v>
      </c>
      <c r="K516" s="49">
        <f t="shared" ca="1" si="115"/>
        <v>0</v>
      </c>
      <c r="L516" s="61"/>
      <c r="M516" s="61"/>
      <c r="N516" s="61"/>
    </row>
    <row r="517" spans="1:14" ht="21.75" customHeight="1" x14ac:dyDescent="0.4">
      <c r="A517" s="55"/>
      <c r="B517" s="56"/>
      <c r="C517" s="56"/>
      <c r="D517" s="73"/>
      <c r="E517" s="77"/>
      <c r="F517" s="75"/>
      <c r="G517" s="99" t="s">
        <v>209</v>
      </c>
      <c r="H517" s="60" t="s">
        <v>103</v>
      </c>
      <c r="I517" s="67">
        <f t="shared" ref="I517:J517" si="117">SUM(I518:I519)</f>
        <v>0</v>
      </c>
      <c r="J517" s="67">
        <f t="shared" si="117"/>
        <v>0</v>
      </c>
      <c r="K517" s="49">
        <f t="shared" ca="1" si="115"/>
        <v>0</v>
      </c>
      <c r="L517" s="61"/>
      <c r="M517" s="61"/>
      <c r="N517" s="61"/>
    </row>
    <row r="518" spans="1:14" ht="21.75" customHeight="1" x14ac:dyDescent="0.4">
      <c r="A518" s="55"/>
      <c r="B518" s="56"/>
      <c r="C518" s="56"/>
      <c r="D518" s="73"/>
      <c r="E518" s="77"/>
      <c r="F518" s="75"/>
      <c r="G518" s="334" t="s">
        <v>210</v>
      </c>
      <c r="H518" s="60" t="s">
        <v>103</v>
      </c>
      <c r="I518" s="67">
        <v>0</v>
      </c>
      <c r="J518" s="68">
        <v>0</v>
      </c>
      <c r="K518" s="49">
        <f t="shared" ca="1" si="115"/>
        <v>0</v>
      </c>
      <c r="L518" s="61"/>
      <c r="M518" s="61"/>
      <c r="N518" s="61"/>
    </row>
    <row r="519" spans="1:14" ht="21.75" customHeight="1" x14ac:dyDescent="0.4">
      <c r="A519" s="55"/>
      <c r="B519" s="56"/>
      <c r="C519" s="56"/>
      <c r="D519" s="73"/>
      <c r="E519" s="77"/>
      <c r="F519" s="75"/>
      <c r="G519" s="334" t="s">
        <v>211</v>
      </c>
      <c r="H519" s="60" t="s">
        <v>103</v>
      </c>
      <c r="I519" s="67">
        <v>0</v>
      </c>
      <c r="J519" s="68">
        <v>0</v>
      </c>
      <c r="K519" s="49">
        <f t="shared" ca="1" si="115"/>
        <v>0</v>
      </c>
      <c r="L519" s="61"/>
      <c r="M519" s="61"/>
      <c r="N519" s="61"/>
    </row>
    <row r="520" spans="1:14" ht="21.75" customHeight="1" x14ac:dyDescent="0.4">
      <c r="A520" s="335" t="s">
        <v>212</v>
      </c>
      <c r="B520" s="336"/>
      <c r="C520" s="336"/>
      <c r="D520" s="336"/>
      <c r="E520" s="336"/>
      <c r="F520" s="336"/>
      <c r="G520" s="337"/>
      <c r="H520" s="338"/>
      <c r="I520" s="339"/>
      <c r="J520" s="339"/>
      <c r="K520" s="340"/>
      <c r="L520" s="340"/>
      <c r="M520" s="340"/>
      <c r="N520" s="341"/>
    </row>
    <row r="521" spans="1:14" ht="21.75" customHeight="1" x14ac:dyDescent="0.4">
      <c r="A521" s="316"/>
      <c r="B521" s="45" t="s">
        <v>213</v>
      </c>
      <c r="C521" s="43"/>
      <c r="D521" s="51"/>
      <c r="E521" s="45"/>
      <c r="F521" s="45"/>
      <c r="G521" s="46"/>
      <c r="H521" s="342" t="s">
        <v>20</v>
      </c>
      <c r="I521" s="200">
        <f ca="1">IFERROR(__xludf.DUMMYFUNCTION("IMPORTRANGE(""https://docs.google.com/spreadsheets/d/1muirlRDkqiswvy_NRZ3Yh955hx-PF6_HhssUYiSJj8o/edit?usp=sharing"",""กองทุน!D31"")"),839087.629999999)</f>
        <v>839087.62999999896</v>
      </c>
      <c r="J521" s="200">
        <f ca="1">IFERROR(__xludf.DUMMYFUNCTION("IMPORTRANGE(""https://docs.google.com/spreadsheets/d/1muirlRDkqiswvy_NRZ3Yh955hx-PF6_HhssUYiSJj8o/edit?usp=sharing"",""กองทุน!F31"")"),0)</f>
        <v>0</v>
      </c>
      <c r="K521" s="201">
        <f t="shared" ref="K521:K528" ca="1" si="118">IF(I521&gt;0,J521*100/I521,0)</f>
        <v>0</v>
      </c>
      <c r="L521" s="201"/>
      <c r="M521" s="201"/>
      <c r="N521" s="53"/>
    </row>
    <row r="522" spans="1:14" ht="21.75" customHeight="1" x14ac:dyDescent="0.4">
      <c r="A522" s="316"/>
      <c r="B522" s="43"/>
      <c r="C522" s="43"/>
      <c r="D522" s="51"/>
      <c r="E522" s="45"/>
      <c r="F522" s="45"/>
      <c r="G522" s="46"/>
      <c r="H522" s="342" t="s">
        <v>16</v>
      </c>
      <c r="I522" s="200">
        <f ca="1">IFERROR(__xludf.DUMMYFUNCTION("IMPORTRANGE(""https://docs.google.com/spreadsheets/d/1muirlRDkqiswvy_NRZ3Yh955hx-PF6_HhssUYiSJj8o/edit?usp=sharing"",""กองทุน!C31"")"),84)</f>
        <v>84</v>
      </c>
      <c r="J522" s="200">
        <f ca="1">IFERROR(__xludf.DUMMYFUNCTION("IMPORTRANGE(""https://docs.google.com/spreadsheets/d/1muirlRDkqiswvy_NRZ3Yh955hx-PF6_HhssUYiSJj8o/edit?usp=sharing"",""กองทุน!E31"")"),0)</f>
        <v>0</v>
      </c>
      <c r="K522" s="201">
        <f t="shared" ca="1" si="118"/>
        <v>0</v>
      </c>
      <c r="L522" s="201"/>
      <c r="M522" s="201"/>
      <c r="N522" s="53"/>
    </row>
    <row r="523" spans="1:14" ht="21.75" customHeight="1" x14ac:dyDescent="0.4">
      <c r="A523" s="316"/>
      <c r="B523" s="45" t="s">
        <v>214</v>
      </c>
      <c r="C523" s="43"/>
      <c r="D523" s="51"/>
      <c r="E523" s="45"/>
      <c r="F523" s="45"/>
      <c r="G523" s="46"/>
      <c r="H523" s="342" t="s">
        <v>20</v>
      </c>
      <c r="I523" s="200">
        <f ca="1">IFERROR(__xludf.DUMMYFUNCTION("IMPORTRANGE(""https://docs.google.com/spreadsheets/d/1muirlRDkqiswvy_NRZ3Yh955hx-PF6_HhssUYiSJj8o/edit?usp=sharing"",""กองทุน!I31"")"),341351.199999999)</f>
        <v>341351.19999999902</v>
      </c>
      <c r="J523" s="200">
        <f ca="1">IFERROR(__xludf.DUMMYFUNCTION("IMPORTRANGE(""https://docs.google.com/spreadsheets/d/1muirlRDkqiswvy_NRZ3Yh955hx-PF6_HhssUYiSJj8o/edit?usp=sharing"",""กองทุน!K31"")"),24164.69)</f>
        <v>24164.69</v>
      </c>
      <c r="K523" s="201">
        <f t="shared" ca="1" si="118"/>
        <v>7.0791284753063906</v>
      </c>
      <c r="L523" s="201"/>
      <c r="M523" s="201"/>
      <c r="N523" s="53"/>
    </row>
    <row r="524" spans="1:14" ht="21.75" customHeight="1" x14ac:dyDescent="0.4">
      <c r="A524" s="316"/>
      <c r="B524" s="43"/>
      <c r="C524" s="43"/>
      <c r="D524" s="51"/>
      <c r="E524" s="45"/>
      <c r="F524" s="45"/>
      <c r="G524" s="46"/>
      <c r="H524" s="342" t="s">
        <v>16</v>
      </c>
      <c r="I524" s="200">
        <f ca="1">IFERROR(__xludf.DUMMYFUNCTION("IMPORTRANGE(""https://docs.google.com/spreadsheets/d/1muirlRDkqiswvy_NRZ3Yh955hx-PF6_HhssUYiSJj8o/edit?usp=sharing"",""กองทุน!H31"")"),27)</f>
        <v>27</v>
      </c>
      <c r="J524" s="200">
        <f ca="1">IFERROR(__xludf.DUMMYFUNCTION("IMPORTRANGE(""https://docs.google.com/spreadsheets/d/1muirlRDkqiswvy_NRZ3Yh955hx-PF6_HhssUYiSJj8o/edit?usp=sharing"",""กองทุน!J31"")"),7)</f>
        <v>7</v>
      </c>
      <c r="K524" s="201">
        <f t="shared" ca="1" si="118"/>
        <v>25.925925925925927</v>
      </c>
      <c r="L524" s="201"/>
      <c r="M524" s="201"/>
      <c r="N524" s="53"/>
    </row>
    <row r="525" spans="1:14" ht="21.75" customHeight="1" x14ac:dyDescent="0.4">
      <c r="A525" s="316"/>
      <c r="B525" s="45" t="s">
        <v>215</v>
      </c>
      <c r="C525" s="43"/>
      <c r="D525" s="51"/>
      <c r="E525" s="45"/>
      <c r="F525" s="45"/>
      <c r="G525" s="46"/>
      <c r="H525" s="342" t="s">
        <v>20</v>
      </c>
      <c r="I525" s="200">
        <f ca="1">IFERROR(__xludf.DUMMYFUNCTION("IMPORTRANGE(""https://docs.google.com/spreadsheets/d/1muirlRDkqiswvy_NRZ3Yh955hx-PF6_HhssUYiSJj8o/edit?usp=sharing"",""กองทุน!N31"")"),0)</f>
        <v>0</v>
      </c>
      <c r="J525" s="200">
        <f ca="1">IFERROR(__xludf.DUMMYFUNCTION("IMPORTRANGE(""https://docs.google.com/spreadsheets/d/1muirlRDkqiswvy_NRZ3Yh955hx-PF6_HhssUYiSJj8o/edit?usp=sharing"",""กองทุน!P31"")"),0)</f>
        <v>0</v>
      </c>
      <c r="K525" s="201">
        <f t="shared" ca="1" si="118"/>
        <v>0</v>
      </c>
      <c r="L525" s="201"/>
      <c r="M525" s="201"/>
      <c r="N525" s="53"/>
    </row>
    <row r="526" spans="1:14" ht="21.75" customHeight="1" x14ac:dyDescent="0.4">
      <c r="A526" s="316"/>
      <c r="B526" s="45"/>
      <c r="C526" s="43"/>
      <c r="D526" s="51"/>
      <c r="E526" s="45"/>
      <c r="F526" s="45"/>
      <c r="G526" s="46"/>
      <c r="H526" s="342" t="s">
        <v>16</v>
      </c>
      <c r="I526" s="200">
        <f ca="1">IFERROR(__xludf.DUMMYFUNCTION("IMPORTRANGE(""https://docs.google.com/spreadsheets/d/1muirlRDkqiswvy_NRZ3Yh955hx-PF6_HhssUYiSJj8o/edit?usp=sharing"",""กองทุน!M31"")"),0)</f>
        <v>0</v>
      </c>
      <c r="J526" s="200">
        <f ca="1">IFERROR(__xludf.DUMMYFUNCTION("IMPORTRANGE(""https://docs.google.com/spreadsheets/d/1muirlRDkqiswvy_NRZ3Yh955hx-PF6_HhssUYiSJj8o/edit?usp=sharing"",""กองทุน!O31"")"),0)</f>
        <v>0</v>
      </c>
      <c r="K526" s="201">
        <f t="shared" ca="1" si="118"/>
        <v>0</v>
      </c>
      <c r="L526" s="201"/>
      <c r="M526" s="201"/>
      <c r="N526" s="53"/>
    </row>
    <row r="527" spans="1:14" ht="21.75" customHeight="1" x14ac:dyDescent="0.4">
      <c r="A527" s="316"/>
      <c r="B527" s="45" t="s">
        <v>216</v>
      </c>
      <c r="C527" s="43"/>
      <c r="D527" s="51"/>
      <c r="E527" s="45"/>
      <c r="F527" s="45"/>
      <c r="G527" s="46"/>
      <c r="H527" s="342" t="s">
        <v>20</v>
      </c>
      <c r="I527" s="200">
        <f ca="1">IFERROR(__xludf.DUMMYFUNCTION("IMPORTRANGE(""https://docs.google.com/spreadsheets/d/1muirlRDkqiswvy_NRZ3Yh955hx-PF6_HhssUYiSJj8o/edit?usp=sharing"",""กองทุน!S31"")"),900000)</f>
        <v>900000</v>
      </c>
      <c r="J527" s="200">
        <f ca="1">IFERROR(__xludf.DUMMYFUNCTION("IMPORTRANGE(""https://docs.google.com/spreadsheets/d/1muirlRDkqiswvy_NRZ3Yh955hx-PF6_HhssUYiSJj8o/edit?usp=sharing"",""กองทุน!U31"")"),0)</f>
        <v>0</v>
      </c>
      <c r="K527" s="201">
        <f t="shared" ca="1" si="118"/>
        <v>0</v>
      </c>
      <c r="L527" s="201"/>
      <c r="M527" s="201"/>
      <c r="N527" s="53"/>
    </row>
    <row r="528" spans="1:14" ht="21.75" customHeight="1" x14ac:dyDescent="0.4">
      <c r="A528" s="317"/>
      <c r="B528" s="319"/>
      <c r="C528" s="319"/>
      <c r="D528" s="318"/>
      <c r="E528" s="343"/>
      <c r="F528" s="343"/>
      <c r="G528" s="344"/>
      <c r="H528" s="345" t="s">
        <v>16</v>
      </c>
      <c r="I528" s="322">
        <f ca="1">IFERROR(__xludf.DUMMYFUNCTION("IMPORTRANGE(""https://docs.google.com/spreadsheets/d/1muirlRDkqiswvy_NRZ3Yh955hx-PF6_HhssUYiSJj8o/edit?usp=sharing"",""กองทุน!R31"")"),30)</f>
        <v>30</v>
      </c>
      <c r="J528" s="322">
        <f ca="1">IFERROR(__xludf.DUMMYFUNCTION("IMPORTRANGE(""https://docs.google.com/spreadsheets/d/1muirlRDkqiswvy_NRZ3Yh955hx-PF6_HhssUYiSJj8o/edit?usp=sharing"",""กองทุน!T31"")"),0)</f>
        <v>0</v>
      </c>
      <c r="K528" s="323">
        <f t="shared" ca="1" si="118"/>
        <v>0</v>
      </c>
      <c r="L528" s="323"/>
      <c r="M528" s="323"/>
      <c r="N528" s="346"/>
    </row>
    <row r="529" spans="1:14" ht="21.75" customHeight="1" x14ac:dyDescent="0.4">
      <c r="A529" s="347"/>
      <c r="B529" s="347"/>
      <c r="C529" s="347"/>
      <c r="D529" s="347"/>
      <c r="E529" s="348" t="s">
        <v>217</v>
      </c>
      <c r="F529" s="348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&amp;P/&amp;N&amp;R&amp;F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L18" sqref="L18"/>
      <selection pane="bottomLeft" activeCell="L18" sqref="L18"/>
    </sheetView>
  </sheetViews>
  <sheetFormatPr defaultColWidth="12.625" defaultRowHeight="15" customHeight="1" x14ac:dyDescent="0.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4">
      <c r="A1" s="403" t="s">
        <v>0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</row>
    <row r="2" spans="1:14" ht="18" customHeight="1" x14ac:dyDescent="0.4">
      <c r="A2" s="403" t="s">
        <v>243</v>
      </c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404"/>
    </row>
    <row r="3" spans="1:14" ht="18" customHeight="1" x14ac:dyDescent="0.4">
      <c r="A3" s="403" t="s">
        <v>249</v>
      </c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04"/>
    </row>
    <row r="4" spans="1:14" ht="33.75" customHeight="1" x14ac:dyDescent="0.4">
      <c r="A4" s="2"/>
      <c r="B4" s="2"/>
      <c r="C4" s="2"/>
      <c r="D4" s="2"/>
      <c r="E4" s="2"/>
      <c r="F4" s="2"/>
      <c r="G4" s="2"/>
      <c r="H4" s="2"/>
      <c r="I4" s="2"/>
      <c r="J4" s="354" t="s">
        <v>2</v>
      </c>
      <c r="K4" s="4"/>
      <c r="L4" s="5"/>
      <c r="M4" s="355" t="s">
        <v>3</v>
      </c>
      <c r="N4" s="2"/>
    </row>
    <row r="5" spans="1:14" ht="21.75" customHeight="1" x14ac:dyDescent="0.55000000000000004">
      <c r="A5" s="405" t="s">
        <v>4</v>
      </c>
      <c r="B5" s="406"/>
      <c r="C5" s="406"/>
      <c r="D5" s="406"/>
      <c r="E5" s="406"/>
      <c r="F5" s="406"/>
      <c r="G5" s="407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1297025</v>
      </c>
      <c r="M6" s="16">
        <f t="shared" si="0"/>
        <v>94133.5</v>
      </c>
      <c r="N6" s="17">
        <f ca="1">IF(L6&gt;0,M6*100/L6,0)</f>
        <v>7.2576473082631408</v>
      </c>
    </row>
    <row r="7" spans="1:14" ht="21.75" customHeight="1" x14ac:dyDescent="0.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41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41">
        <f ca="1">IF(L9&gt;0,M9*100/L9,0)</f>
        <v>0</v>
      </c>
    </row>
    <row r="10" spans="1:14" ht="21.75" customHeight="1" x14ac:dyDescent="0.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41">
        <f t="shared" ca="1" si="2"/>
        <v>0</v>
      </c>
      <c r="L10" s="40"/>
      <c r="M10" s="40"/>
      <c r="N10" s="41"/>
    </row>
    <row r="11" spans="1:14" ht="21.75" customHeight="1" x14ac:dyDescent="0.4">
      <c r="A11" s="42"/>
      <c r="B11" s="43"/>
      <c r="C11" s="43" t="s">
        <v>17</v>
      </c>
      <c r="D11" s="44" t="s">
        <v>18</v>
      </c>
      <c r="E11" s="45"/>
      <c r="F11" s="45"/>
      <c r="G11" s="46" t="s">
        <v>19</v>
      </c>
      <c r="H11" s="47" t="s">
        <v>20</v>
      </c>
      <c r="I11" s="48" t="s">
        <v>21</v>
      </c>
      <c r="J11" s="48"/>
      <c r="K11" s="49"/>
      <c r="L11" s="50">
        <v>0</v>
      </c>
      <c r="M11" s="50">
        <v>0</v>
      </c>
      <c r="N11" s="50">
        <f t="shared" ref="N11:N14" si="4">+IF(L11&gt;0,M11*100/L11,0)</f>
        <v>0</v>
      </c>
    </row>
    <row r="12" spans="1:14" ht="21.75" customHeight="1" x14ac:dyDescent="0.4">
      <c r="A12" s="42"/>
      <c r="B12" s="43"/>
      <c r="C12" s="43"/>
      <c r="D12" s="51"/>
      <c r="E12" s="45"/>
      <c r="F12" s="45" t="s">
        <v>21</v>
      </c>
      <c r="G12" s="46" t="s">
        <v>22</v>
      </c>
      <c r="H12" s="47" t="s">
        <v>20</v>
      </c>
      <c r="I12" s="48"/>
      <c r="J12" s="48"/>
      <c r="K12" s="49"/>
      <c r="L12" s="53">
        <f ca="1">IFERROR(__xludf.DUMMYFUNCTION("IMPORTRANGE(""https://docs.google.com/spreadsheets/d/1C3CXT74ZlgGe6_JY_1olB1XN4rF0dxEuIIF-xsYjHgg/edit?usp=sharing"",""พรบ!C32"")"),0)</f>
        <v>0</v>
      </c>
      <c r="M12" s="50">
        <f>SUM(M13:M14)</f>
        <v>0</v>
      </c>
      <c r="N12" s="50">
        <f t="shared" ca="1" si="4"/>
        <v>0</v>
      </c>
    </row>
    <row r="13" spans="1:14" ht="21.75" customHeight="1" x14ac:dyDescent="0.4">
      <c r="A13" s="42"/>
      <c r="B13" s="43"/>
      <c r="C13" s="43"/>
      <c r="D13" s="51"/>
      <c r="E13" s="45"/>
      <c r="F13" s="45"/>
      <c r="G13" s="52" t="s">
        <v>23</v>
      </c>
      <c r="H13" s="47" t="s">
        <v>20</v>
      </c>
      <c r="I13" s="48"/>
      <c r="J13" s="67"/>
      <c r="K13" s="233"/>
      <c r="L13" s="53">
        <f ca="1">IFERROR(__xludf.DUMMYFUNCTION("IMPORTRANGE(""https://docs.google.com/spreadsheets/d/1C3CXT74ZlgGe6_JY_1olB1XN4rF0dxEuIIF-xsYjHgg/edit?usp=sharing"",""พรบ!D32"")"),0)</f>
        <v>0</v>
      </c>
      <c r="M13" s="53">
        <v>0</v>
      </c>
      <c r="N13" s="53">
        <f t="shared" ca="1" si="4"/>
        <v>0</v>
      </c>
    </row>
    <row r="14" spans="1:14" ht="21.75" customHeight="1" x14ac:dyDescent="0.4">
      <c r="A14" s="42"/>
      <c r="B14" s="43"/>
      <c r="C14" s="43"/>
      <c r="D14" s="51"/>
      <c r="E14" s="45"/>
      <c r="F14" s="45"/>
      <c r="G14" s="52" t="s">
        <v>24</v>
      </c>
      <c r="H14" s="47" t="s">
        <v>20</v>
      </c>
      <c r="I14" s="48"/>
      <c r="J14" s="67"/>
      <c r="K14" s="233"/>
      <c r="L14" s="53">
        <f ca="1">IFERROR(__xludf.DUMMYFUNCTION("IMPORTRANGE(""https://docs.google.com/spreadsheets/d/1C3CXT74ZlgGe6_JY_1olB1XN4rF0dxEuIIF-xsYjHgg/edit?usp=sharing"",""พรบ!E32"")"),0)</f>
        <v>0</v>
      </c>
      <c r="M14" s="53">
        <v>0</v>
      </c>
      <c r="N14" s="53">
        <f t="shared" ca="1" si="4"/>
        <v>0</v>
      </c>
    </row>
    <row r="15" spans="1:14" ht="21.75" customHeight="1" x14ac:dyDescent="0.4">
      <c r="A15" s="55"/>
      <c r="B15" s="56"/>
      <c r="C15" s="43" t="s">
        <v>17</v>
      </c>
      <c r="D15" s="57" t="s">
        <v>25</v>
      </c>
      <c r="E15" s="58"/>
      <c r="F15" s="58"/>
      <c r="G15" s="59"/>
      <c r="H15" s="60"/>
      <c r="I15" s="48"/>
      <c r="J15" s="67"/>
      <c r="K15" s="233"/>
      <c r="L15" s="53"/>
      <c r="M15" s="53"/>
      <c r="N15" s="61"/>
    </row>
    <row r="16" spans="1:14" ht="21.75" customHeight="1" x14ac:dyDescent="0.4">
      <c r="A16" s="55"/>
      <c r="B16" s="56"/>
      <c r="C16" s="56"/>
      <c r="D16" s="62">
        <v>1</v>
      </c>
      <c r="E16" s="63" t="s">
        <v>26</v>
      </c>
      <c r="F16" s="64"/>
      <c r="G16" s="65"/>
      <c r="H16" s="66"/>
      <c r="I16" s="67"/>
      <c r="J16" s="67">
        <v>0</v>
      </c>
      <c r="K16" s="233"/>
      <c r="L16" s="53"/>
      <c r="M16" s="53"/>
      <c r="N16" s="61"/>
    </row>
    <row r="17" spans="1:14" ht="21.75" customHeight="1" x14ac:dyDescent="0.4">
      <c r="A17" s="55"/>
      <c r="B17" s="56"/>
      <c r="C17" s="56"/>
      <c r="D17" s="69">
        <v>2</v>
      </c>
      <c r="E17" s="70" t="s">
        <v>27</v>
      </c>
      <c r="F17" s="71"/>
      <c r="G17" s="72"/>
      <c r="H17" s="66"/>
      <c r="I17" s="67"/>
      <c r="J17" s="67">
        <v>0</v>
      </c>
      <c r="K17" s="233"/>
      <c r="L17" s="53" t="s">
        <v>21</v>
      </c>
      <c r="M17" s="53" t="s">
        <v>21</v>
      </c>
      <c r="N17" s="61"/>
    </row>
    <row r="18" spans="1:14" ht="21.75" customHeight="1" x14ac:dyDescent="0.4">
      <c r="A18" s="55"/>
      <c r="B18" s="56"/>
      <c r="C18" s="56"/>
      <c r="D18" s="73"/>
      <c r="E18" s="74" t="s">
        <v>28</v>
      </c>
      <c r="F18" s="75"/>
      <c r="G18" s="76"/>
      <c r="H18" s="66"/>
      <c r="I18" s="67"/>
      <c r="J18" s="67">
        <v>0</v>
      </c>
      <c r="K18" s="233"/>
      <c r="L18" s="53"/>
      <c r="M18" s="53"/>
      <c r="N18" s="61"/>
    </row>
    <row r="19" spans="1:14" ht="21.75" customHeight="1" x14ac:dyDescent="0.4">
      <c r="A19" s="55"/>
      <c r="B19" s="56"/>
      <c r="C19" s="56"/>
      <c r="D19" s="73"/>
      <c r="E19" s="74" t="s">
        <v>29</v>
      </c>
      <c r="F19" s="75"/>
      <c r="G19" s="76"/>
      <c r="H19" s="66"/>
      <c r="I19" s="67"/>
      <c r="J19" s="67">
        <v>0</v>
      </c>
      <c r="K19" s="233"/>
      <c r="L19" s="53"/>
      <c r="M19" s="53"/>
      <c r="N19" s="61"/>
    </row>
    <row r="20" spans="1:14" ht="21.75" customHeight="1" x14ac:dyDescent="0.4">
      <c r="A20" s="55"/>
      <c r="B20" s="56"/>
      <c r="C20" s="56"/>
      <c r="D20" s="73"/>
      <c r="E20" s="77"/>
      <c r="F20" s="74" t="s">
        <v>30</v>
      </c>
      <c r="G20" s="75"/>
      <c r="H20" s="78" t="s">
        <v>15</v>
      </c>
      <c r="I20" s="79">
        <f t="shared" ref="I20:J20" ca="1" si="5">+I22+I24+I26</f>
        <v>0</v>
      </c>
      <c r="J20" s="79">
        <f t="shared" si="5"/>
        <v>0</v>
      </c>
      <c r="K20" s="362">
        <f t="shared" ref="K20:K28" ca="1" si="6">IF(I20&gt;0,J20*100/I20,0)</f>
        <v>0</v>
      </c>
      <c r="L20" s="53"/>
      <c r="M20" s="53"/>
      <c r="N20" s="61"/>
    </row>
    <row r="21" spans="1:14" ht="21.75" customHeight="1" x14ac:dyDescent="0.4">
      <c r="A21" s="55"/>
      <c r="B21" s="56"/>
      <c r="C21" s="56"/>
      <c r="D21" s="73"/>
      <c r="E21" s="77"/>
      <c r="F21" s="75"/>
      <c r="G21" s="76"/>
      <c r="H21" s="78" t="s">
        <v>16</v>
      </c>
      <c r="I21" s="79">
        <f t="shared" ref="I21:J21" ca="1" si="7">+I23+I25+I27</f>
        <v>0</v>
      </c>
      <c r="J21" s="79">
        <f t="shared" si="7"/>
        <v>0</v>
      </c>
      <c r="K21" s="362">
        <f t="shared" ca="1" si="6"/>
        <v>0</v>
      </c>
      <c r="L21" s="53"/>
      <c r="M21" s="53"/>
      <c r="N21" s="61"/>
    </row>
    <row r="22" spans="1:14" ht="21.75" customHeight="1" x14ac:dyDescent="0.4">
      <c r="A22" s="55"/>
      <c r="B22" s="56"/>
      <c r="C22" s="56"/>
      <c r="D22" s="73"/>
      <c r="E22" s="77"/>
      <c r="F22" s="75"/>
      <c r="G22" s="75" t="s">
        <v>31</v>
      </c>
      <c r="H22" s="60" t="s">
        <v>15</v>
      </c>
      <c r="I22" s="48">
        <f ca="1">IFERROR(__xludf.DUMMYFUNCTION("IMPORTRANGE(""https://docs.google.com/spreadsheets/d/1C3CXT74ZlgGe6_JY_1olB1XN4rF0dxEuIIF-xsYjHgg/edit?usp=sharing"",""พรบ!H32"")"),0)</f>
        <v>0</v>
      </c>
      <c r="J22" s="67">
        <v>0</v>
      </c>
      <c r="K22" s="233">
        <f t="shared" ca="1" si="6"/>
        <v>0</v>
      </c>
      <c r="L22" s="53"/>
      <c r="M22" s="53"/>
      <c r="N22" s="61"/>
    </row>
    <row r="23" spans="1:14" ht="21.75" customHeight="1" x14ac:dyDescent="0.4">
      <c r="A23" s="55"/>
      <c r="B23" s="56"/>
      <c r="C23" s="56"/>
      <c r="D23" s="73"/>
      <c r="E23" s="77"/>
      <c r="F23" s="75"/>
      <c r="G23" s="76"/>
      <c r="H23" s="60" t="s">
        <v>16</v>
      </c>
      <c r="I23" s="48">
        <f ca="1">IFERROR(__xludf.DUMMYFUNCTION("IMPORTRANGE(""https://docs.google.com/spreadsheets/d/1C3CXT74ZlgGe6_JY_1olB1XN4rF0dxEuIIF-xsYjHgg/edit?usp=sharing"",""พรบ!I32"")"),0)</f>
        <v>0</v>
      </c>
      <c r="J23" s="67">
        <v>0</v>
      </c>
      <c r="K23" s="233">
        <f t="shared" ca="1" si="6"/>
        <v>0</v>
      </c>
      <c r="L23" s="53"/>
      <c r="M23" s="53"/>
      <c r="N23" s="61"/>
    </row>
    <row r="24" spans="1:14" ht="21.75" customHeight="1" x14ac:dyDescent="0.4">
      <c r="A24" s="55"/>
      <c r="B24" s="56"/>
      <c r="C24" s="56"/>
      <c r="D24" s="73"/>
      <c r="E24" s="77"/>
      <c r="F24" s="75"/>
      <c r="G24" s="75" t="s">
        <v>32</v>
      </c>
      <c r="H24" s="60" t="s">
        <v>15</v>
      </c>
      <c r="I24" s="48">
        <f ca="1">IFERROR(__xludf.DUMMYFUNCTION("IMPORTRANGE(""https://docs.google.com/spreadsheets/d/1C3CXT74ZlgGe6_JY_1olB1XN4rF0dxEuIIF-xsYjHgg/edit?usp=sharing"",""พรบ!J32"")"),0)</f>
        <v>0</v>
      </c>
      <c r="J24" s="67">
        <v>0</v>
      </c>
      <c r="K24" s="233">
        <f t="shared" ca="1" si="6"/>
        <v>0</v>
      </c>
      <c r="L24" s="53"/>
      <c r="M24" s="53"/>
      <c r="N24" s="61"/>
    </row>
    <row r="25" spans="1:14" ht="21.75" customHeight="1" x14ac:dyDescent="0.4">
      <c r="A25" s="55"/>
      <c r="B25" s="56"/>
      <c r="C25" s="56"/>
      <c r="D25" s="73"/>
      <c r="E25" s="77"/>
      <c r="F25" s="75"/>
      <c r="G25" s="76"/>
      <c r="H25" s="60" t="s">
        <v>16</v>
      </c>
      <c r="I25" s="48">
        <f ca="1">IFERROR(__xludf.DUMMYFUNCTION("IMPORTRANGE(""https://docs.google.com/spreadsheets/d/1C3CXT74ZlgGe6_JY_1olB1XN4rF0dxEuIIF-xsYjHgg/edit?usp=sharing"",""พรบ!K32"")"),0)</f>
        <v>0</v>
      </c>
      <c r="J25" s="67">
        <v>0</v>
      </c>
      <c r="K25" s="233">
        <f t="shared" ca="1" si="6"/>
        <v>0</v>
      </c>
      <c r="L25" s="53"/>
      <c r="M25" s="53"/>
      <c r="N25" s="61"/>
    </row>
    <row r="26" spans="1:14" ht="21.75" customHeight="1" x14ac:dyDescent="0.4">
      <c r="A26" s="55"/>
      <c r="B26" s="56"/>
      <c r="C26" s="56"/>
      <c r="D26" s="73"/>
      <c r="E26" s="77"/>
      <c r="F26" s="75"/>
      <c r="G26" s="75" t="s">
        <v>33</v>
      </c>
      <c r="H26" s="60" t="s">
        <v>15</v>
      </c>
      <c r="I26" s="48">
        <f ca="1">IFERROR(__xludf.DUMMYFUNCTION("IMPORTRANGE(""https://docs.google.com/spreadsheets/d/1C3CXT74ZlgGe6_JY_1olB1XN4rF0dxEuIIF-xsYjHgg/edit?usp=sharing"",""พรบ!L32"")"),0)</f>
        <v>0</v>
      </c>
      <c r="J26" s="67">
        <v>0</v>
      </c>
      <c r="K26" s="233">
        <f t="shared" ca="1" si="6"/>
        <v>0</v>
      </c>
      <c r="L26" s="53"/>
      <c r="M26" s="53"/>
      <c r="N26" s="61"/>
    </row>
    <row r="27" spans="1:14" ht="21.75" customHeight="1" x14ac:dyDescent="0.4">
      <c r="A27" s="55"/>
      <c r="B27" s="56"/>
      <c r="C27" s="56"/>
      <c r="D27" s="73"/>
      <c r="E27" s="77"/>
      <c r="F27" s="75"/>
      <c r="G27" s="76"/>
      <c r="H27" s="60" t="s">
        <v>16</v>
      </c>
      <c r="I27" s="48">
        <f ca="1">IFERROR(__xludf.DUMMYFUNCTION("IMPORTRANGE(""https://docs.google.com/spreadsheets/d/1C3CXT74ZlgGe6_JY_1olB1XN4rF0dxEuIIF-xsYjHgg/edit?usp=sharing"",""พรบ!M32"")"),0)</f>
        <v>0</v>
      </c>
      <c r="J27" s="67">
        <v>0</v>
      </c>
      <c r="K27" s="233">
        <f t="shared" ca="1" si="6"/>
        <v>0</v>
      </c>
      <c r="L27" s="53"/>
      <c r="M27" s="53"/>
      <c r="N27" s="61"/>
    </row>
    <row r="28" spans="1:14" ht="21.75" customHeight="1" x14ac:dyDescent="0.4">
      <c r="A28" s="55"/>
      <c r="B28" s="56"/>
      <c r="C28" s="56"/>
      <c r="D28" s="73"/>
      <c r="E28" s="77"/>
      <c r="F28" s="74" t="s">
        <v>34</v>
      </c>
      <c r="G28" s="75"/>
      <c r="H28" s="60" t="s">
        <v>16</v>
      </c>
      <c r="I28" s="48">
        <f ca="1">IFERROR(__xludf.DUMMYFUNCTION("IMPORTRANGE(""https://docs.google.com/spreadsheets/d/1C3CXT74ZlgGe6_JY_1olB1XN4rF0dxEuIIF-xsYjHgg/edit?usp=sharing"",""พรบ!N32"")"),0)</f>
        <v>0</v>
      </c>
      <c r="J28" s="67">
        <v>0</v>
      </c>
      <c r="K28" s="233">
        <f t="shared" ca="1" si="6"/>
        <v>0</v>
      </c>
      <c r="L28" s="53"/>
      <c r="M28" s="53"/>
      <c r="N28" s="61"/>
    </row>
    <row r="29" spans="1:14" ht="21.75" customHeight="1" x14ac:dyDescent="0.4">
      <c r="A29" s="55"/>
      <c r="B29" s="56"/>
      <c r="C29" s="56"/>
      <c r="D29" s="73"/>
      <c r="E29" s="74" t="s">
        <v>35</v>
      </c>
      <c r="F29" s="75"/>
      <c r="G29" s="76"/>
      <c r="H29" s="66"/>
      <c r="I29" s="67"/>
      <c r="J29" s="67">
        <v>0</v>
      </c>
      <c r="K29" s="233"/>
      <c r="L29" s="53"/>
      <c r="M29" s="53"/>
      <c r="N29" s="61"/>
    </row>
    <row r="30" spans="1:14" ht="21.75" customHeight="1" x14ac:dyDescent="0.4">
      <c r="A30" s="55"/>
      <c r="B30" s="56"/>
      <c r="C30" s="56"/>
      <c r="D30" s="81">
        <v>3</v>
      </c>
      <c r="E30" s="82" t="s">
        <v>36</v>
      </c>
      <c r="F30" s="83"/>
      <c r="G30" s="84"/>
      <c r="H30" s="66"/>
      <c r="I30" s="67"/>
      <c r="J30" s="360">
        <v>0</v>
      </c>
      <c r="K30" s="233"/>
      <c r="L30" s="53"/>
      <c r="M30" s="53"/>
      <c r="N30" s="61"/>
    </row>
    <row r="31" spans="1:14" ht="21.75" customHeight="1" x14ac:dyDescent="0.4">
      <c r="A31" s="86" t="s">
        <v>37</v>
      </c>
      <c r="B31" s="87"/>
      <c r="C31" s="88"/>
      <c r="D31" s="87"/>
      <c r="E31" s="89"/>
      <c r="F31" s="89"/>
      <c r="G31" s="90"/>
      <c r="H31" s="91"/>
      <c r="I31" s="92"/>
      <c r="J31" s="92"/>
      <c r="K31" s="93"/>
      <c r="L31" s="94"/>
      <c r="M31" s="94"/>
      <c r="N31" s="95"/>
    </row>
    <row r="32" spans="1:14" ht="21.75" customHeight="1" x14ac:dyDescent="0.4">
      <c r="A32" s="34"/>
      <c r="B32" s="35" t="s">
        <v>38</v>
      </c>
      <c r="C32" s="35"/>
      <c r="D32" s="36"/>
      <c r="E32" s="35"/>
      <c r="F32" s="35"/>
      <c r="G32" s="96"/>
      <c r="H32" s="37" t="s">
        <v>16</v>
      </c>
      <c r="I32" s="38">
        <f t="shared" ref="I32:J32" ca="1" si="8">+I44</f>
        <v>4</v>
      </c>
      <c r="J32" s="38">
        <f t="shared" si="8"/>
        <v>0</v>
      </c>
      <c r="K32" s="41">
        <f t="shared" ref="K32:K33" ca="1" si="9">IF(I32&gt;0,J32*100/I32,0)</f>
        <v>0</v>
      </c>
      <c r="L32" s="97">
        <f ca="1">L34+L35</f>
        <v>122100</v>
      </c>
      <c r="M32" s="97">
        <f>SUM(M34:M35)</f>
        <v>620</v>
      </c>
      <c r="N32" s="41">
        <f ca="1">IF(L32&gt;0,M32*100/L32,0)</f>
        <v>0.50778050778050776</v>
      </c>
    </row>
    <row r="33" spans="1:14" ht="21.75" customHeight="1" x14ac:dyDescent="0.4">
      <c r="A33" s="34"/>
      <c r="B33" s="35"/>
      <c r="C33" s="35"/>
      <c r="D33" s="36" t="s">
        <v>39</v>
      </c>
      <c r="E33" s="35"/>
      <c r="F33" s="35"/>
      <c r="G33" s="96"/>
      <c r="H33" s="37" t="s">
        <v>40</v>
      </c>
      <c r="I33" s="38">
        <f ca="1">I48</f>
        <v>1</v>
      </c>
      <c r="J33" s="38">
        <f>+J48</f>
        <v>0</v>
      </c>
      <c r="K33" s="41">
        <f t="shared" ca="1" si="9"/>
        <v>0</v>
      </c>
      <c r="L33" s="97"/>
      <c r="M33" s="97"/>
      <c r="N33" s="41"/>
    </row>
    <row r="34" spans="1:14" ht="21.75" customHeight="1" x14ac:dyDescent="0.4">
      <c r="A34" s="42"/>
      <c r="B34" s="43"/>
      <c r="C34" s="43" t="s">
        <v>17</v>
      </c>
      <c r="D34" s="44" t="s">
        <v>18</v>
      </c>
      <c r="E34" s="45"/>
      <c r="F34" s="45"/>
      <c r="G34" s="46" t="s">
        <v>19</v>
      </c>
      <c r="H34" s="47" t="s">
        <v>20</v>
      </c>
      <c r="I34" s="48" t="s">
        <v>21</v>
      </c>
      <c r="J34" s="48"/>
      <c r="K34" s="49"/>
      <c r="L34" s="53">
        <v>0</v>
      </c>
      <c r="M34" s="50">
        <v>0</v>
      </c>
      <c r="N34" s="50">
        <f t="shared" ref="N34:N37" si="10">+IF(L34&gt;0,M34*100/L34,0)</f>
        <v>0</v>
      </c>
    </row>
    <row r="35" spans="1:14" ht="21.75" customHeight="1" x14ac:dyDescent="0.4">
      <c r="A35" s="42"/>
      <c r="B35" s="43"/>
      <c r="C35" s="43"/>
      <c r="D35" s="51"/>
      <c r="E35" s="45"/>
      <c r="F35" s="45" t="s">
        <v>21</v>
      </c>
      <c r="G35" s="46" t="s">
        <v>22</v>
      </c>
      <c r="H35" s="47" t="s">
        <v>20</v>
      </c>
      <c r="I35" s="48"/>
      <c r="J35" s="48"/>
      <c r="K35" s="49"/>
      <c r="L35" s="53">
        <f ca="1">IFERROR(__xludf.DUMMYFUNCTION("IMPORTRANGE(""https://docs.google.com/spreadsheets/d/1C3CXT74ZlgGe6_JY_1olB1XN4rF0dxEuIIF-xsYjHgg/edit?usp=sharing"",""พรบ!O32"")"),122100)</f>
        <v>122100</v>
      </c>
      <c r="M35" s="50">
        <f>SUM(M36:M37)</f>
        <v>620</v>
      </c>
      <c r="N35" s="50">
        <f t="shared" ca="1" si="10"/>
        <v>0.50778050778050776</v>
      </c>
    </row>
    <row r="36" spans="1:14" ht="21.75" customHeight="1" x14ac:dyDescent="0.4">
      <c r="A36" s="42"/>
      <c r="B36" s="43"/>
      <c r="C36" s="43"/>
      <c r="D36" s="51"/>
      <c r="E36" s="45"/>
      <c r="F36" s="45"/>
      <c r="G36" s="52" t="s">
        <v>23</v>
      </c>
      <c r="H36" s="47" t="s">
        <v>20</v>
      </c>
      <c r="I36" s="48"/>
      <c r="J36" s="48"/>
      <c r="K36" s="49"/>
      <c r="L36" s="53">
        <f ca="1">IFERROR(__xludf.DUMMYFUNCTION("IMPORTRANGE(""https://docs.google.com/spreadsheets/d/1C3CXT74ZlgGe6_JY_1olB1XN4rF0dxEuIIF-xsYjHgg/edit?usp=sharing"",""พรบ!P32"")"),0)</f>
        <v>0</v>
      </c>
      <c r="M36" s="53">
        <v>0</v>
      </c>
      <c r="N36" s="53">
        <f t="shared" ca="1" si="10"/>
        <v>0</v>
      </c>
    </row>
    <row r="37" spans="1:14" ht="21.75" customHeight="1" x14ac:dyDescent="0.4">
      <c r="A37" s="42"/>
      <c r="B37" s="43"/>
      <c r="C37" s="43"/>
      <c r="D37" s="51"/>
      <c r="E37" s="45"/>
      <c r="F37" s="45"/>
      <c r="G37" s="52" t="s">
        <v>24</v>
      </c>
      <c r="H37" s="47" t="s">
        <v>20</v>
      </c>
      <c r="I37" s="48"/>
      <c r="J37" s="48"/>
      <c r="K37" s="49"/>
      <c r="L37" s="53">
        <f ca="1">IFERROR(__xludf.DUMMYFUNCTION("IMPORTRANGE(""https://docs.google.com/spreadsheets/d/1C3CXT74ZlgGe6_JY_1olB1XN4rF0dxEuIIF-xsYjHgg/edit?usp=sharing"",""พรบ!Q32"")"),122100)</f>
        <v>122100</v>
      </c>
      <c r="M37" s="54">
        <v>620</v>
      </c>
      <c r="N37" s="53">
        <f t="shared" ca="1" si="10"/>
        <v>0.50778050778050776</v>
      </c>
    </row>
    <row r="38" spans="1:14" ht="21.75" customHeight="1" x14ac:dyDescent="0.4">
      <c r="A38" s="55"/>
      <c r="B38" s="56"/>
      <c r="C38" s="43" t="s">
        <v>17</v>
      </c>
      <c r="D38" s="57" t="s">
        <v>25</v>
      </c>
      <c r="E38" s="58"/>
      <c r="F38" s="58"/>
      <c r="G38" s="59"/>
      <c r="H38" s="60"/>
      <c r="I38" s="48"/>
      <c r="J38" s="48"/>
      <c r="K38" s="49"/>
      <c r="L38" s="61"/>
      <c r="M38" s="61"/>
      <c r="N38" s="61"/>
    </row>
    <row r="39" spans="1:14" ht="21.75" customHeight="1" x14ac:dyDescent="0.4">
      <c r="A39" s="55"/>
      <c r="B39" s="56"/>
      <c r="C39" s="56"/>
      <c r="D39" s="62">
        <v>1</v>
      </c>
      <c r="E39" s="63" t="s">
        <v>26</v>
      </c>
      <c r="F39" s="64"/>
      <c r="G39" s="65"/>
      <c r="H39" s="66"/>
      <c r="I39" s="67"/>
      <c r="J39" s="68">
        <v>0</v>
      </c>
      <c r="K39" s="49"/>
      <c r="L39" s="61"/>
      <c r="M39" s="61"/>
      <c r="N39" s="61"/>
    </row>
    <row r="40" spans="1:14" ht="21.75" customHeight="1" x14ac:dyDescent="0.4">
      <c r="A40" s="55"/>
      <c r="B40" s="56"/>
      <c r="C40" s="56"/>
      <c r="D40" s="69">
        <v>2</v>
      </c>
      <c r="E40" s="70" t="s">
        <v>27</v>
      </c>
      <c r="F40" s="71"/>
      <c r="G40" s="72"/>
      <c r="H40" s="66"/>
      <c r="I40" s="67"/>
      <c r="J40" s="68">
        <v>1</v>
      </c>
      <c r="K40" s="49"/>
      <c r="L40" s="61" t="s">
        <v>21</v>
      </c>
      <c r="M40" s="61" t="s">
        <v>21</v>
      </c>
      <c r="N40" s="61"/>
    </row>
    <row r="41" spans="1:14" ht="21.75" customHeight="1" x14ac:dyDescent="0.4">
      <c r="A41" s="55"/>
      <c r="B41" s="56"/>
      <c r="C41" s="56"/>
      <c r="D41" s="73"/>
      <c r="E41" s="74" t="s">
        <v>28</v>
      </c>
      <c r="F41" s="75"/>
      <c r="G41" s="76"/>
      <c r="H41" s="66"/>
      <c r="I41" s="67"/>
      <c r="J41" s="68">
        <v>1</v>
      </c>
      <c r="K41" s="49"/>
      <c r="L41" s="61"/>
      <c r="M41" s="61"/>
      <c r="N41" s="61"/>
    </row>
    <row r="42" spans="1:14" ht="21.75" customHeight="1" x14ac:dyDescent="0.4">
      <c r="A42" s="55"/>
      <c r="B42" s="56"/>
      <c r="C42" s="56"/>
      <c r="D42" s="73"/>
      <c r="E42" s="74" t="s">
        <v>29</v>
      </c>
      <c r="F42" s="75"/>
      <c r="G42" s="76"/>
      <c r="H42" s="66"/>
      <c r="I42" s="67"/>
      <c r="J42" s="68">
        <v>0</v>
      </c>
      <c r="K42" s="49"/>
      <c r="L42" s="61"/>
      <c r="M42" s="61"/>
      <c r="N42" s="61"/>
    </row>
    <row r="43" spans="1:14" ht="21.75" customHeight="1" x14ac:dyDescent="0.4">
      <c r="A43" s="55"/>
      <c r="B43" s="56"/>
      <c r="C43" s="56"/>
      <c r="D43" s="73"/>
      <c r="E43" s="75"/>
      <c r="F43" s="75" t="s">
        <v>41</v>
      </c>
      <c r="G43" s="75"/>
      <c r="H43" s="60" t="s">
        <v>42</v>
      </c>
      <c r="I43" s="48">
        <f ca="1">IFERROR(__xludf.DUMMYFUNCTION("IMPORTRANGE(""https://docs.google.com/spreadsheets/d/1C3CXT74ZlgGe6_JY_1olB1XN4rF0dxEuIIF-xsYjHgg/edit?usp=sharing"",""พรบ!R32"")"),1)</f>
        <v>1</v>
      </c>
      <c r="J43" s="68">
        <v>0</v>
      </c>
      <c r="K43" s="49">
        <f t="shared" ref="K43:K48" ca="1" si="11">IF(I43&gt;0,J43*100/I43,0)</f>
        <v>0</v>
      </c>
      <c r="L43" s="61"/>
      <c r="M43" s="61"/>
      <c r="N43" s="61"/>
    </row>
    <row r="44" spans="1:14" ht="21.75" customHeight="1" x14ac:dyDescent="0.4">
      <c r="A44" s="55"/>
      <c r="B44" s="56"/>
      <c r="C44" s="56"/>
      <c r="D44" s="73"/>
      <c r="E44" s="77"/>
      <c r="F44" s="74" t="s">
        <v>43</v>
      </c>
      <c r="G44" s="75"/>
      <c r="H44" s="60" t="s">
        <v>16</v>
      </c>
      <c r="I44" s="48">
        <f ca="1">IFERROR(__xludf.DUMMYFUNCTION("IMPORTRANGE(""https://docs.google.com/spreadsheets/d/1C3CXT74ZlgGe6_JY_1olB1XN4rF0dxEuIIF-xsYjHgg/edit?usp=sharing"",""พรบ!S32"")"),4)</f>
        <v>4</v>
      </c>
      <c r="J44" s="68">
        <v>0</v>
      </c>
      <c r="K44" s="49">
        <f t="shared" ca="1" si="11"/>
        <v>0</v>
      </c>
      <c r="L44" s="61"/>
      <c r="M44" s="61"/>
      <c r="N44" s="61"/>
    </row>
    <row r="45" spans="1:14" ht="21.75" customHeight="1" x14ac:dyDescent="0.4">
      <c r="A45" s="55"/>
      <c r="B45" s="56"/>
      <c r="C45" s="56"/>
      <c r="D45" s="73"/>
      <c r="E45" s="77"/>
      <c r="F45" s="75"/>
      <c r="G45" s="98" t="s">
        <v>44</v>
      </c>
      <c r="H45" s="60" t="s">
        <v>16</v>
      </c>
      <c r="I45" s="48">
        <f ca="1">IFERROR(__xludf.DUMMYFUNCTION("IMPORTRANGE(""https://docs.google.com/spreadsheets/d/1C3CXT74ZlgGe6_JY_1olB1XN4rF0dxEuIIF-xsYjHgg/edit?usp=sharing"",""พรบ!T32"")"),4)</f>
        <v>4</v>
      </c>
      <c r="J45" s="68">
        <v>0</v>
      </c>
      <c r="K45" s="49">
        <f t="shared" ca="1" si="11"/>
        <v>0</v>
      </c>
      <c r="L45" s="61"/>
      <c r="M45" s="61"/>
      <c r="N45" s="61"/>
    </row>
    <row r="46" spans="1:14" ht="21.75" customHeight="1" x14ac:dyDescent="0.4">
      <c r="A46" s="55"/>
      <c r="B46" s="56"/>
      <c r="C46" s="56"/>
      <c r="D46" s="73"/>
      <c r="E46" s="77"/>
      <c r="F46" s="75"/>
      <c r="G46" s="98" t="s">
        <v>45</v>
      </c>
      <c r="H46" s="60" t="s">
        <v>16</v>
      </c>
      <c r="I46" s="48">
        <f ca="1">IFERROR(__xludf.DUMMYFUNCTION("IMPORTRANGE(""https://docs.google.com/spreadsheets/d/1C3CXT74ZlgGe6_JY_1olB1XN4rF0dxEuIIF-xsYjHgg/edit?usp=sharing"",""พรบ!U32"")"),4)</f>
        <v>4</v>
      </c>
      <c r="J46" s="68">
        <v>0</v>
      </c>
      <c r="K46" s="49">
        <f t="shared" ca="1" si="11"/>
        <v>0</v>
      </c>
      <c r="L46" s="61"/>
      <c r="M46" s="61"/>
      <c r="N46" s="61"/>
    </row>
    <row r="47" spans="1:14" ht="21.75" customHeight="1" x14ac:dyDescent="0.4">
      <c r="A47" s="55"/>
      <c r="B47" s="56"/>
      <c r="C47" s="56"/>
      <c r="D47" s="73"/>
      <c r="E47" s="77"/>
      <c r="F47" s="75"/>
      <c r="G47" s="99" t="s">
        <v>46</v>
      </c>
      <c r="H47" s="60" t="s">
        <v>16</v>
      </c>
      <c r="I47" s="48">
        <f ca="1">IFERROR(__xludf.DUMMYFUNCTION("IMPORTRANGE(""https://docs.google.com/spreadsheets/d/1C3CXT74ZlgGe6_JY_1olB1XN4rF0dxEuIIF-xsYjHgg/edit?usp=sharing"",""พรบ!V32"")"),4)</f>
        <v>4</v>
      </c>
      <c r="J47" s="68">
        <v>0</v>
      </c>
      <c r="K47" s="49">
        <f t="shared" ca="1" si="11"/>
        <v>0</v>
      </c>
      <c r="L47" s="61"/>
      <c r="M47" s="61"/>
      <c r="N47" s="61"/>
    </row>
    <row r="48" spans="1:14" ht="21.75" customHeight="1" x14ac:dyDescent="0.4">
      <c r="A48" s="55"/>
      <c r="B48" s="56"/>
      <c r="C48" s="56"/>
      <c r="D48" s="73"/>
      <c r="E48" s="77"/>
      <c r="F48" s="75" t="s">
        <v>47</v>
      </c>
      <c r="G48" s="75"/>
      <c r="H48" s="60" t="s">
        <v>40</v>
      </c>
      <c r="I48" s="48">
        <f ca="1">IFERROR(__xludf.DUMMYFUNCTION("IMPORTRANGE(""https://docs.google.com/spreadsheets/d/1C3CXT74ZlgGe6_JY_1olB1XN4rF0dxEuIIF-xsYjHgg/edit?usp=sharing"",""พรบ!W32"")"),1)</f>
        <v>1</v>
      </c>
      <c r="J48" s="68">
        <v>0</v>
      </c>
      <c r="K48" s="49">
        <f t="shared" ca="1" si="11"/>
        <v>0</v>
      </c>
      <c r="L48" s="61"/>
      <c r="M48" s="61"/>
      <c r="N48" s="61"/>
    </row>
    <row r="49" spans="1:14" ht="21.75" customHeight="1" x14ac:dyDescent="0.4">
      <c r="A49" s="55"/>
      <c r="B49" s="56"/>
      <c r="C49" s="56"/>
      <c r="D49" s="73"/>
      <c r="E49" s="74" t="s">
        <v>35</v>
      </c>
      <c r="F49" s="75"/>
      <c r="G49" s="76"/>
      <c r="H49" s="66"/>
      <c r="I49" s="67"/>
      <c r="J49" s="68">
        <v>0</v>
      </c>
      <c r="K49" s="49"/>
      <c r="L49" s="61"/>
      <c r="M49" s="61"/>
      <c r="N49" s="61"/>
    </row>
    <row r="50" spans="1:14" ht="21.75" customHeight="1" x14ac:dyDescent="0.4">
      <c r="A50" s="55"/>
      <c r="B50" s="56"/>
      <c r="C50" s="56"/>
      <c r="D50" s="81">
        <v>3</v>
      </c>
      <c r="E50" s="82" t="s">
        <v>36</v>
      </c>
      <c r="F50" s="83"/>
      <c r="G50" s="84"/>
      <c r="H50" s="66"/>
      <c r="I50" s="67"/>
      <c r="J50" s="85">
        <v>0</v>
      </c>
      <c r="K50" s="49"/>
      <c r="L50" s="61"/>
      <c r="M50" s="61"/>
      <c r="N50" s="61"/>
    </row>
    <row r="51" spans="1:14" ht="21.75" customHeight="1" x14ac:dyDescent="0.4">
      <c r="A51" s="86" t="s">
        <v>48</v>
      </c>
      <c r="B51" s="100"/>
      <c r="C51" s="101"/>
      <c r="D51" s="100"/>
      <c r="E51" s="102"/>
      <c r="F51" s="102"/>
      <c r="G51" s="103"/>
      <c r="H51" s="91"/>
      <c r="I51" s="92"/>
      <c r="J51" s="92"/>
      <c r="K51" s="93"/>
      <c r="L51" s="94"/>
      <c r="M51" s="94"/>
      <c r="N51" s="95"/>
    </row>
    <row r="52" spans="1:14" ht="21.75" customHeight="1" x14ac:dyDescent="0.4">
      <c r="A52" s="34"/>
      <c r="B52" s="35" t="s">
        <v>49</v>
      </c>
      <c r="C52" s="104"/>
      <c r="D52" s="36"/>
      <c r="E52" s="35"/>
      <c r="F52" s="35"/>
      <c r="G52" s="96"/>
      <c r="H52" s="37" t="s">
        <v>16</v>
      </c>
      <c r="I52" s="38">
        <f ca="1">I62</f>
        <v>0</v>
      </c>
      <c r="J52" s="38">
        <f>+J62</f>
        <v>0</v>
      </c>
      <c r="K52" s="41">
        <f ca="1">IF(I52&gt;0,J52*100/I52,0)</f>
        <v>0</v>
      </c>
      <c r="L52" s="40">
        <f ca="1">L53+L54</f>
        <v>0</v>
      </c>
      <c r="M52" s="40">
        <f>SUM(M53:M54)</f>
        <v>0</v>
      </c>
      <c r="N52" s="41">
        <f ca="1">IF(L52&gt;0,M52*100/L52,0)</f>
        <v>0</v>
      </c>
    </row>
    <row r="53" spans="1:14" ht="21.75" customHeight="1" x14ac:dyDescent="0.4">
      <c r="A53" s="42"/>
      <c r="B53" s="43"/>
      <c r="C53" s="43" t="s">
        <v>17</v>
      </c>
      <c r="D53" s="44" t="s">
        <v>18</v>
      </c>
      <c r="E53" s="45"/>
      <c r="F53" s="45"/>
      <c r="G53" s="46" t="s">
        <v>19</v>
      </c>
      <c r="H53" s="47" t="s">
        <v>20</v>
      </c>
      <c r="I53" s="67" t="s">
        <v>21</v>
      </c>
      <c r="J53" s="67"/>
      <c r="K53" s="233"/>
      <c r="L53" s="50">
        <v>0</v>
      </c>
      <c r="M53" s="50">
        <v>0</v>
      </c>
      <c r="N53" s="50">
        <f t="shared" ref="N53:N56" si="12">+IF(L53&gt;0,M53*100/L53,0)</f>
        <v>0</v>
      </c>
    </row>
    <row r="54" spans="1:14" ht="21.75" customHeight="1" x14ac:dyDescent="0.4">
      <c r="A54" s="42"/>
      <c r="B54" s="43"/>
      <c r="C54" s="43"/>
      <c r="D54" s="51"/>
      <c r="E54" s="45"/>
      <c r="F54" s="45" t="s">
        <v>21</v>
      </c>
      <c r="G54" s="46" t="s">
        <v>22</v>
      </c>
      <c r="H54" s="47" t="s">
        <v>20</v>
      </c>
      <c r="I54" s="67"/>
      <c r="J54" s="67"/>
      <c r="K54" s="233"/>
      <c r="L54" s="50">
        <f t="shared" ref="L54:M54" ca="1" si="13">SUM(L55:L56)</f>
        <v>0</v>
      </c>
      <c r="M54" s="50">
        <f t="shared" si="13"/>
        <v>0</v>
      </c>
      <c r="N54" s="50">
        <f t="shared" ca="1" si="12"/>
        <v>0</v>
      </c>
    </row>
    <row r="55" spans="1:14" ht="21.75" customHeight="1" x14ac:dyDescent="0.4">
      <c r="A55" s="42"/>
      <c r="B55" s="43"/>
      <c r="C55" s="43"/>
      <c r="D55" s="51"/>
      <c r="E55" s="45"/>
      <c r="F55" s="45"/>
      <c r="G55" s="52" t="s">
        <v>23</v>
      </c>
      <c r="H55" s="47" t="s">
        <v>20</v>
      </c>
      <c r="I55" s="67"/>
      <c r="J55" s="67"/>
      <c r="K55" s="233"/>
      <c r="L55" s="53">
        <f ca="1">IFERROR(__xludf.DUMMYFUNCTION("IMPORTRANGE(""https://docs.google.com/spreadsheets/d/1C3CXT74ZlgGe6_JY_1olB1XN4rF0dxEuIIF-xsYjHgg/edit?usp=sharing"",""พรบ!Y32"")"),0)</f>
        <v>0</v>
      </c>
      <c r="M55" s="53">
        <v>0</v>
      </c>
      <c r="N55" s="53">
        <f t="shared" ca="1" si="12"/>
        <v>0</v>
      </c>
    </row>
    <row r="56" spans="1:14" ht="21.75" customHeight="1" x14ac:dyDescent="0.4">
      <c r="A56" s="42"/>
      <c r="B56" s="43"/>
      <c r="C56" s="43"/>
      <c r="D56" s="51"/>
      <c r="E56" s="45"/>
      <c r="F56" s="45"/>
      <c r="G56" s="52" t="s">
        <v>24</v>
      </c>
      <c r="H56" s="47" t="s">
        <v>20</v>
      </c>
      <c r="I56" s="67"/>
      <c r="J56" s="67"/>
      <c r="K56" s="233"/>
      <c r="L56" s="53">
        <f ca="1">IFERROR(__xludf.DUMMYFUNCTION("IMPORTRANGE(""https://docs.google.com/spreadsheets/d/1C3CXT74ZlgGe6_JY_1olB1XN4rF0dxEuIIF-xsYjHgg/edit?usp=sharing"",""พรบ!Z32"")"),0)</f>
        <v>0</v>
      </c>
      <c r="M56" s="53">
        <v>0</v>
      </c>
      <c r="N56" s="53">
        <f t="shared" ca="1" si="12"/>
        <v>0</v>
      </c>
    </row>
    <row r="57" spans="1:14" ht="21.75" customHeight="1" x14ac:dyDescent="0.4">
      <c r="A57" s="55"/>
      <c r="B57" s="56"/>
      <c r="C57" s="43" t="s">
        <v>17</v>
      </c>
      <c r="D57" s="57" t="s">
        <v>250</v>
      </c>
      <c r="E57" s="58"/>
      <c r="F57" s="58"/>
      <c r="G57" s="59"/>
      <c r="H57" s="60"/>
      <c r="I57" s="67"/>
      <c r="J57" s="67"/>
      <c r="K57" s="233"/>
      <c r="L57" s="53"/>
      <c r="M57" s="53"/>
      <c r="N57" s="53"/>
    </row>
    <row r="58" spans="1:14" ht="21.75" customHeight="1" x14ac:dyDescent="0.4">
      <c r="A58" s="55"/>
      <c r="B58" s="56"/>
      <c r="C58" s="56"/>
      <c r="D58" s="62">
        <v>1</v>
      </c>
      <c r="E58" s="63" t="s">
        <v>26</v>
      </c>
      <c r="F58" s="64"/>
      <c r="G58" s="65"/>
      <c r="H58" s="66"/>
      <c r="I58" s="67"/>
      <c r="J58" s="67">
        <v>0</v>
      </c>
      <c r="K58" s="233"/>
      <c r="L58" s="53"/>
      <c r="M58" s="53"/>
      <c r="N58" s="53"/>
    </row>
    <row r="59" spans="1:14" ht="21.75" customHeight="1" x14ac:dyDescent="0.4">
      <c r="A59" s="55"/>
      <c r="B59" s="56"/>
      <c r="C59" s="56"/>
      <c r="D59" s="69">
        <v>2</v>
      </c>
      <c r="E59" s="70" t="s">
        <v>27</v>
      </c>
      <c r="F59" s="71"/>
      <c r="G59" s="72"/>
      <c r="H59" s="66"/>
      <c r="I59" s="67"/>
      <c r="J59" s="67">
        <v>0</v>
      </c>
      <c r="K59" s="233"/>
      <c r="L59" s="53" t="s">
        <v>21</v>
      </c>
      <c r="M59" s="53" t="s">
        <v>21</v>
      </c>
      <c r="N59" s="53"/>
    </row>
    <row r="60" spans="1:14" ht="21.75" customHeight="1" x14ac:dyDescent="0.4">
      <c r="A60" s="55"/>
      <c r="B60" s="56"/>
      <c r="C60" s="56"/>
      <c r="D60" s="73"/>
      <c r="E60" s="74" t="s">
        <v>28</v>
      </c>
      <c r="F60" s="75"/>
      <c r="G60" s="76"/>
      <c r="H60" s="66"/>
      <c r="I60" s="67"/>
      <c r="J60" s="67">
        <v>0</v>
      </c>
      <c r="K60" s="233"/>
      <c r="L60" s="53"/>
      <c r="M60" s="53"/>
      <c r="N60" s="53"/>
    </row>
    <row r="61" spans="1:14" ht="21.75" customHeight="1" x14ac:dyDescent="0.4">
      <c r="A61" s="55"/>
      <c r="B61" s="56"/>
      <c r="C61" s="56"/>
      <c r="D61" s="73"/>
      <c r="E61" s="74" t="s">
        <v>29</v>
      </c>
      <c r="F61" s="75"/>
      <c r="G61" s="76"/>
      <c r="H61" s="66"/>
      <c r="I61" s="67"/>
      <c r="J61" s="67">
        <v>0</v>
      </c>
      <c r="K61" s="233"/>
      <c r="L61" s="53"/>
      <c r="M61" s="53"/>
      <c r="N61" s="53"/>
    </row>
    <row r="62" spans="1:14" ht="21.75" customHeight="1" x14ac:dyDescent="0.4">
      <c r="A62" s="55"/>
      <c r="B62" s="56"/>
      <c r="C62" s="56"/>
      <c r="D62" s="73"/>
      <c r="E62" s="77"/>
      <c r="F62" s="74" t="s">
        <v>50</v>
      </c>
      <c r="G62" s="76"/>
      <c r="H62" s="60" t="s">
        <v>16</v>
      </c>
      <c r="I62" s="67">
        <f ca="1">IFERROR(__xludf.DUMMYFUNCTION("IMPORTRANGE(""https://docs.google.com/spreadsheets/d/1C3CXT74ZlgGe6_JY_1olB1XN4rF0dxEuIIF-xsYjHgg/edit?usp=sharing"",""พรบ!AA32"")"),0)</f>
        <v>0</v>
      </c>
      <c r="J62" s="67">
        <v>0</v>
      </c>
      <c r="K62" s="233">
        <f t="shared" ref="K62:K63" ca="1" si="14">IF(I62&gt;0,J62*100/I62,0)</f>
        <v>0</v>
      </c>
      <c r="L62" s="53"/>
      <c r="M62" s="53"/>
      <c r="N62" s="53"/>
    </row>
    <row r="63" spans="1:14" ht="21.75" customHeight="1" x14ac:dyDescent="0.4">
      <c r="A63" s="55"/>
      <c r="B63" s="56"/>
      <c r="C63" s="56"/>
      <c r="D63" s="73"/>
      <c r="E63" s="77"/>
      <c r="F63" s="74" t="s">
        <v>51</v>
      </c>
      <c r="G63" s="76"/>
      <c r="H63" s="60" t="s">
        <v>16</v>
      </c>
      <c r="I63" s="67">
        <f ca="1">I62</f>
        <v>0</v>
      </c>
      <c r="J63" s="67">
        <v>0</v>
      </c>
      <c r="K63" s="233">
        <f t="shared" ca="1" si="14"/>
        <v>0</v>
      </c>
      <c r="L63" s="53"/>
      <c r="M63" s="53"/>
      <c r="N63" s="53"/>
    </row>
    <row r="64" spans="1:14" ht="21.75" customHeight="1" x14ac:dyDescent="0.4">
      <c r="A64" s="55"/>
      <c r="B64" s="56"/>
      <c r="C64" s="56"/>
      <c r="D64" s="73"/>
      <c r="E64" s="74" t="s">
        <v>35</v>
      </c>
      <c r="F64" s="75"/>
      <c r="G64" s="76"/>
      <c r="H64" s="66"/>
      <c r="I64" s="67"/>
      <c r="J64" s="67">
        <v>0</v>
      </c>
      <c r="K64" s="233"/>
      <c r="L64" s="53"/>
      <c r="M64" s="53"/>
      <c r="N64" s="53"/>
    </row>
    <row r="65" spans="1:14" ht="21.75" customHeight="1" x14ac:dyDescent="0.4">
      <c r="A65" s="105"/>
      <c r="B65" s="106"/>
      <c r="C65" s="106"/>
      <c r="D65" s="107">
        <v>3</v>
      </c>
      <c r="E65" s="108" t="s">
        <v>36</v>
      </c>
      <c r="F65" s="109"/>
      <c r="G65" s="110"/>
      <c r="H65" s="111"/>
      <c r="I65" s="112"/>
      <c r="J65" s="356">
        <v>0</v>
      </c>
      <c r="K65" s="357"/>
      <c r="L65" s="358"/>
      <c r="M65" s="358"/>
      <c r="N65" s="358"/>
    </row>
    <row r="66" spans="1:14" ht="21.75" customHeight="1" x14ac:dyDescent="0.4">
      <c r="A66" s="116" t="s">
        <v>52</v>
      </c>
      <c r="B66" s="117"/>
      <c r="C66" s="117"/>
      <c r="D66" s="117"/>
      <c r="E66" s="118"/>
      <c r="F66" s="118"/>
      <c r="G66" s="119"/>
      <c r="H66" s="120"/>
      <c r="I66" s="121"/>
      <c r="J66" s="121"/>
      <c r="K66" s="122"/>
      <c r="L66" s="123"/>
      <c r="M66" s="123"/>
      <c r="N66" s="123"/>
    </row>
    <row r="67" spans="1:14" ht="21.75" customHeight="1" x14ac:dyDescent="0.4">
      <c r="A67" s="124" t="s">
        <v>53</v>
      </c>
      <c r="B67" s="125"/>
      <c r="C67" s="125"/>
      <c r="D67" s="126"/>
      <c r="E67" s="126"/>
      <c r="F67" s="126"/>
      <c r="G67" s="127"/>
      <c r="H67" s="128"/>
      <c r="I67" s="129"/>
      <c r="J67" s="129"/>
      <c r="K67" s="130"/>
      <c r="L67" s="130"/>
      <c r="M67" s="130"/>
      <c r="N67" s="131"/>
    </row>
    <row r="68" spans="1:14" ht="21.75" customHeight="1" x14ac:dyDescent="0.4">
      <c r="A68" s="132"/>
      <c r="B68" s="133" t="s">
        <v>54</v>
      </c>
      <c r="C68" s="134"/>
      <c r="D68" s="133"/>
      <c r="E68" s="133"/>
      <c r="F68" s="133"/>
      <c r="G68" s="135"/>
      <c r="H68" s="136" t="s">
        <v>16</v>
      </c>
      <c r="I68" s="137">
        <f t="shared" ref="I68:J68" ca="1" si="15">I126+I129</f>
        <v>0</v>
      </c>
      <c r="J68" s="137">
        <f t="shared" si="15"/>
        <v>0</v>
      </c>
      <c r="K68" s="138">
        <f ca="1">IF(I68&gt;0,J68*100/I68,0)</f>
        <v>0</v>
      </c>
      <c r="L68" s="139">
        <f t="shared" ref="L68:M68" ca="1" si="16">SUM(L70:L71)</f>
        <v>69000</v>
      </c>
      <c r="M68" s="139">
        <f t="shared" si="16"/>
        <v>0</v>
      </c>
      <c r="N68" s="138">
        <f ca="1">IF(L68&gt;0,M68*100/L68,0)</f>
        <v>0</v>
      </c>
    </row>
    <row r="69" spans="1:14" ht="21.75" customHeight="1" x14ac:dyDescent="0.4">
      <c r="A69" s="132"/>
      <c r="B69" s="133" t="s">
        <v>55</v>
      </c>
      <c r="C69" s="134"/>
      <c r="D69" s="133"/>
      <c r="E69" s="133"/>
      <c r="F69" s="133"/>
      <c r="G69" s="135"/>
      <c r="H69" s="136"/>
      <c r="I69" s="137"/>
      <c r="J69" s="137"/>
      <c r="K69" s="138"/>
      <c r="L69" s="139"/>
      <c r="M69" s="139"/>
      <c r="N69" s="138"/>
    </row>
    <row r="70" spans="1:14" ht="21.75" customHeight="1" x14ac:dyDescent="0.4">
      <c r="A70" s="42"/>
      <c r="B70" s="43"/>
      <c r="C70" s="43" t="s">
        <v>17</v>
      </c>
      <c r="D70" s="44" t="s">
        <v>18</v>
      </c>
      <c r="E70" s="45"/>
      <c r="F70" s="45"/>
      <c r="G70" s="46" t="s">
        <v>19</v>
      </c>
      <c r="H70" s="47" t="s">
        <v>20</v>
      </c>
      <c r="I70" s="48" t="s">
        <v>21</v>
      </c>
      <c r="J70" s="48"/>
      <c r="K70" s="49"/>
      <c r="L70" s="50">
        <v>0</v>
      </c>
      <c r="M70" s="50">
        <v>0</v>
      </c>
      <c r="N70" s="50">
        <f t="shared" ref="N70:N77" si="17">+IF(L70&gt;0,M70*100/L70,0)</f>
        <v>0</v>
      </c>
    </row>
    <row r="71" spans="1:14" ht="21.75" customHeight="1" x14ac:dyDescent="0.4">
      <c r="A71" s="42"/>
      <c r="B71" s="43"/>
      <c r="C71" s="43"/>
      <c r="D71" s="51"/>
      <c r="E71" s="45"/>
      <c r="F71" s="45" t="s">
        <v>21</v>
      </c>
      <c r="G71" s="46" t="s">
        <v>22</v>
      </c>
      <c r="H71" s="47" t="s">
        <v>20</v>
      </c>
      <c r="I71" s="48"/>
      <c r="J71" s="48"/>
      <c r="K71" s="49"/>
      <c r="L71" s="50">
        <f ca="1">L72+L73</f>
        <v>69000</v>
      </c>
      <c r="M71" s="140">
        <f>SUM(M72:M73)</f>
        <v>0</v>
      </c>
      <c r="N71" s="50">
        <f t="shared" ca="1" si="17"/>
        <v>0</v>
      </c>
    </row>
    <row r="72" spans="1:14" ht="21.75" customHeight="1" x14ac:dyDescent="0.4">
      <c r="A72" s="42"/>
      <c r="B72" s="43"/>
      <c r="C72" s="43"/>
      <c r="D72" s="51"/>
      <c r="E72" s="45"/>
      <c r="F72" s="45"/>
      <c r="G72" s="52" t="s">
        <v>23</v>
      </c>
      <c r="H72" s="47" t="s">
        <v>20</v>
      </c>
      <c r="I72" s="48"/>
      <c r="J72" s="48"/>
      <c r="K72" s="49"/>
      <c r="L72" s="53">
        <f ca="1">IFERROR(__xludf.DUMMYFUNCTION("IMPORTRANGE(""https://docs.google.com/spreadsheets/d/1C3CXT74ZlgGe6_JY_1olB1XN4rF0dxEuIIF-xsYjHgg/edit?usp=sharing"",""พรบ!AD32"")"),0)</f>
        <v>0</v>
      </c>
      <c r="M72" s="54">
        <v>0</v>
      </c>
      <c r="N72" s="53">
        <f t="shared" ca="1" si="17"/>
        <v>0</v>
      </c>
    </row>
    <row r="73" spans="1:14" ht="21.75" customHeight="1" x14ac:dyDescent="0.4">
      <c r="A73" s="42"/>
      <c r="B73" s="43"/>
      <c r="C73" s="43"/>
      <c r="D73" s="51"/>
      <c r="E73" s="45"/>
      <c r="F73" s="45"/>
      <c r="G73" s="52" t="s">
        <v>24</v>
      </c>
      <c r="H73" s="47" t="s">
        <v>20</v>
      </c>
      <c r="I73" s="48"/>
      <c r="J73" s="48"/>
      <c r="K73" s="49"/>
      <c r="L73" s="53">
        <f t="shared" ref="L73:M73" ca="1" si="18">L77+L92+L104+L117+L132</f>
        <v>69000</v>
      </c>
      <c r="M73" s="53">
        <f t="shared" si="18"/>
        <v>0</v>
      </c>
      <c r="N73" s="53">
        <f t="shared" ca="1" si="17"/>
        <v>0</v>
      </c>
    </row>
    <row r="74" spans="1:14" ht="21.75" customHeight="1" x14ac:dyDescent="0.4">
      <c r="A74" s="141"/>
      <c r="B74" s="142"/>
      <c r="C74" s="143" t="s">
        <v>56</v>
      </c>
      <c r="D74" s="143"/>
      <c r="E74" s="143"/>
      <c r="F74" s="143"/>
      <c r="G74" s="144"/>
      <c r="H74" s="145" t="s">
        <v>57</v>
      </c>
      <c r="I74" s="146">
        <f t="shared" ref="I74:J74" ca="1" si="19">I83</f>
        <v>4</v>
      </c>
      <c r="J74" s="146">
        <f t="shared" si="19"/>
        <v>0</v>
      </c>
      <c r="K74" s="147">
        <f ca="1">IF(I74&gt;0,J74*100/I74,0)</f>
        <v>0</v>
      </c>
      <c r="L74" s="148">
        <f ca="1">L75+L76</f>
        <v>7500</v>
      </c>
      <c r="M74" s="148">
        <f>SUM(M75:M76)</f>
        <v>0</v>
      </c>
      <c r="N74" s="148">
        <f t="shared" ca="1" si="17"/>
        <v>0</v>
      </c>
    </row>
    <row r="75" spans="1:14" ht="21.75" customHeight="1" x14ac:dyDescent="0.4">
      <c r="A75" s="42"/>
      <c r="B75" s="43"/>
      <c r="C75" s="43" t="s">
        <v>17</v>
      </c>
      <c r="D75" s="44" t="s">
        <v>18</v>
      </c>
      <c r="E75" s="45"/>
      <c r="F75" s="45"/>
      <c r="G75" s="46" t="s">
        <v>19</v>
      </c>
      <c r="H75" s="47" t="s">
        <v>20</v>
      </c>
      <c r="I75" s="48" t="s">
        <v>21</v>
      </c>
      <c r="J75" s="48"/>
      <c r="K75" s="49"/>
      <c r="L75" s="50">
        <v>0</v>
      </c>
      <c r="M75" s="50">
        <v>0</v>
      </c>
      <c r="N75" s="50">
        <f t="shared" si="17"/>
        <v>0</v>
      </c>
    </row>
    <row r="76" spans="1:14" ht="21.75" customHeight="1" x14ac:dyDescent="0.4">
      <c r="A76" s="42"/>
      <c r="B76" s="43"/>
      <c r="C76" s="43"/>
      <c r="D76" s="51"/>
      <c r="E76" s="45"/>
      <c r="F76" s="45" t="s">
        <v>21</v>
      </c>
      <c r="G76" s="46" t="s">
        <v>22</v>
      </c>
      <c r="H76" s="47" t="s">
        <v>20</v>
      </c>
      <c r="I76" s="48"/>
      <c r="J76" s="48"/>
      <c r="K76" s="49"/>
      <c r="L76" s="50">
        <f t="shared" ref="L76:M76" ca="1" si="20">L77</f>
        <v>7500</v>
      </c>
      <c r="M76" s="50">
        <f t="shared" si="20"/>
        <v>0</v>
      </c>
      <c r="N76" s="50">
        <f t="shared" ca="1" si="17"/>
        <v>0</v>
      </c>
    </row>
    <row r="77" spans="1:14" ht="21.75" customHeight="1" x14ac:dyDescent="0.4">
      <c r="A77" s="42"/>
      <c r="B77" s="43"/>
      <c r="C77" s="43"/>
      <c r="D77" s="51"/>
      <c r="E77" s="45"/>
      <c r="F77" s="45"/>
      <c r="G77" s="52" t="s">
        <v>24</v>
      </c>
      <c r="H77" s="47" t="s">
        <v>20</v>
      </c>
      <c r="I77" s="48"/>
      <c r="J77" s="48"/>
      <c r="K77" s="49"/>
      <c r="L77" s="53">
        <f ca="1">IFERROR(__xludf.DUMMYFUNCTION("IMPORTRANGE(""https://docs.google.com/spreadsheets/d/1C3CXT74ZlgGe6_JY_1olB1XN4rF0dxEuIIF-xsYjHgg/edit?usp=sharing"",""พรบ!AF32"")"),7500)</f>
        <v>7500</v>
      </c>
      <c r="M77" s="54">
        <v>0</v>
      </c>
      <c r="N77" s="53">
        <f t="shared" ca="1" si="17"/>
        <v>0</v>
      </c>
    </row>
    <row r="78" spans="1:14" ht="21.75" customHeight="1" x14ac:dyDescent="0.4">
      <c r="A78" s="55"/>
      <c r="B78" s="56"/>
      <c r="C78" s="43" t="s">
        <v>17</v>
      </c>
      <c r="D78" s="57" t="s">
        <v>25</v>
      </c>
      <c r="E78" s="58"/>
      <c r="F78" s="58"/>
      <c r="G78" s="59"/>
      <c r="H78" s="60"/>
      <c r="I78" s="48"/>
      <c r="J78" s="48"/>
      <c r="K78" s="49"/>
      <c r="L78" s="61"/>
      <c r="M78" s="61"/>
      <c r="N78" s="61"/>
    </row>
    <row r="79" spans="1:14" ht="21.75" customHeight="1" x14ac:dyDescent="0.4">
      <c r="A79" s="55"/>
      <c r="B79" s="56"/>
      <c r="C79" s="56"/>
      <c r="D79" s="62">
        <v>1</v>
      </c>
      <c r="E79" s="63" t="s">
        <v>26</v>
      </c>
      <c r="F79" s="64"/>
      <c r="G79" s="65"/>
      <c r="H79" s="66"/>
      <c r="I79" s="67"/>
      <c r="J79" s="68">
        <v>0</v>
      </c>
      <c r="K79" s="49"/>
      <c r="L79" s="61"/>
      <c r="M79" s="61"/>
      <c r="N79" s="61"/>
    </row>
    <row r="80" spans="1:14" ht="21.75" customHeight="1" x14ac:dyDescent="0.4">
      <c r="A80" s="55"/>
      <c r="B80" s="56"/>
      <c r="C80" s="56"/>
      <c r="D80" s="69">
        <v>2</v>
      </c>
      <c r="E80" s="70" t="s">
        <v>27</v>
      </c>
      <c r="F80" s="71"/>
      <c r="G80" s="72"/>
      <c r="H80" s="66"/>
      <c r="I80" s="67"/>
      <c r="J80" s="68">
        <v>0</v>
      </c>
      <c r="K80" s="49"/>
      <c r="L80" s="61" t="s">
        <v>21</v>
      </c>
      <c r="M80" s="61" t="s">
        <v>21</v>
      </c>
      <c r="N80" s="61"/>
    </row>
    <row r="81" spans="1:14" ht="21.75" customHeight="1" x14ac:dyDescent="0.4">
      <c r="A81" s="55"/>
      <c r="B81" s="56"/>
      <c r="C81" s="56"/>
      <c r="D81" s="73"/>
      <c r="E81" s="74" t="s">
        <v>28</v>
      </c>
      <c r="F81" s="75"/>
      <c r="G81" s="76"/>
      <c r="H81" s="66"/>
      <c r="I81" s="67"/>
      <c r="J81" s="68">
        <v>0</v>
      </c>
      <c r="K81" s="49"/>
      <c r="L81" s="61"/>
      <c r="M81" s="61"/>
      <c r="N81" s="61"/>
    </row>
    <row r="82" spans="1:14" ht="21.75" customHeight="1" x14ac:dyDescent="0.4">
      <c r="A82" s="55"/>
      <c r="B82" s="56"/>
      <c r="C82" s="56"/>
      <c r="D82" s="73"/>
      <c r="E82" s="74" t="s">
        <v>29</v>
      </c>
      <c r="F82" s="75"/>
      <c r="G82" s="76"/>
      <c r="H82" s="66"/>
      <c r="I82" s="67"/>
      <c r="J82" s="68">
        <v>0</v>
      </c>
      <c r="K82" s="49"/>
      <c r="L82" s="61"/>
      <c r="M82" s="61"/>
      <c r="N82" s="61"/>
    </row>
    <row r="83" spans="1:14" ht="21.75" customHeight="1" x14ac:dyDescent="0.4">
      <c r="A83" s="55"/>
      <c r="B83" s="56"/>
      <c r="C83" s="56"/>
      <c r="D83" s="73"/>
      <c r="E83" s="77"/>
      <c r="F83" s="74" t="s">
        <v>58</v>
      </c>
      <c r="G83" s="76"/>
      <c r="H83" s="60" t="s">
        <v>57</v>
      </c>
      <c r="I83" s="67">
        <f ca="1">IFERROR(__xludf.DUMMYFUNCTION("IMPORTRANGE(""https://docs.google.com/spreadsheets/d/1C3CXT74ZlgGe6_JY_1olB1XN4rF0dxEuIIF-xsYjHgg/edit?usp=sharing"",""พรบ!AG32"")"),4)</f>
        <v>4</v>
      </c>
      <c r="J83" s="68">
        <v>0</v>
      </c>
      <c r="K83" s="49">
        <f ca="1">IF(I83&gt;0,J83*100/I83,0)</f>
        <v>0</v>
      </c>
      <c r="L83" s="61"/>
      <c r="M83" s="61"/>
      <c r="N83" s="61"/>
    </row>
    <row r="84" spans="1:14" ht="21.75" customHeight="1" x14ac:dyDescent="0.4">
      <c r="A84" s="55"/>
      <c r="B84" s="56"/>
      <c r="C84" s="56"/>
      <c r="D84" s="73"/>
      <c r="E84" s="75"/>
      <c r="F84" s="75" t="s">
        <v>59</v>
      </c>
      <c r="G84" s="76"/>
      <c r="H84" s="66" t="s">
        <v>16</v>
      </c>
      <c r="I84" s="67"/>
      <c r="J84" s="67">
        <f>J85+J86</f>
        <v>0</v>
      </c>
      <c r="K84" s="49"/>
      <c r="L84" s="61"/>
      <c r="M84" s="61"/>
      <c r="N84" s="61"/>
    </row>
    <row r="85" spans="1:14" ht="21.75" customHeight="1" x14ac:dyDescent="0.4">
      <c r="A85" s="55"/>
      <c r="B85" s="56"/>
      <c r="C85" s="56"/>
      <c r="D85" s="73"/>
      <c r="E85" s="75"/>
      <c r="F85" s="75"/>
      <c r="G85" s="76" t="s">
        <v>60</v>
      </c>
      <c r="H85" s="66" t="s">
        <v>16</v>
      </c>
      <c r="I85" s="67"/>
      <c r="J85" s="68">
        <v>0</v>
      </c>
      <c r="K85" s="49"/>
      <c r="L85" s="61"/>
      <c r="M85" s="61"/>
      <c r="N85" s="61"/>
    </row>
    <row r="86" spans="1:14" ht="21.75" customHeight="1" x14ac:dyDescent="0.4">
      <c r="A86" s="55"/>
      <c r="B86" s="56"/>
      <c r="C86" s="56"/>
      <c r="D86" s="73"/>
      <c r="E86" s="75"/>
      <c r="F86" s="75"/>
      <c r="G86" s="76" t="s">
        <v>61</v>
      </c>
      <c r="H86" s="66" t="s">
        <v>16</v>
      </c>
      <c r="I86" s="67"/>
      <c r="J86" s="68">
        <v>0</v>
      </c>
      <c r="K86" s="49"/>
      <c r="L86" s="61"/>
      <c r="M86" s="61"/>
      <c r="N86" s="61"/>
    </row>
    <row r="87" spans="1:14" ht="21.75" customHeight="1" x14ac:dyDescent="0.4">
      <c r="A87" s="55"/>
      <c r="B87" s="56"/>
      <c r="C87" s="56"/>
      <c r="D87" s="73"/>
      <c r="E87" s="74" t="s">
        <v>35</v>
      </c>
      <c r="F87" s="75"/>
      <c r="G87" s="76"/>
      <c r="H87" s="66"/>
      <c r="I87" s="67"/>
      <c r="J87" s="68">
        <v>0</v>
      </c>
      <c r="K87" s="49"/>
      <c r="L87" s="61"/>
      <c r="M87" s="61"/>
      <c r="N87" s="61"/>
    </row>
    <row r="88" spans="1:14" ht="21.75" customHeight="1" x14ac:dyDescent="0.4">
      <c r="A88" s="55"/>
      <c r="B88" s="56"/>
      <c r="C88" s="56"/>
      <c r="D88" s="81">
        <v>3</v>
      </c>
      <c r="E88" s="82" t="s">
        <v>36</v>
      </c>
      <c r="F88" s="83"/>
      <c r="G88" s="84"/>
      <c r="H88" s="66"/>
      <c r="I88" s="67"/>
      <c r="J88" s="85">
        <v>0</v>
      </c>
      <c r="K88" s="49"/>
      <c r="L88" s="61"/>
      <c r="M88" s="61"/>
      <c r="N88" s="61"/>
    </row>
    <row r="89" spans="1:14" ht="21.75" customHeight="1" x14ac:dyDescent="0.4">
      <c r="A89" s="141"/>
      <c r="B89" s="142"/>
      <c r="C89" s="143" t="s">
        <v>62</v>
      </c>
      <c r="D89" s="143"/>
      <c r="E89" s="143"/>
      <c r="F89" s="143"/>
      <c r="G89" s="144"/>
      <c r="H89" s="149" t="s">
        <v>63</v>
      </c>
      <c r="I89" s="150">
        <f t="shared" ref="I89:J89" ca="1" si="21">I98</f>
        <v>3</v>
      </c>
      <c r="J89" s="150">
        <f t="shared" si="21"/>
        <v>0</v>
      </c>
      <c r="K89" s="151">
        <f ca="1">IF(I89&gt;0,J89*100/I89,0)</f>
        <v>0</v>
      </c>
      <c r="L89" s="148">
        <f ca="1">L90+L91</f>
        <v>42000</v>
      </c>
      <c r="M89" s="148">
        <f>SUM(M90:M91)</f>
        <v>0</v>
      </c>
      <c r="N89" s="148">
        <f t="shared" ref="N89:N92" ca="1" si="22">+IF(L89&gt;0,M89*100/L89,0)</f>
        <v>0</v>
      </c>
    </row>
    <row r="90" spans="1:14" ht="21.75" customHeight="1" x14ac:dyDescent="0.4">
      <c r="A90" s="42"/>
      <c r="B90" s="43"/>
      <c r="C90" s="43" t="s">
        <v>17</v>
      </c>
      <c r="D90" s="44" t="s">
        <v>18</v>
      </c>
      <c r="E90" s="45"/>
      <c r="F90" s="45"/>
      <c r="G90" s="46" t="s">
        <v>19</v>
      </c>
      <c r="H90" s="47" t="s">
        <v>20</v>
      </c>
      <c r="I90" s="48" t="s">
        <v>21</v>
      </c>
      <c r="J90" s="48"/>
      <c r="K90" s="49"/>
      <c r="L90" s="50">
        <v>0</v>
      </c>
      <c r="M90" s="50">
        <v>0</v>
      </c>
      <c r="N90" s="50">
        <f t="shared" si="22"/>
        <v>0</v>
      </c>
    </row>
    <row r="91" spans="1:14" ht="21.75" customHeight="1" x14ac:dyDescent="0.4">
      <c r="A91" s="42"/>
      <c r="B91" s="43"/>
      <c r="C91" s="43"/>
      <c r="D91" s="51"/>
      <c r="E91" s="45"/>
      <c r="F91" s="45" t="s">
        <v>21</v>
      </c>
      <c r="G91" s="46" t="s">
        <v>22</v>
      </c>
      <c r="H91" s="47" t="s">
        <v>20</v>
      </c>
      <c r="I91" s="48"/>
      <c r="J91" s="48"/>
      <c r="K91" s="49"/>
      <c r="L91" s="50">
        <f t="shared" ref="L91:M91" ca="1" si="23">L92</f>
        <v>42000</v>
      </c>
      <c r="M91" s="50">
        <f t="shared" si="23"/>
        <v>0</v>
      </c>
      <c r="N91" s="50">
        <f t="shared" ca="1" si="22"/>
        <v>0</v>
      </c>
    </row>
    <row r="92" spans="1:14" ht="21.75" customHeight="1" x14ac:dyDescent="0.4">
      <c r="A92" s="42"/>
      <c r="B92" s="43"/>
      <c r="C92" s="43"/>
      <c r="D92" s="51"/>
      <c r="E92" s="45"/>
      <c r="F92" s="45"/>
      <c r="G92" s="52" t="s">
        <v>24</v>
      </c>
      <c r="H92" s="47" t="s">
        <v>20</v>
      </c>
      <c r="I92" s="48"/>
      <c r="J92" s="48"/>
      <c r="K92" s="49"/>
      <c r="L92" s="53">
        <f ca="1">IFERROR(__xludf.DUMMYFUNCTION("IMPORTRANGE(""https://docs.google.com/spreadsheets/d/1C3CXT74ZlgGe6_JY_1olB1XN4rF0dxEuIIF-xsYjHgg/edit?usp=sharing"",""พรบ!AH32"")"),42000)</f>
        <v>42000</v>
      </c>
      <c r="M92" s="54">
        <v>0</v>
      </c>
      <c r="N92" s="53">
        <f t="shared" ca="1" si="22"/>
        <v>0</v>
      </c>
    </row>
    <row r="93" spans="1:14" ht="21.75" customHeight="1" x14ac:dyDescent="0.4">
      <c r="A93" s="55"/>
      <c r="B93" s="56"/>
      <c r="C93" s="43" t="s">
        <v>17</v>
      </c>
      <c r="D93" s="57" t="s">
        <v>25</v>
      </c>
      <c r="E93" s="58"/>
      <c r="F93" s="58"/>
      <c r="G93" s="59"/>
      <c r="H93" s="60"/>
      <c r="I93" s="48"/>
      <c r="J93" s="48"/>
      <c r="K93" s="49"/>
      <c r="L93" s="61"/>
      <c r="M93" s="61"/>
      <c r="N93" s="61"/>
    </row>
    <row r="94" spans="1:14" ht="21.75" customHeight="1" x14ac:dyDescent="0.4">
      <c r="A94" s="55"/>
      <c r="B94" s="56"/>
      <c r="C94" s="56"/>
      <c r="D94" s="62">
        <v>1</v>
      </c>
      <c r="E94" s="63" t="s">
        <v>26</v>
      </c>
      <c r="F94" s="64"/>
      <c r="G94" s="65"/>
      <c r="H94" s="66"/>
      <c r="I94" s="67"/>
      <c r="J94" s="68">
        <v>0</v>
      </c>
      <c r="K94" s="49"/>
      <c r="L94" s="61"/>
      <c r="M94" s="61"/>
      <c r="N94" s="61"/>
    </row>
    <row r="95" spans="1:14" ht="21.75" customHeight="1" x14ac:dyDescent="0.4">
      <c r="A95" s="55"/>
      <c r="B95" s="56"/>
      <c r="C95" s="56"/>
      <c r="D95" s="69">
        <v>2</v>
      </c>
      <c r="E95" s="70" t="s">
        <v>27</v>
      </c>
      <c r="F95" s="71"/>
      <c r="G95" s="72"/>
      <c r="H95" s="66"/>
      <c r="I95" s="67"/>
      <c r="J95" s="68">
        <v>0</v>
      </c>
      <c r="K95" s="49"/>
      <c r="L95" s="61" t="s">
        <v>21</v>
      </c>
      <c r="M95" s="61" t="s">
        <v>21</v>
      </c>
      <c r="N95" s="61"/>
    </row>
    <row r="96" spans="1:14" ht="21.75" customHeight="1" x14ac:dyDescent="0.4">
      <c r="A96" s="55"/>
      <c r="B96" s="56"/>
      <c r="C96" s="56"/>
      <c r="D96" s="73"/>
      <c r="E96" s="74" t="s">
        <v>28</v>
      </c>
      <c r="F96" s="75"/>
      <c r="G96" s="76"/>
      <c r="H96" s="66"/>
      <c r="I96" s="67"/>
      <c r="J96" s="68">
        <v>0</v>
      </c>
      <c r="K96" s="49"/>
      <c r="L96" s="61"/>
      <c r="M96" s="61"/>
      <c r="N96" s="61"/>
    </row>
    <row r="97" spans="1:14" ht="21.75" customHeight="1" x14ac:dyDescent="0.4">
      <c r="A97" s="55"/>
      <c r="B97" s="56"/>
      <c r="C97" s="56"/>
      <c r="D97" s="73"/>
      <c r="E97" s="74" t="s">
        <v>29</v>
      </c>
      <c r="F97" s="75"/>
      <c r="G97" s="76"/>
      <c r="H97" s="66"/>
      <c r="I97" s="67"/>
      <c r="J97" s="68">
        <v>0</v>
      </c>
      <c r="K97" s="49"/>
      <c r="L97" s="61"/>
      <c r="M97" s="61"/>
      <c r="N97" s="61"/>
    </row>
    <row r="98" spans="1:14" ht="21.75" customHeight="1" x14ac:dyDescent="0.4">
      <c r="A98" s="55"/>
      <c r="B98" s="56"/>
      <c r="C98" s="56"/>
      <c r="D98" s="73"/>
      <c r="E98" s="77"/>
      <c r="F98" s="74" t="s">
        <v>64</v>
      </c>
      <c r="G98" s="76"/>
      <c r="H98" s="60" t="s">
        <v>63</v>
      </c>
      <c r="I98" s="67">
        <f ca="1">IFERROR(__xludf.DUMMYFUNCTION("IMPORTRANGE(""https://docs.google.com/spreadsheets/d/1C3CXT74ZlgGe6_JY_1olB1XN4rF0dxEuIIF-xsYjHgg/edit?usp=sharing"",""พรบ!AI32"")"),3)</f>
        <v>3</v>
      </c>
      <c r="J98" s="68">
        <v>0</v>
      </c>
      <c r="K98" s="49">
        <f ca="1">IF(I98&gt;0,J98*100/I98,0)</f>
        <v>0</v>
      </c>
      <c r="L98" s="53">
        <f ca="1">IFERROR(__xludf.DUMMYFUNCTION("IMPORTRANGE(""https://docs.google.com/spreadsheets/d/1C3CXT74ZlgGe6_JY_1olB1XN4rF0dxEuIIF-xsYjHgg/edit?usp=sharing"",""กปร!C32"")"),36000)</f>
        <v>36000</v>
      </c>
      <c r="M98" s="359">
        <v>0</v>
      </c>
      <c r="N98" s="53">
        <f ca="1">+IF(L98&gt;0,M98*100/L98,0)</f>
        <v>0</v>
      </c>
    </row>
    <row r="99" spans="1:14" ht="21.75" customHeight="1" x14ac:dyDescent="0.4">
      <c r="A99" s="55"/>
      <c r="B99" s="56"/>
      <c r="C99" s="56"/>
      <c r="D99" s="73"/>
      <c r="E99" s="74" t="s">
        <v>35</v>
      </c>
      <c r="F99" s="75"/>
      <c r="G99" s="76"/>
      <c r="H99" s="66"/>
      <c r="I99" s="67"/>
      <c r="J99" s="68">
        <v>0</v>
      </c>
      <c r="K99" s="49"/>
      <c r="L99" s="61"/>
      <c r="M99" s="61"/>
      <c r="N99" s="61"/>
    </row>
    <row r="100" spans="1:14" ht="21.75" customHeight="1" x14ac:dyDescent="0.4">
      <c r="A100" s="55"/>
      <c r="B100" s="56"/>
      <c r="C100" s="56"/>
      <c r="D100" s="81">
        <v>3</v>
      </c>
      <c r="E100" s="82" t="s">
        <v>36</v>
      </c>
      <c r="F100" s="83"/>
      <c r="G100" s="84"/>
      <c r="H100" s="66"/>
      <c r="I100" s="67"/>
      <c r="J100" s="85">
        <v>0</v>
      </c>
      <c r="K100" s="49"/>
      <c r="L100" s="61"/>
      <c r="M100" s="61"/>
      <c r="N100" s="61"/>
    </row>
    <row r="101" spans="1:14" ht="21.75" customHeight="1" x14ac:dyDescent="0.4">
      <c r="A101" s="141"/>
      <c r="B101" s="142"/>
      <c r="C101" s="143" t="s">
        <v>65</v>
      </c>
      <c r="D101" s="143"/>
      <c r="E101" s="143"/>
      <c r="F101" s="143"/>
      <c r="G101" s="144"/>
      <c r="H101" s="149" t="s">
        <v>63</v>
      </c>
      <c r="I101" s="150">
        <f t="shared" ref="I101:J101" ca="1" si="24">I111</f>
        <v>0</v>
      </c>
      <c r="J101" s="150">
        <f t="shared" si="24"/>
        <v>0</v>
      </c>
      <c r="K101" s="151">
        <f ca="1">IF(I101&gt;0,J101*100/I101,0)</f>
        <v>0</v>
      </c>
      <c r="L101" s="148">
        <f ca="1">L102+L103</f>
        <v>0</v>
      </c>
      <c r="M101" s="148">
        <f>SUM(M102:M103)</f>
        <v>0</v>
      </c>
      <c r="N101" s="148">
        <f t="shared" ref="N101:N104" ca="1" si="25">+IF(L101&gt;0,M101*100/L101,0)</f>
        <v>0</v>
      </c>
    </row>
    <row r="102" spans="1:14" ht="21.75" customHeight="1" x14ac:dyDescent="0.4">
      <c r="A102" s="42"/>
      <c r="B102" s="43"/>
      <c r="C102" s="43" t="s">
        <v>17</v>
      </c>
      <c r="D102" s="44" t="s">
        <v>18</v>
      </c>
      <c r="E102" s="45"/>
      <c r="F102" s="45"/>
      <c r="G102" s="46" t="s">
        <v>19</v>
      </c>
      <c r="H102" s="47" t="s">
        <v>20</v>
      </c>
      <c r="I102" s="67" t="s">
        <v>21</v>
      </c>
      <c r="J102" s="67"/>
      <c r="K102" s="233"/>
      <c r="L102" s="50">
        <v>0</v>
      </c>
      <c r="M102" s="50">
        <v>0</v>
      </c>
      <c r="N102" s="50">
        <f t="shared" si="25"/>
        <v>0</v>
      </c>
    </row>
    <row r="103" spans="1:14" ht="21.75" customHeight="1" x14ac:dyDescent="0.4">
      <c r="A103" s="42"/>
      <c r="B103" s="43"/>
      <c r="C103" s="43"/>
      <c r="D103" s="51"/>
      <c r="E103" s="45"/>
      <c r="F103" s="45" t="s">
        <v>21</v>
      </c>
      <c r="G103" s="46" t="s">
        <v>22</v>
      </c>
      <c r="H103" s="47" t="s">
        <v>20</v>
      </c>
      <c r="I103" s="67"/>
      <c r="J103" s="67"/>
      <c r="K103" s="233"/>
      <c r="L103" s="50">
        <f ca="1">SUM(L104)</f>
        <v>0</v>
      </c>
      <c r="M103" s="50">
        <f>M104</f>
        <v>0</v>
      </c>
      <c r="N103" s="50">
        <f t="shared" ca="1" si="25"/>
        <v>0</v>
      </c>
    </row>
    <row r="104" spans="1:14" ht="21.75" customHeight="1" x14ac:dyDescent="0.4">
      <c r="A104" s="42"/>
      <c r="B104" s="43"/>
      <c r="C104" s="43"/>
      <c r="D104" s="51"/>
      <c r="E104" s="45"/>
      <c r="F104" s="45"/>
      <c r="G104" s="52" t="s">
        <v>24</v>
      </c>
      <c r="H104" s="47" t="s">
        <v>20</v>
      </c>
      <c r="I104" s="67"/>
      <c r="J104" s="67"/>
      <c r="K104" s="233"/>
      <c r="L104" s="53">
        <f ca="1">IFERROR(__xludf.DUMMYFUNCTION("IMPORTRANGE(""https://docs.google.com/spreadsheets/d/1C3CXT74ZlgGe6_JY_1olB1XN4rF0dxEuIIF-xsYjHgg/edit?usp=sharing"",""พรบ!AJ32"")"),0)</f>
        <v>0</v>
      </c>
      <c r="M104" s="53">
        <v>0</v>
      </c>
      <c r="N104" s="53">
        <f t="shared" ca="1" si="25"/>
        <v>0</v>
      </c>
    </row>
    <row r="105" spans="1:14" ht="21.75" customHeight="1" x14ac:dyDescent="0.4">
      <c r="A105" s="55"/>
      <c r="B105" s="56"/>
      <c r="C105" s="43" t="s">
        <v>17</v>
      </c>
      <c r="D105" s="57" t="s">
        <v>25</v>
      </c>
      <c r="E105" s="58"/>
      <c r="F105" s="58"/>
      <c r="G105" s="59"/>
      <c r="H105" s="60"/>
      <c r="I105" s="67"/>
      <c r="J105" s="67"/>
      <c r="K105" s="233"/>
      <c r="L105" s="53"/>
      <c r="M105" s="53"/>
      <c r="N105" s="53"/>
    </row>
    <row r="106" spans="1:14" ht="21.75" customHeight="1" x14ac:dyDescent="0.4">
      <c r="A106" s="55"/>
      <c r="B106" s="56"/>
      <c r="C106" s="56"/>
      <c r="D106" s="62">
        <v>1</v>
      </c>
      <c r="E106" s="63" t="s">
        <v>26</v>
      </c>
      <c r="F106" s="64"/>
      <c r="G106" s="65"/>
      <c r="H106" s="66"/>
      <c r="I106" s="67"/>
      <c r="J106" s="67">
        <v>0</v>
      </c>
      <c r="K106" s="233"/>
      <c r="L106" s="53"/>
      <c r="M106" s="53"/>
      <c r="N106" s="53"/>
    </row>
    <row r="107" spans="1:14" ht="21.75" customHeight="1" x14ac:dyDescent="0.4">
      <c r="A107" s="55"/>
      <c r="B107" s="56"/>
      <c r="C107" s="56"/>
      <c r="D107" s="69">
        <v>2</v>
      </c>
      <c r="E107" s="70" t="s">
        <v>27</v>
      </c>
      <c r="F107" s="71"/>
      <c r="G107" s="72"/>
      <c r="H107" s="66"/>
      <c r="I107" s="67"/>
      <c r="J107" s="67">
        <v>0</v>
      </c>
      <c r="K107" s="233"/>
      <c r="L107" s="53" t="s">
        <v>21</v>
      </c>
      <c r="M107" s="53" t="s">
        <v>21</v>
      </c>
      <c r="N107" s="53"/>
    </row>
    <row r="108" spans="1:14" ht="21.75" customHeight="1" x14ac:dyDescent="0.4">
      <c r="A108" s="55"/>
      <c r="B108" s="56"/>
      <c r="C108" s="56"/>
      <c r="D108" s="73"/>
      <c r="E108" s="74" t="s">
        <v>28</v>
      </c>
      <c r="F108" s="75"/>
      <c r="G108" s="76"/>
      <c r="H108" s="66"/>
      <c r="I108" s="67"/>
      <c r="J108" s="67">
        <v>0</v>
      </c>
      <c r="K108" s="233"/>
      <c r="L108" s="53"/>
      <c r="M108" s="53"/>
      <c r="N108" s="53"/>
    </row>
    <row r="109" spans="1:14" ht="21.75" customHeight="1" x14ac:dyDescent="0.4">
      <c r="A109" s="55"/>
      <c r="B109" s="56"/>
      <c r="C109" s="56"/>
      <c r="D109" s="73"/>
      <c r="E109" s="74" t="s">
        <v>29</v>
      </c>
      <c r="F109" s="75"/>
      <c r="G109" s="76"/>
      <c r="H109" s="66"/>
      <c r="I109" s="67"/>
      <c r="J109" s="67">
        <v>0</v>
      </c>
      <c r="K109" s="233"/>
      <c r="L109" s="53"/>
      <c r="M109" s="53"/>
      <c r="N109" s="53"/>
    </row>
    <row r="110" spans="1:14" ht="21.75" customHeight="1" x14ac:dyDescent="0.4">
      <c r="A110" s="55"/>
      <c r="B110" s="56"/>
      <c r="C110" s="56"/>
      <c r="D110" s="73"/>
      <c r="E110" s="77"/>
      <c r="F110" s="74" t="s">
        <v>66</v>
      </c>
      <c r="G110" s="76"/>
      <c r="H110" s="60" t="s">
        <v>63</v>
      </c>
      <c r="I110" s="67">
        <f ca="1">IFERROR(__xludf.DUMMYFUNCTION("IMPORTRANGE(""https://docs.google.com/spreadsheets/d/1C3CXT74ZlgGe6_JY_1olB1XN4rF0dxEuIIF-xsYjHgg/edit?usp=sharing"",""พรบ!AK32"")"),0)</f>
        <v>0</v>
      </c>
      <c r="J110" s="67">
        <v>0</v>
      </c>
      <c r="K110" s="233">
        <f t="shared" ref="K110:K111" ca="1" si="26">IF(I110&gt;0,J110*100/I110,0)</f>
        <v>0</v>
      </c>
      <c r="L110" s="53">
        <f ca="1">IFERROR(__xludf.DUMMYFUNCTION("IMPORTRANGE(""https://docs.google.com/spreadsheets/d/1C3CXT74ZlgGe6_JY_1olB1XN4rF0dxEuIIF-xsYjHgg/edit?usp=sharing"",""กปร!D32"")"),0)</f>
        <v>0</v>
      </c>
      <c r="M110" s="53">
        <v>0</v>
      </c>
      <c r="N110" s="53">
        <f t="shared" ref="N110:N111" ca="1" si="27">+IF(L110&gt;0,M110*100/L110,0)</f>
        <v>0</v>
      </c>
    </row>
    <row r="111" spans="1:14" ht="21.75" customHeight="1" x14ac:dyDescent="0.4">
      <c r="A111" s="55"/>
      <c r="B111" s="56"/>
      <c r="C111" s="56"/>
      <c r="D111" s="73"/>
      <c r="E111" s="77"/>
      <c r="F111" s="74" t="s">
        <v>67</v>
      </c>
      <c r="G111" s="76"/>
      <c r="H111" s="60" t="s">
        <v>63</v>
      </c>
      <c r="I111" s="67">
        <f ca="1">IFERROR(__xludf.DUMMYFUNCTION("IMPORTRANGE(""https://docs.google.com/spreadsheets/d/1C3CXT74ZlgGe6_JY_1olB1XN4rF0dxEuIIF-xsYjHgg/edit?usp=sharing"",""พรบ!AL32"")"),0)</f>
        <v>0</v>
      </c>
      <c r="J111" s="67">
        <v>0</v>
      </c>
      <c r="K111" s="233">
        <f t="shared" ca="1" si="26"/>
        <v>0</v>
      </c>
      <c r="L111" s="53">
        <f ca="1">IFERROR(__xludf.DUMMYFUNCTION("IMPORTRANGE(""https://docs.google.com/spreadsheets/d/1C3CXT74ZlgGe6_JY_1olB1XN4rF0dxEuIIF-xsYjHgg/edit?usp=sharing"",""กปร!E32"")"),0)</f>
        <v>0</v>
      </c>
      <c r="M111" s="53">
        <v>0</v>
      </c>
      <c r="N111" s="53">
        <f t="shared" ca="1" si="27"/>
        <v>0</v>
      </c>
    </row>
    <row r="112" spans="1:14" ht="21.75" customHeight="1" x14ac:dyDescent="0.4">
      <c r="A112" s="55"/>
      <c r="B112" s="56"/>
      <c r="C112" s="56"/>
      <c r="D112" s="73"/>
      <c r="E112" s="74" t="s">
        <v>35</v>
      </c>
      <c r="F112" s="75"/>
      <c r="G112" s="76"/>
      <c r="H112" s="66"/>
      <c r="I112" s="67"/>
      <c r="J112" s="67">
        <v>0</v>
      </c>
      <c r="K112" s="233"/>
      <c r="L112" s="53"/>
      <c r="M112" s="53"/>
      <c r="N112" s="53"/>
    </row>
    <row r="113" spans="1:14" ht="21.75" customHeight="1" x14ac:dyDescent="0.4">
      <c r="A113" s="55"/>
      <c r="B113" s="56"/>
      <c r="C113" s="56"/>
      <c r="D113" s="81">
        <v>3</v>
      </c>
      <c r="E113" s="82" t="s">
        <v>36</v>
      </c>
      <c r="F113" s="83"/>
      <c r="G113" s="84"/>
      <c r="H113" s="66"/>
      <c r="I113" s="67"/>
      <c r="J113" s="360">
        <v>0</v>
      </c>
      <c r="K113" s="233"/>
      <c r="L113" s="53"/>
      <c r="M113" s="53"/>
      <c r="N113" s="53"/>
    </row>
    <row r="114" spans="1:14" ht="21.75" customHeight="1" x14ac:dyDescent="0.4">
      <c r="A114" s="141"/>
      <c r="B114" s="142"/>
      <c r="C114" s="143" t="s">
        <v>68</v>
      </c>
      <c r="D114" s="143"/>
      <c r="E114" s="143"/>
      <c r="F114" s="143"/>
      <c r="G114" s="144"/>
      <c r="H114" s="152" t="s">
        <v>69</v>
      </c>
      <c r="I114" s="150">
        <f t="shared" ref="I114:J114" ca="1" si="28">I125</f>
        <v>50000</v>
      </c>
      <c r="J114" s="150">
        <f t="shared" si="28"/>
        <v>0</v>
      </c>
      <c r="K114" s="151">
        <f ca="1">IF(I114&gt;0,J114*100/I114,0)</f>
        <v>0</v>
      </c>
      <c r="L114" s="148">
        <f ca="1">L115+L116</f>
        <v>19500</v>
      </c>
      <c r="M114" s="148">
        <f>SUM(M115:M116)</f>
        <v>0</v>
      </c>
      <c r="N114" s="148">
        <f t="shared" ref="N114:N117" ca="1" si="29">+IF(L114&gt;0,M114*100/L114,0)</f>
        <v>0</v>
      </c>
    </row>
    <row r="115" spans="1:14" ht="21.75" customHeight="1" x14ac:dyDescent="0.4">
      <c r="A115" s="42"/>
      <c r="B115" s="43"/>
      <c r="C115" s="43" t="s">
        <v>17</v>
      </c>
      <c r="D115" s="44" t="s">
        <v>18</v>
      </c>
      <c r="E115" s="45"/>
      <c r="F115" s="45"/>
      <c r="G115" s="46" t="s">
        <v>19</v>
      </c>
      <c r="H115" s="47" t="s">
        <v>20</v>
      </c>
      <c r="I115" s="48" t="s">
        <v>21</v>
      </c>
      <c r="J115" s="48"/>
      <c r="K115" s="49"/>
      <c r="L115" s="50">
        <v>0</v>
      </c>
      <c r="M115" s="50">
        <v>0</v>
      </c>
      <c r="N115" s="50">
        <f t="shared" si="29"/>
        <v>0</v>
      </c>
    </row>
    <row r="116" spans="1:14" ht="21.75" customHeight="1" x14ac:dyDescent="0.4">
      <c r="A116" s="42"/>
      <c r="B116" s="43"/>
      <c r="C116" s="43"/>
      <c r="D116" s="51"/>
      <c r="E116" s="45"/>
      <c r="F116" s="45" t="s">
        <v>21</v>
      </c>
      <c r="G116" s="46" t="s">
        <v>22</v>
      </c>
      <c r="H116" s="47" t="s">
        <v>20</v>
      </c>
      <c r="I116" s="48"/>
      <c r="J116" s="48"/>
      <c r="K116" s="49"/>
      <c r="L116" s="50">
        <f ca="1">SUM(L117)</f>
        <v>19500</v>
      </c>
      <c r="M116" s="50">
        <f>M117</f>
        <v>0</v>
      </c>
      <c r="N116" s="50">
        <f t="shared" ca="1" si="29"/>
        <v>0</v>
      </c>
    </row>
    <row r="117" spans="1:14" ht="21.75" customHeight="1" x14ac:dyDescent="0.4">
      <c r="A117" s="42"/>
      <c r="B117" s="43"/>
      <c r="C117" s="43"/>
      <c r="D117" s="51"/>
      <c r="E117" s="45"/>
      <c r="F117" s="45"/>
      <c r="G117" s="52" t="s">
        <v>24</v>
      </c>
      <c r="H117" s="47" t="s">
        <v>20</v>
      </c>
      <c r="I117" s="48"/>
      <c r="J117" s="48"/>
      <c r="K117" s="49"/>
      <c r="L117" s="53">
        <f ca="1">IFERROR(__xludf.DUMMYFUNCTION("IMPORTRANGE(""https://docs.google.com/spreadsheets/d/1C3CXT74ZlgGe6_JY_1olB1XN4rF0dxEuIIF-xsYjHgg/edit?usp=sharing"",""พรบ!AM32"")"),19500)</f>
        <v>19500</v>
      </c>
      <c r="M117" s="54">
        <v>0</v>
      </c>
      <c r="N117" s="53">
        <f t="shared" ca="1" si="29"/>
        <v>0</v>
      </c>
    </row>
    <row r="118" spans="1:14" ht="21.75" customHeight="1" x14ac:dyDescent="0.4">
      <c r="A118" s="55"/>
      <c r="B118" s="56"/>
      <c r="C118" s="43" t="s">
        <v>17</v>
      </c>
      <c r="D118" s="57" t="s">
        <v>25</v>
      </c>
      <c r="E118" s="58"/>
      <c r="F118" s="58"/>
      <c r="G118" s="59"/>
      <c r="H118" s="60"/>
      <c r="I118" s="48"/>
      <c r="J118" s="48"/>
      <c r="K118" s="49"/>
      <c r="L118" s="61"/>
      <c r="M118" s="61"/>
      <c r="N118" s="61"/>
    </row>
    <row r="119" spans="1:14" ht="21.75" customHeight="1" x14ac:dyDescent="0.4">
      <c r="A119" s="55"/>
      <c r="B119" s="56"/>
      <c r="C119" s="56"/>
      <c r="D119" s="62">
        <v>1</v>
      </c>
      <c r="E119" s="63" t="s">
        <v>26</v>
      </c>
      <c r="F119" s="64"/>
      <c r="G119" s="65"/>
      <c r="H119" s="66"/>
      <c r="I119" s="67"/>
      <c r="J119" s="68">
        <v>0</v>
      </c>
      <c r="K119" s="49"/>
      <c r="L119" s="61"/>
      <c r="M119" s="61"/>
      <c r="N119" s="61"/>
    </row>
    <row r="120" spans="1:14" ht="21.75" customHeight="1" x14ac:dyDescent="0.4">
      <c r="A120" s="55"/>
      <c r="B120" s="56"/>
      <c r="C120" s="56"/>
      <c r="D120" s="69">
        <v>2</v>
      </c>
      <c r="E120" s="70" t="s">
        <v>27</v>
      </c>
      <c r="F120" s="71"/>
      <c r="G120" s="72"/>
      <c r="H120" s="66"/>
      <c r="I120" s="67"/>
      <c r="J120" s="68">
        <v>0</v>
      </c>
      <c r="K120" s="49"/>
      <c r="L120" s="61" t="s">
        <v>21</v>
      </c>
      <c r="M120" s="61" t="s">
        <v>21</v>
      </c>
      <c r="N120" s="61"/>
    </row>
    <row r="121" spans="1:14" ht="21.75" customHeight="1" x14ac:dyDescent="0.4">
      <c r="A121" s="55"/>
      <c r="B121" s="56"/>
      <c r="C121" s="56"/>
      <c r="D121" s="73"/>
      <c r="E121" s="74" t="s">
        <v>28</v>
      </c>
      <c r="F121" s="75"/>
      <c r="G121" s="76"/>
      <c r="H121" s="66"/>
      <c r="I121" s="67"/>
      <c r="J121" s="68">
        <v>0</v>
      </c>
      <c r="K121" s="49"/>
      <c r="L121" s="61"/>
      <c r="M121" s="61"/>
      <c r="N121" s="61"/>
    </row>
    <row r="122" spans="1:14" ht="21.75" customHeight="1" x14ac:dyDescent="0.4">
      <c r="A122" s="55"/>
      <c r="B122" s="56"/>
      <c r="C122" s="56"/>
      <c r="D122" s="73"/>
      <c r="E122" s="74" t="s">
        <v>29</v>
      </c>
      <c r="F122" s="75"/>
      <c r="G122" s="76"/>
      <c r="H122" s="66"/>
      <c r="I122" s="67"/>
      <c r="J122" s="68">
        <v>0</v>
      </c>
      <c r="K122" s="49"/>
      <c r="L122" s="61"/>
      <c r="M122" s="61"/>
      <c r="N122" s="61"/>
    </row>
    <row r="123" spans="1:14" ht="21.75" customHeight="1" x14ac:dyDescent="0.4">
      <c r="A123" s="55"/>
      <c r="B123" s="56"/>
      <c r="C123" s="56"/>
      <c r="D123" s="73"/>
      <c r="E123" s="75"/>
      <c r="F123" s="75" t="s">
        <v>70</v>
      </c>
      <c r="G123" s="76"/>
      <c r="H123" s="60"/>
      <c r="I123" s="67"/>
      <c r="J123" s="67"/>
      <c r="K123" s="49"/>
      <c r="L123" s="61"/>
      <c r="M123" s="61"/>
      <c r="N123" s="61"/>
    </row>
    <row r="124" spans="1:14" ht="21.75" customHeight="1" x14ac:dyDescent="0.4">
      <c r="A124" s="55"/>
      <c r="B124" s="56"/>
      <c r="C124" s="56"/>
      <c r="D124" s="73"/>
      <c r="E124" s="77"/>
      <c r="F124" s="75"/>
      <c r="G124" s="74" t="s">
        <v>71</v>
      </c>
      <c r="H124" s="60" t="s">
        <v>69</v>
      </c>
      <c r="I124" s="67">
        <f ca="1">IFERROR(__xludf.DUMMYFUNCTION("IMPORTRANGE(""https://docs.google.com/spreadsheets/d/1C3CXT74ZlgGe6_JY_1olB1XN4rF0dxEuIIF-xsYjHgg/edit?usp=sharing"",""พรบ!AO32"")"),50000)</f>
        <v>50000</v>
      </c>
      <c r="J124" s="68">
        <v>0</v>
      </c>
      <c r="K124" s="49">
        <f t="shared" ref="K124:K126" ca="1" si="30">IF(I124&gt;0,J124*100/I124,0)</f>
        <v>0</v>
      </c>
      <c r="L124" s="61"/>
      <c r="M124" s="61"/>
      <c r="N124" s="61"/>
    </row>
    <row r="125" spans="1:14" ht="21.75" customHeight="1" x14ac:dyDescent="0.4">
      <c r="A125" s="55"/>
      <c r="B125" s="56"/>
      <c r="C125" s="56"/>
      <c r="D125" s="73"/>
      <c r="E125" s="77"/>
      <c r="F125" s="75"/>
      <c r="G125" s="74" t="s">
        <v>72</v>
      </c>
      <c r="H125" s="60" t="s">
        <v>69</v>
      </c>
      <c r="I125" s="67">
        <f ca="1">IFERROR(__xludf.DUMMYFUNCTION("IMPORTRANGE(""https://docs.google.com/spreadsheets/d/1C3CXT74ZlgGe6_JY_1olB1XN4rF0dxEuIIF-xsYjHgg/edit?usp=sharing"",""พรบ!AP32"")"),50000)</f>
        <v>50000</v>
      </c>
      <c r="J125" s="68">
        <v>0</v>
      </c>
      <c r="K125" s="49">
        <f t="shared" ca="1" si="30"/>
        <v>0</v>
      </c>
      <c r="L125" s="53">
        <f ca="1">IFERROR(__xludf.DUMMYFUNCTION("IMPORTRANGE(""https://docs.google.com/spreadsheets/d/1C3CXT74ZlgGe6_JY_1olB1XN4rF0dxEuIIF-xsYjHgg/edit?usp=sharing"",""กปร!F32"")"),13500)</f>
        <v>13500</v>
      </c>
      <c r="M125" s="359">
        <v>0</v>
      </c>
      <c r="N125" s="53">
        <f t="shared" ref="N125:N126" ca="1" si="31">+IF(L125&gt;0,M125*100/L125,0)</f>
        <v>0</v>
      </c>
    </row>
    <row r="126" spans="1:14" ht="21.75" customHeight="1" x14ac:dyDescent="0.4">
      <c r="A126" s="55"/>
      <c r="B126" s="56"/>
      <c r="C126" s="56"/>
      <c r="D126" s="73"/>
      <c r="E126" s="77"/>
      <c r="F126" s="75" t="s">
        <v>73</v>
      </c>
      <c r="G126" s="76"/>
      <c r="H126" s="60" t="s">
        <v>16</v>
      </c>
      <c r="I126" s="67">
        <f ca="1">IFERROR(__xludf.DUMMYFUNCTION("IMPORTRANGE(""https://docs.google.com/spreadsheets/d/1C3CXT74ZlgGe6_JY_1olB1XN4rF0dxEuIIF-xsYjHgg/edit?usp=sharing"",""พรบ!AQ32"")"),0)</f>
        <v>0</v>
      </c>
      <c r="J126" s="68">
        <v>0</v>
      </c>
      <c r="K126" s="49">
        <f t="shared" ca="1" si="30"/>
        <v>0</v>
      </c>
      <c r="L126" s="53">
        <f ca="1">IFERROR(__xludf.DUMMYFUNCTION("IMPORTRANGE(""https://docs.google.com/spreadsheets/d/1C3CXT74ZlgGe6_JY_1olB1XN4rF0dxEuIIF-xsYjHgg/edit?usp=sharing"",""กปร!G32"")"),0)</f>
        <v>0</v>
      </c>
      <c r="M126" s="53">
        <v>0</v>
      </c>
      <c r="N126" s="53">
        <f t="shared" ca="1" si="31"/>
        <v>0</v>
      </c>
    </row>
    <row r="127" spans="1:14" ht="21.75" customHeight="1" x14ac:dyDescent="0.4">
      <c r="A127" s="55"/>
      <c r="B127" s="56"/>
      <c r="C127" s="56"/>
      <c r="D127" s="73"/>
      <c r="E127" s="74" t="s">
        <v>35</v>
      </c>
      <c r="F127" s="75"/>
      <c r="G127" s="76"/>
      <c r="H127" s="66"/>
      <c r="I127" s="67"/>
      <c r="J127" s="68">
        <v>0</v>
      </c>
      <c r="K127" s="49"/>
      <c r="L127" s="61"/>
      <c r="M127" s="61"/>
      <c r="N127" s="61"/>
    </row>
    <row r="128" spans="1:14" ht="21.75" customHeight="1" x14ac:dyDescent="0.4">
      <c r="A128" s="105"/>
      <c r="B128" s="106"/>
      <c r="C128" s="106"/>
      <c r="D128" s="107">
        <v>3</v>
      </c>
      <c r="E128" s="108" t="s">
        <v>36</v>
      </c>
      <c r="F128" s="109"/>
      <c r="G128" s="110"/>
      <c r="H128" s="111"/>
      <c r="I128" s="112"/>
      <c r="J128" s="113">
        <v>0</v>
      </c>
      <c r="K128" s="114"/>
      <c r="L128" s="115"/>
      <c r="M128" s="115"/>
      <c r="N128" s="115"/>
    </row>
    <row r="129" spans="1:14" ht="21.75" customHeight="1" x14ac:dyDescent="0.4">
      <c r="A129" s="141"/>
      <c r="B129" s="142"/>
      <c r="C129" s="153" t="s">
        <v>74</v>
      </c>
      <c r="D129" s="143"/>
      <c r="E129" s="143"/>
      <c r="F129" s="143"/>
      <c r="G129" s="144"/>
      <c r="H129" s="152" t="s">
        <v>16</v>
      </c>
      <c r="I129" s="150">
        <f t="shared" ref="I129:J129" ca="1" si="32">I138</f>
        <v>0</v>
      </c>
      <c r="J129" s="150">
        <f t="shared" si="32"/>
        <v>0</v>
      </c>
      <c r="K129" s="151">
        <f ca="1">IF(I129&gt;0,J129*100/I129,0)</f>
        <v>0</v>
      </c>
      <c r="L129" s="148">
        <f ca="1">L130+L131</f>
        <v>0</v>
      </c>
      <c r="M129" s="148">
        <f>SUM(M130:M131)</f>
        <v>0</v>
      </c>
      <c r="N129" s="148">
        <f t="shared" ref="N129:N132" ca="1" si="33">+IF(L129&gt;0,M129*100/L129,0)</f>
        <v>0</v>
      </c>
    </row>
    <row r="130" spans="1:14" ht="21.75" customHeight="1" x14ac:dyDescent="0.4">
      <c r="A130" s="42"/>
      <c r="B130" s="43"/>
      <c r="C130" s="43" t="s">
        <v>17</v>
      </c>
      <c r="D130" s="44" t="s">
        <v>18</v>
      </c>
      <c r="E130" s="45"/>
      <c r="F130" s="45"/>
      <c r="G130" s="46" t="s">
        <v>19</v>
      </c>
      <c r="H130" s="47" t="s">
        <v>20</v>
      </c>
      <c r="I130" s="67" t="s">
        <v>21</v>
      </c>
      <c r="J130" s="67"/>
      <c r="K130" s="233"/>
      <c r="L130" s="50">
        <v>0</v>
      </c>
      <c r="M130" s="50">
        <v>0</v>
      </c>
      <c r="N130" s="50">
        <f t="shared" si="33"/>
        <v>0</v>
      </c>
    </row>
    <row r="131" spans="1:14" ht="21.75" customHeight="1" x14ac:dyDescent="0.4">
      <c r="A131" s="42"/>
      <c r="B131" s="43"/>
      <c r="C131" s="43"/>
      <c r="D131" s="51"/>
      <c r="E131" s="45"/>
      <c r="F131" s="45" t="s">
        <v>21</v>
      </c>
      <c r="G131" s="46" t="s">
        <v>22</v>
      </c>
      <c r="H131" s="47" t="s">
        <v>20</v>
      </c>
      <c r="I131" s="67"/>
      <c r="J131" s="67"/>
      <c r="K131" s="233"/>
      <c r="L131" s="50">
        <f ca="1">SUM(L132)</f>
        <v>0</v>
      </c>
      <c r="M131" s="50">
        <f>M132</f>
        <v>0</v>
      </c>
      <c r="N131" s="50">
        <f t="shared" ca="1" si="33"/>
        <v>0</v>
      </c>
    </row>
    <row r="132" spans="1:14" ht="21.75" customHeight="1" x14ac:dyDescent="0.4">
      <c r="A132" s="42"/>
      <c r="B132" s="43"/>
      <c r="C132" s="43"/>
      <c r="D132" s="51"/>
      <c r="E132" s="45"/>
      <c r="F132" s="45"/>
      <c r="G132" s="52" t="s">
        <v>24</v>
      </c>
      <c r="H132" s="47" t="s">
        <v>20</v>
      </c>
      <c r="I132" s="67"/>
      <c r="J132" s="67"/>
      <c r="K132" s="233"/>
      <c r="L132" s="53">
        <f ca="1">IFERROR(__xludf.DUMMYFUNCTION("IMPORTRANGE(""https://docs.google.com/spreadsheets/d/1C3CXT74ZlgGe6_JY_1olB1XN4rF0dxEuIIF-xsYjHgg/edit?usp=sharing"",""พรบ!AR32"")"),0)</f>
        <v>0</v>
      </c>
      <c r="M132" s="53">
        <v>0</v>
      </c>
      <c r="N132" s="53">
        <f t="shared" ca="1" si="33"/>
        <v>0</v>
      </c>
    </row>
    <row r="133" spans="1:14" ht="21.75" customHeight="1" x14ac:dyDescent="0.4">
      <c r="A133" s="55"/>
      <c r="B133" s="56"/>
      <c r="C133" s="43" t="s">
        <v>17</v>
      </c>
      <c r="D133" s="57" t="s">
        <v>25</v>
      </c>
      <c r="E133" s="58"/>
      <c r="F133" s="58"/>
      <c r="G133" s="59"/>
      <c r="H133" s="60"/>
      <c r="I133" s="67"/>
      <c r="J133" s="67"/>
      <c r="K133" s="233"/>
      <c r="L133" s="53"/>
      <c r="M133" s="53"/>
      <c r="N133" s="53"/>
    </row>
    <row r="134" spans="1:14" ht="21.75" customHeight="1" x14ac:dyDescent="0.4">
      <c r="A134" s="55"/>
      <c r="B134" s="56"/>
      <c r="C134" s="56"/>
      <c r="D134" s="62">
        <v>1</v>
      </c>
      <c r="E134" s="63" t="s">
        <v>26</v>
      </c>
      <c r="F134" s="64"/>
      <c r="G134" s="65"/>
      <c r="H134" s="66"/>
      <c r="I134" s="67"/>
      <c r="J134" s="67">
        <v>0</v>
      </c>
      <c r="K134" s="233"/>
      <c r="L134" s="53"/>
      <c r="M134" s="53"/>
      <c r="N134" s="53"/>
    </row>
    <row r="135" spans="1:14" ht="21.75" customHeight="1" x14ac:dyDescent="0.4">
      <c r="A135" s="55"/>
      <c r="B135" s="56"/>
      <c r="C135" s="56"/>
      <c r="D135" s="69">
        <v>2</v>
      </c>
      <c r="E135" s="70" t="s">
        <v>27</v>
      </c>
      <c r="F135" s="71"/>
      <c r="G135" s="72"/>
      <c r="H135" s="66"/>
      <c r="I135" s="67"/>
      <c r="J135" s="67">
        <v>0</v>
      </c>
      <c r="K135" s="233"/>
      <c r="L135" s="53" t="s">
        <v>21</v>
      </c>
      <c r="M135" s="53" t="s">
        <v>21</v>
      </c>
      <c r="N135" s="53"/>
    </row>
    <row r="136" spans="1:14" ht="21.75" customHeight="1" x14ac:dyDescent="0.4">
      <c r="A136" s="55"/>
      <c r="B136" s="56"/>
      <c r="C136" s="56"/>
      <c r="D136" s="73"/>
      <c r="E136" s="74" t="s">
        <v>28</v>
      </c>
      <c r="F136" s="75"/>
      <c r="G136" s="76"/>
      <c r="H136" s="66"/>
      <c r="I136" s="67"/>
      <c r="J136" s="67">
        <v>0</v>
      </c>
      <c r="K136" s="233"/>
      <c r="L136" s="53"/>
      <c r="M136" s="53"/>
      <c r="N136" s="53"/>
    </row>
    <row r="137" spans="1:14" ht="21.75" customHeight="1" x14ac:dyDescent="0.4">
      <c r="A137" s="55"/>
      <c r="B137" s="56"/>
      <c r="C137" s="56"/>
      <c r="D137" s="73"/>
      <c r="E137" s="74" t="s">
        <v>29</v>
      </c>
      <c r="F137" s="75"/>
      <c r="G137" s="76"/>
      <c r="H137" s="66"/>
      <c r="I137" s="67"/>
      <c r="J137" s="67">
        <v>0</v>
      </c>
      <c r="K137" s="233"/>
      <c r="L137" s="53"/>
      <c r="M137" s="53"/>
      <c r="N137" s="53"/>
    </row>
    <row r="138" spans="1:14" ht="21.75" customHeight="1" x14ac:dyDescent="0.4">
      <c r="A138" s="55"/>
      <c r="B138" s="56"/>
      <c r="C138" s="56"/>
      <c r="D138" s="73"/>
      <c r="E138" s="77"/>
      <c r="F138" s="75" t="s">
        <v>75</v>
      </c>
      <c r="G138" s="76"/>
      <c r="H138" s="60" t="s">
        <v>16</v>
      </c>
      <c r="I138" s="67">
        <f ca="1">IFERROR(__xludf.DUMMYFUNCTION("IMPORTRANGE(""https://docs.google.com/spreadsheets/d/1C3CXT74ZlgGe6_JY_1olB1XN4rF0dxEuIIF-xsYjHgg/edit?usp=sharing"",""พรบ!AS32"")"),0)</f>
        <v>0</v>
      </c>
      <c r="J138" s="67">
        <v>0</v>
      </c>
      <c r="K138" s="233">
        <f ca="1">IF(I138&gt;0,J138*100/I138,0)</f>
        <v>0</v>
      </c>
      <c r="L138" s="53">
        <f ca="1">IFERROR(__xludf.DUMMYFUNCTION("IMPORTRANGE(""https://docs.google.com/spreadsheets/d/1C3CXT74ZlgGe6_JY_1olB1XN4rF0dxEuIIF-xsYjHgg/edit?usp=sharing"",""กปร!H32"")"),0)</f>
        <v>0</v>
      </c>
      <c r="M138" s="53">
        <v>0</v>
      </c>
      <c r="N138" s="53">
        <f ca="1">+IF(L138&gt;0,M138*100/L138,0)</f>
        <v>0</v>
      </c>
    </row>
    <row r="139" spans="1:14" ht="21.75" customHeight="1" x14ac:dyDescent="0.4">
      <c r="A139" s="55"/>
      <c r="B139" s="56"/>
      <c r="C139" s="56"/>
      <c r="D139" s="73"/>
      <c r="E139" s="77"/>
      <c r="F139" s="74" t="s">
        <v>34</v>
      </c>
      <c r="G139" s="76"/>
      <c r="H139" s="60"/>
      <c r="I139" s="67"/>
      <c r="J139" s="67"/>
      <c r="K139" s="233"/>
      <c r="L139" s="53"/>
      <c r="M139" s="53"/>
      <c r="N139" s="53"/>
    </row>
    <row r="140" spans="1:14" ht="21.75" customHeight="1" x14ac:dyDescent="0.4">
      <c r="A140" s="55"/>
      <c r="B140" s="56"/>
      <c r="C140" s="56"/>
      <c r="D140" s="73"/>
      <c r="E140" s="77"/>
      <c r="F140" s="75"/>
      <c r="G140" s="99" t="s">
        <v>76</v>
      </c>
      <c r="H140" s="60" t="s">
        <v>16</v>
      </c>
      <c r="I140" s="67">
        <f ca="1">IFERROR(__xludf.DUMMYFUNCTION("IMPORTRANGE(""https://docs.google.com/spreadsheets/d/1C3CXT74ZlgGe6_JY_1olB1XN4rF0dxEuIIF-xsYjHgg/edit?usp=sharing"",""พรบ!AT32"")"),0)</f>
        <v>0</v>
      </c>
      <c r="J140" s="67">
        <v>0</v>
      </c>
      <c r="K140" s="233">
        <f t="shared" ref="K140:K141" ca="1" si="34">IF(I140&gt;0,J140*100/I140,0)</f>
        <v>0</v>
      </c>
      <c r="L140" s="53">
        <f ca="1">IFERROR(__xludf.DUMMYFUNCTION("IMPORTRANGE(""https://docs.google.com/spreadsheets/d/1C3CXT74ZlgGe6_JY_1olB1XN4rF0dxEuIIF-xsYjHgg/edit?usp=sharing"",""กปร!I32"")"),0)</f>
        <v>0</v>
      </c>
      <c r="M140" s="53">
        <v>0</v>
      </c>
      <c r="N140" s="53">
        <f t="shared" ref="N140:N141" ca="1" si="35">+IF(L140&gt;0,M140*100/L140,0)</f>
        <v>0</v>
      </c>
    </row>
    <row r="141" spans="1:14" ht="21.75" customHeight="1" x14ac:dyDescent="0.4">
      <c r="A141" s="55"/>
      <c r="B141" s="56"/>
      <c r="C141" s="56"/>
      <c r="D141" s="73"/>
      <c r="E141" s="77"/>
      <c r="F141" s="75"/>
      <c r="G141" s="99" t="s">
        <v>77</v>
      </c>
      <c r="H141" s="60" t="s">
        <v>40</v>
      </c>
      <c r="I141" s="67">
        <f ca="1">IFERROR(__xludf.DUMMYFUNCTION("IMPORTRANGE(""https://docs.google.com/spreadsheets/d/1C3CXT74ZlgGe6_JY_1olB1XN4rF0dxEuIIF-xsYjHgg/edit?usp=sharing"",""พรบ!AU32"")"),0)</f>
        <v>0</v>
      </c>
      <c r="J141" s="67">
        <v>0</v>
      </c>
      <c r="K141" s="233">
        <f t="shared" ca="1" si="34"/>
        <v>0</v>
      </c>
      <c r="L141" s="53">
        <f ca="1">IFERROR(__xludf.DUMMYFUNCTION("IMPORTRANGE(""https://docs.google.com/spreadsheets/d/1C3CXT74ZlgGe6_JY_1olB1XN4rF0dxEuIIF-xsYjHgg/edit?usp=sharing"",""กปร!J32"")"),0)</f>
        <v>0</v>
      </c>
      <c r="M141" s="53">
        <v>0</v>
      </c>
      <c r="N141" s="53">
        <f t="shared" ca="1" si="35"/>
        <v>0</v>
      </c>
    </row>
    <row r="142" spans="1:14" ht="21.75" customHeight="1" x14ac:dyDescent="0.4">
      <c r="A142" s="55"/>
      <c r="B142" s="56"/>
      <c r="C142" s="56"/>
      <c r="D142" s="73"/>
      <c r="E142" s="74" t="s">
        <v>35</v>
      </c>
      <c r="F142" s="75"/>
      <c r="G142" s="76"/>
      <c r="H142" s="66"/>
      <c r="I142" s="67"/>
      <c r="J142" s="67">
        <v>0</v>
      </c>
      <c r="K142" s="233"/>
      <c r="L142" s="53"/>
      <c r="M142" s="53"/>
      <c r="N142" s="53"/>
    </row>
    <row r="143" spans="1:14" ht="21.75" customHeight="1" x14ac:dyDescent="0.4">
      <c r="A143" s="105"/>
      <c r="B143" s="106"/>
      <c r="C143" s="106"/>
      <c r="D143" s="107">
        <v>3</v>
      </c>
      <c r="E143" s="108" t="s">
        <v>36</v>
      </c>
      <c r="F143" s="109"/>
      <c r="G143" s="110"/>
      <c r="H143" s="111"/>
      <c r="I143" s="112"/>
      <c r="J143" s="356">
        <v>0</v>
      </c>
      <c r="K143" s="357"/>
      <c r="L143" s="358"/>
      <c r="M143" s="358"/>
      <c r="N143" s="358"/>
    </row>
    <row r="144" spans="1:14" ht="21.75" customHeight="1" x14ac:dyDescent="0.4">
      <c r="A144" s="132"/>
      <c r="B144" s="133" t="s">
        <v>78</v>
      </c>
      <c r="C144" s="134"/>
      <c r="D144" s="133"/>
      <c r="E144" s="133"/>
      <c r="F144" s="133"/>
      <c r="G144" s="135"/>
      <c r="H144" s="136" t="s">
        <v>16</v>
      </c>
      <c r="I144" s="137">
        <f t="shared" ref="I144:J144" ca="1" si="36">+I149+I158</f>
        <v>15</v>
      </c>
      <c r="J144" s="137">
        <f t="shared" si="36"/>
        <v>0</v>
      </c>
      <c r="K144" s="138">
        <f ca="1">IF(I144&gt;0,J144*100/I144,0)</f>
        <v>0</v>
      </c>
      <c r="L144" s="139">
        <f ca="1">L145+L146</f>
        <v>21125</v>
      </c>
      <c r="M144" s="139">
        <f>SUM(M145:M146)</f>
        <v>0</v>
      </c>
      <c r="N144" s="138">
        <f ca="1">IF(L144&gt;0,M144*100/L144,0)</f>
        <v>0</v>
      </c>
    </row>
    <row r="145" spans="1:14" ht="21.75" customHeight="1" x14ac:dyDescent="0.4">
      <c r="A145" s="42"/>
      <c r="B145" s="43"/>
      <c r="C145" s="43" t="s">
        <v>17</v>
      </c>
      <c r="D145" s="44" t="s">
        <v>18</v>
      </c>
      <c r="E145" s="45"/>
      <c r="F145" s="45"/>
      <c r="G145" s="46" t="s">
        <v>19</v>
      </c>
      <c r="H145" s="47" t="s">
        <v>20</v>
      </c>
      <c r="I145" s="48" t="s">
        <v>21</v>
      </c>
      <c r="J145" s="48"/>
      <c r="K145" s="49"/>
      <c r="L145" s="50">
        <v>0</v>
      </c>
      <c r="M145" s="50">
        <v>0</v>
      </c>
      <c r="N145" s="50">
        <f t="shared" ref="N145:N148" si="37">+IF(L145&gt;0,M145*100/L145,0)</f>
        <v>0</v>
      </c>
    </row>
    <row r="146" spans="1:14" ht="21.75" customHeight="1" x14ac:dyDescent="0.4">
      <c r="A146" s="42"/>
      <c r="B146" s="43"/>
      <c r="C146" s="43"/>
      <c r="D146" s="51"/>
      <c r="E146" s="45"/>
      <c r="F146" s="45" t="s">
        <v>21</v>
      </c>
      <c r="G146" s="46" t="s">
        <v>22</v>
      </c>
      <c r="H146" s="47" t="s">
        <v>20</v>
      </c>
      <c r="I146" s="48"/>
      <c r="J146" s="48"/>
      <c r="K146" s="49"/>
      <c r="L146" s="50">
        <f t="shared" ref="L146:M146" ca="1" si="38">SUM(L147:L148)</f>
        <v>21125</v>
      </c>
      <c r="M146" s="50">
        <f t="shared" si="38"/>
        <v>0</v>
      </c>
      <c r="N146" s="50">
        <f t="shared" ca="1" si="37"/>
        <v>0</v>
      </c>
    </row>
    <row r="147" spans="1:14" ht="21.75" customHeight="1" x14ac:dyDescent="0.4">
      <c r="A147" s="42"/>
      <c r="B147" s="43"/>
      <c r="C147" s="43"/>
      <c r="D147" s="51"/>
      <c r="E147" s="45"/>
      <c r="F147" s="45"/>
      <c r="G147" s="52" t="s">
        <v>23</v>
      </c>
      <c r="H147" s="47" t="s">
        <v>20</v>
      </c>
      <c r="I147" s="48"/>
      <c r="J147" s="48"/>
      <c r="K147" s="49"/>
      <c r="L147" s="53">
        <v>0</v>
      </c>
      <c r="M147" s="53">
        <v>0</v>
      </c>
      <c r="N147" s="53">
        <f t="shared" si="37"/>
        <v>0</v>
      </c>
    </row>
    <row r="148" spans="1:14" ht="21.75" customHeight="1" x14ac:dyDescent="0.4">
      <c r="A148" s="42"/>
      <c r="B148" s="43"/>
      <c r="C148" s="43"/>
      <c r="D148" s="51"/>
      <c r="E148" s="45"/>
      <c r="F148" s="45"/>
      <c r="G148" s="52" t="s">
        <v>24</v>
      </c>
      <c r="H148" s="47" t="s">
        <v>20</v>
      </c>
      <c r="I148" s="48"/>
      <c r="J148" s="48"/>
      <c r="K148" s="49"/>
      <c r="L148" s="53">
        <f ca="1">IFERROR(__xludf.DUMMYFUNCTION("IMPORTRANGE(""https://docs.google.com/spreadsheets/d/1C3CXT74ZlgGe6_JY_1olB1XN4rF0dxEuIIF-xsYjHgg/edit?usp=sharing"",""พรบ!AY32"")"),21125)</f>
        <v>21125</v>
      </c>
      <c r="M148" s="54">
        <v>0</v>
      </c>
      <c r="N148" s="53">
        <f t="shared" ca="1" si="37"/>
        <v>0</v>
      </c>
    </row>
    <row r="149" spans="1:14" ht="21.75" customHeight="1" x14ac:dyDescent="0.4">
      <c r="A149" s="55"/>
      <c r="B149" s="155"/>
      <c r="C149" s="134" t="s">
        <v>79</v>
      </c>
      <c r="D149" s="133"/>
      <c r="E149" s="133"/>
      <c r="F149" s="133"/>
      <c r="G149" s="135"/>
      <c r="H149" s="136" t="s">
        <v>16</v>
      </c>
      <c r="I149" s="137">
        <f ca="1">I155</f>
        <v>15</v>
      </c>
      <c r="J149" s="137">
        <f>+J155</f>
        <v>0</v>
      </c>
      <c r="K149" s="138">
        <f ca="1">IF(I149&gt;0,J149*100/I149,0)</f>
        <v>0</v>
      </c>
      <c r="L149" s="140"/>
      <c r="M149" s="140"/>
      <c r="N149" s="140"/>
    </row>
    <row r="150" spans="1:14" ht="21.75" customHeight="1" x14ac:dyDescent="0.4">
      <c r="A150" s="55"/>
      <c r="B150" s="56"/>
      <c r="C150" s="43" t="s">
        <v>17</v>
      </c>
      <c r="D150" s="57" t="s">
        <v>25</v>
      </c>
      <c r="E150" s="58"/>
      <c r="F150" s="58"/>
      <c r="G150" s="59"/>
      <c r="H150" s="60"/>
      <c r="I150" s="48"/>
      <c r="J150" s="48"/>
      <c r="K150" s="49"/>
      <c r="L150" s="61"/>
      <c r="M150" s="61"/>
      <c r="N150" s="61"/>
    </row>
    <row r="151" spans="1:14" ht="21.75" customHeight="1" x14ac:dyDescent="0.4">
      <c r="A151" s="55"/>
      <c r="B151" s="56"/>
      <c r="C151" s="56"/>
      <c r="D151" s="62">
        <v>1</v>
      </c>
      <c r="E151" s="63" t="s">
        <v>26</v>
      </c>
      <c r="F151" s="64"/>
      <c r="G151" s="65"/>
      <c r="H151" s="66"/>
      <c r="I151" s="67"/>
      <c r="J151" s="68">
        <v>0</v>
      </c>
      <c r="K151" s="49"/>
      <c r="L151" s="61"/>
      <c r="M151" s="61"/>
      <c r="N151" s="61"/>
    </row>
    <row r="152" spans="1:14" ht="21.75" customHeight="1" x14ac:dyDescent="0.4">
      <c r="A152" s="55"/>
      <c r="B152" s="56"/>
      <c r="C152" s="56"/>
      <c r="D152" s="69">
        <v>2</v>
      </c>
      <c r="E152" s="70" t="s">
        <v>27</v>
      </c>
      <c r="F152" s="71"/>
      <c r="G152" s="72"/>
      <c r="H152" s="66"/>
      <c r="I152" s="67"/>
      <c r="J152" s="68">
        <v>0</v>
      </c>
      <c r="K152" s="49"/>
      <c r="L152" s="61" t="s">
        <v>21</v>
      </c>
      <c r="M152" s="61" t="s">
        <v>21</v>
      </c>
      <c r="N152" s="61"/>
    </row>
    <row r="153" spans="1:14" ht="21.75" customHeight="1" x14ac:dyDescent="0.4">
      <c r="A153" s="55"/>
      <c r="B153" s="56"/>
      <c r="C153" s="56"/>
      <c r="D153" s="73"/>
      <c r="E153" s="74" t="s">
        <v>28</v>
      </c>
      <c r="F153" s="75"/>
      <c r="G153" s="76"/>
      <c r="H153" s="66"/>
      <c r="I153" s="67"/>
      <c r="J153" s="68">
        <v>0</v>
      </c>
      <c r="K153" s="49"/>
      <c r="L153" s="61"/>
      <c r="M153" s="61"/>
      <c r="N153" s="61"/>
    </row>
    <row r="154" spans="1:14" ht="21.75" customHeight="1" x14ac:dyDescent="0.4">
      <c r="A154" s="55"/>
      <c r="B154" s="56"/>
      <c r="C154" s="56"/>
      <c r="D154" s="73"/>
      <c r="E154" s="74" t="s">
        <v>29</v>
      </c>
      <c r="F154" s="75"/>
      <c r="G154" s="76"/>
      <c r="H154" s="66"/>
      <c r="I154" s="67"/>
      <c r="J154" s="68">
        <v>0</v>
      </c>
      <c r="K154" s="49"/>
      <c r="L154" s="61"/>
      <c r="M154" s="61"/>
      <c r="N154" s="61"/>
    </row>
    <row r="155" spans="1:14" ht="21.75" customHeight="1" x14ac:dyDescent="0.4">
      <c r="A155" s="55"/>
      <c r="B155" s="56"/>
      <c r="C155" s="56"/>
      <c r="D155" s="73"/>
      <c r="E155" s="77"/>
      <c r="F155" s="75"/>
      <c r="G155" s="99" t="s">
        <v>50</v>
      </c>
      <c r="H155" s="66" t="s">
        <v>16</v>
      </c>
      <c r="I155" s="67">
        <f ca="1">IFERROR(__xludf.DUMMYFUNCTION("IMPORTRANGE(""https://docs.google.com/spreadsheets/d/1C3CXT74ZlgGe6_JY_1olB1XN4rF0dxEuIIF-xsYjHgg/edit?usp=sharing"",""พรบ!BA32"")"),15)</f>
        <v>15</v>
      </c>
      <c r="J155" s="68">
        <v>0</v>
      </c>
      <c r="K155" s="49">
        <f ca="1">IF(I155&gt;0,J155*100/I155,0)</f>
        <v>0</v>
      </c>
      <c r="L155" s="61"/>
      <c r="M155" s="61"/>
      <c r="N155" s="61"/>
    </row>
    <row r="156" spans="1:14" ht="21.75" customHeight="1" x14ac:dyDescent="0.4">
      <c r="A156" s="55"/>
      <c r="B156" s="56"/>
      <c r="C156" s="56"/>
      <c r="D156" s="73"/>
      <c r="E156" s="74" t="s">
        <v>35</v>
      </c>
      <c r="F156" s="75"/>
      <c r="G156" s="76"/>
      <c r="H156" s="66"/>
      <c r="I156" s="67"/>
      <c r="J156" s="68">
        <v>0</v>
      </c>
      <c r="K156" s="49"/>
      <c r="L156" s="61"/>
      <c r="M156" s="61"/>
      <c r="N156" s="61"/>
    </row>
    <row r="157" spans="1:14" ht="21.75" customHeight="1" x14ac:dyDescent="0.4">
      <c r="A157" s="55"/>
      <c r="B157" s="56"/>
      <c r="C157" s="56"/>
      <c r="D157" s="81">
        <v>3</v>
      </c>
      <c r="E157" s="82" t="s">
        <v>36</v>
      </c>
      <c r="F157" s="83"/>
      <c r="G157" s="84"/>
      <c r="H157" s="66"/>
      <c r="I157" s="67"/>
      <c r="J157" s="85">
        <v>0</v>
      </c>
      <c r="K157" s="49"/>
      <c r="L157" s="61"/>
      <c r="M157" s="61"/>
      <c r="N157" s="61"/>
    </row>
    <row r="158" spans="1:14" ht="21.75" customHeight="1" x14ac:dyDescent="0.4">
      <c r="A158" s="55"/>
      <c r="B158" s="56"/>
      <c r="C158" s="134" t="s">
        <v>81</v>
      </c>
      <c r="D158" s="156"/>
      <c r="E158" s="133"/>
      <c r="F158" s="133"/>
      <c r="G158" s="135"/>
      <c r="H158" s="136" t="s">
        <v>16</v>
      </c>
      <c r="I158" s="137">
        <f>I164</f>
        <v>0</v>
      </c>
      <c r="J158" s="137">
        <f>+J164</f>
        <v>0</v>
      </c>
      <c r="K158" s="138">
        <f>IF(I158&gt;0,J158*100/I158,0)</f>
        <v>0</v>
      </c>
      <c r="L158" s="61"/>
      <c r="M158" s="61"/>
      <c r="N158" s="61"/>
    </row>
    <row r="159" spans="1:14" ht="21.75" customHeight="1" x14ac:dyDescent="0.4">
      <c r="A159" s="55"/>
      <c r="B159" s="56"/>
      <c r="C159" s="43" t="s">
        <v>17</v>
      </c>
      <c r="D159" s="57" t="s">
        <v>25</v>
      </c>
      <c r="E159" s="58"/>
      <c r="F159" s="58"/>
      <c r="G159" s="59"/>
      <c r="H159" s="60"/>
      <c r="I159" s="48"/>
      <c r="J159" s="48"/>
      <c r="K159" s="49"/>
      <c r="L159" s="61"/>
      <c r="M159" s="61"/>
      <c r="N159" s="61"/>
    </row>
    <row r="160" spans="1:14" ht="21.75" customHeight="1" x14ac:dyDescent="0.4">
      <c r="A160" s="55"/>
      <c r="B160" s="56"/>
      <c r="C160" s="56"/>
      <c r="D160" s="62">
        <v>1</v>
      </c>
      <c r="E160" s="63" t="s">
        <v>26</v>
      </c>
      <c r="F160" s="64"/>
      <c r="G160" s="65"/>
      <c r="H160" s="66"/>
      <c r="I160" s="67"/>
      <c r="J160" s="67">
        <v>0</v>
      </c>
      <c r="K160" s="49"/>
      <c r="L160" s="61"/>
      <c r="M160" s="61"/>
      <c r="N160" s="61"/>
    </row>
    <row r="161" spans="1:14" ht="21.75" customHeight="1" x14ac:dyDescent="0.4">
      <c r="A161" s="55"/>
      <c r="B161" s="56"/>
      <c r="C161" s="56"/>
      <c r="D161" s="69">
        <v>2</v>
      </c>
      <c r="E161" s="70" t="s">
        <v>27</v>
      </c>
      <c r="F161" s="71"/>
      <c r="G161" s="72"/>
      <c r="H161" s="66"/>
      <c r="I161" s="67"/>
      <c r="J161" s="67">
        <v>0</v>
      </c>
      <c r="K161" s="49"/>
      <c r="L161" s="61" t="s">
        <v>21</v>
      </c>
      <c r="M161" s="61" t="s">
        <v>21</v>
      </c>
      <c r="N161" s="61"/>
    </row>
    <row r="162" spans="1:14" ht="21.75" customHeight="1" x14ac:dyDescent="0.4">
      <c r="A162" s="55"/>
      <c r="B162" s="56"/>
      <c r="C162" s="56"/>
      <c r="D162" s="73"/>
      <c r="E162" s="74" t="s">
        <v>28</v>
      </c>
      <c r="F162" s="75"/>
      <c r="G162" s="76"/>
      <c r="H162" s="66"/>
      <c r="I162" s="67"/>
      <c r="J162" s="67">
        <v>0</v>
      </c>
      <c r="K162" s="49"/>
      <c r="L162" s="61"/>
      <c r="M162" s="61"/>
      <c r="N162" s="61"/>
    </row>
    <row r="163" spans="1:14" ht="21.75" customHeight="1" x14ac:dyDescent="0.4">
      <c r="A163" s="55"/>
      <c r="B163" s="56"/>
      <c r="C163" s="56"/>
      <c r="D163" s="73"/>
      <c r="E163" s="74" t="s">
        <v>29</v>
      </c>
      <c r="F163" s="75"/>
      <c r="G163" s="76"/>
      <c r="H163" s="66"/>
      <c r="I163" s="67"/>
      <c r="J163" s="67">
        <v>0</v>
      </c>
      <c r="K163" s="49"/>
      <c r="L163" s="61"/>
      <c r="M163" s="61"/>
      <c r="N163" s="61"/>
    </row>
    <row r="164" spans="1:14" ht="21.75" customHeight="1" x14ac:dyDescent="0.4">
      <c r="A164" s="55"/>
      <c r="B164" s="56"/>
      <c r="C164" s="56"/>
      <c r="D164" s="73"/>
      <c r="E164" s="75"/>
      <c r="F164" s="74" t="s">
        <v>82</v>
      </c>
      <c r="G164" s="75"/>
      <c r="H164" s="66" t="s">
        <v>16</v>
      </c>
      <c r="I164" s="67">
        <v>0</v>
      </c>
      <c r="J164" s="67">
        <v>0</v>
      </c>
      <c r="K164" s="49">
        <f>IF(I164&gt;0,J164*100/I164,0)</f>
        <v>0</v>
      </c>
      <c r="L164" s="61"/>
      <c r="M164" s="61"/>
      <c r="N164" s="61"/>
    </row>
    <row r="165" spans="1:14" ht="21.75" customHeight="1" x14ac:dyDescent="0.4">
      <c r="A165" s="55"/>
      <c r="B165" s="56"/>
      <c r="C165" s="56"/>
      <c r="D165" s="73"/>
      <c r="E165" s="74" t="s">
        <v>35</v>
      </c>
      <c r="F165" s="75"/>
      <c r="G165" s="76"/>
      <c r="H165" s="66"/>
      <c r="I165" s="67"/>
      <c r="J165" s="67">
        <v>0</v>
      </c>
      <c r="K165" s="49"/>
      <c r="L165" s="61"/>
      <c r="M165" s="61"/>
      <c r="N165" s="61"/>
    </row>
    <row r="166" spans="1:14" ht="21.75" customHeight="1" x14ac:dyDescent="0.4">
      <c r="A166" s="105"/>
      <c r="B166" s="106"/>
      <c r="C166" s="106"/>
      <c r="D166" s="107">
        <v>3</v>
      </c>
      <c r="E166" s="108" t="s">
        <v>36</v>
      </c>
      <c r="F166" s="109"/>
      <c r="G166" s="110"/>
      <c r="H166" s="111"/>
      <c r="I166" s="112"/>
      <c r="J166" s="356">
        <v>0</v>
      </c>
      <c r="K166" s="114"/>
      <c r="L166" s="115"/>
      <c r="M166" s="115"/>
      <c r="N166" s="115"/>
    </row>
    <row r="167" spans="1:14" ht="21.75" customHeight="1" x14ac:dyDescent="0.4">
      <c r="A167" s="157" t="s">
        <v>83</v>
      </c>
      <c r="B167" s="158"/>
      <c r="C167" s="158"/>
      <c r="D167" s="158"/>
      <c r="E167" s="159"/>
      <c r="F167" s="159"/>
      <c r="G167" s="160"/>
      <c r="H167" s="161"/>
      <c r="I167" s="162"/>
      <c r="J167" s="162"/>
      <c r="K167" s="163"/>
      <c r="L167" s="164"/>
      <c r="M167" s="164"/>
      <c r="N167" s="165"/>
    </row>
    <row r="168" spans="1:14" ht="21.75" customHeight="1" x14ac:dyDescent="0.4">
      <c r="A168" s="166" t="s">
        <v>84</v>
      </c>
      <c r="B168" s="167"/>
      <c r="C168" s="167"/>
      <c r="D168" s="168"/>
      <c r="E168" s="168"/>
      <c r="F168" s="168"/>
      <c r="G168" s="169"/>
      <c r="H168" s="170"/>
      <c r="I168" s="171"/>
      <c r="J168" s="171"/>
      <c r="K168" s="172"/>
      <c r="L168" s="172"/>
      <c r="M168" s="172"/>
      <c r="N168" s="173"/>
    </row>
    <row r="169" spans="1:14" ht="21.75" customHeight="1" x14ac:dyDescent="0.4">
      <c r="A169" s="174"/>
      <c r="B169" s="175" t="s">
        <v>85</v>
      </c>
      <c r="C169" s="175"/>
      <c r="D169" s="175"/>
      <c r="E169" s="175"/>
      <c r="F169" s="175"/>
      <c r="G169" s="176"/>
      <c r="H169" s="177" t="s">
        <v>16</v>
      </c>
      <c r="I169" s="178">
        <f ca="1">I180</f>
        <v>0</v>
      </c>
      <c r="J169" s="178">
        <f>+J180</f>
        <v>0</v>
      </c>
      <c r="K169" s="179">
        <f ca="1">IF(I169&gt;0,J169*100/I169,0)</f>
        <v>0</v>
      </c>
      <c r="L169" s="180">
        <f ca="1">L170+L171</f>
        <v>0</v>
      </c>
      <c r="M169" s="180">
        <f>SUM(M170:M171)</f>
        <v>0</v>
      </c>
      <c r="N169" s="179">
        <f ca="1">IF(L169&gt;0,M169*100/L169,0)</f>
        <v>0</v>
      </c>
    </row>
    <row r="170" spans="1:14" ht="21.75" customHeight="1" x14ac:dyDescent="0.4">
      <c r="A170" s="42"/>
      <c r="B170" s="43"/>
      <c r="C170" s="43" t="s">
        <v>17</v>
      </c>
      <c r="D170" s="44" t="s">
        <v>18</v>
      </c>
      <c r="E170" s="45"/>
      <c r="F170" s="45"/>
      <c r="G170" s="46" t="s">
        <v>19</v>
      </c>
      <c r="H170" s="47" t="s">
        <v>20</v>
      </c>
      <c r="I170" s="67" t="s">
        <v>21</v>
      </c>
      <c r="J170" s="67"/>
      <c r="K170" s="233"/>
      <c r="L170" s="50">
        <v>0</v>
      </c>
      <c r="M170" s="50">
        <v>0</v>
      </c>
      <c r="N170" s="50">
        <f t="shared" ref="N170:N173" si="39">+IF(L170&gt;0,M170*100/L170,0)</f>
        <v>0</v>
      </c>
    </row>
    <row r="171" spans="1:14" ht="21.75" customHeight="1" x14ac:dyDescent="0.4">
      <c r="A171" s="42"/>
      <c r="B171" s="43"/>
      <c r="C171" s="43"/>
      <c r="D171" s="51"/>
      <c r="E171" s="45"/>
      <c r="F171" s="45" t="s">
        <v>21</v>
      </c>
      <c r="G171" s="46" t="s">
        <v>22</v>
      </c>
      <c r="H171" s="47" t="s">
        <v>20</v>
      </c>
      <c r="I171" s="67"/>
      <c r="J171" s="67"/>
      <c r="K171" s="233"/>
      <c r="L171" s="50">
        <f t="shared" ref="L171:M171" ca="1" si="40">SUM(L172:L173)</f>
        <v>0</v>
      </c>
      <c r="M171" s="50">
        <f t="shared" si="40"/>
        <v>0</v>
      </c>
      <c r="N171" s="50">
        <f t="shared" ca="1" si="39"/>
        <v>0</v>
      </c>
    </row>
    <row r="172" spans="1:14" ht="21.75" customHeight="1" x14ac:dyDescent="0.4">
      <c r="A172" s="42"/>
      <c r="B172" s="43"/>
      <c r="C172" s="43"/>
      <c r="D172" s="51"/>
      <c r="E172" s="45"/>
      <c r="F172" s="45"/>
      <c r="G172" s="52" t="s">
        <v>23</v>
      </c>
      <c r="H172" s="47" t="s">
        <v>20</v>
      </c>
      <c r="I172" s="67"/>
      <c r="J172" s="67"/>
      <c r="K172" s="233"/>
      <c r="L172" s="53">
        <f ca="1">IFERROR(__xludf.DUMMYFUNCTION("IMPORTRANGE(""https://docs.google.com/spreadsheets/d/1C3CXT74ZlgGe6_JY_1olB1XN4rF0dxEuIIF-xsYjHgg/edit?usp=sharing"",""พรบ!BD32"")"),0)</f>
        <v>0</v>
      </c>
      <c r="M172" s="53">
        <v>0</v>
      </c>
      <c r="N172" s="53">
        <f t="shared" ca="1" si="39"/>
        <v>0</v>
      </c>
    </row>
    <row r="173" spans="1:14" ht="21.75" customHeight="1" x14ac:dyDescent="0.4">
      <c r="A173" s="42"/>
      <c r="B173" s="43"/>
      <c r="C173" s="43"/>
      <c r="D173" s="51"/>
      <c r="E173" s="45"/>
      <c r="F173" s="45"/>
      <c r="G173" s="52" t="s">
        <v>24</v>
      </c>
      <c r="H173" s="47" t="s">
        <v>20</v>
      </c>
      <c r="I173" s="67"/>
      <c r="J173" s="67"/>
      <c r="K173" s="233"/>
      <c r="L173" s="53">
        <f ca="1">IFERROR(__xludf.DUMMYFUNCTION("IMPORTRANGE(""https://docs.google.com/spreadsheets/d/1C3CXT74ZlgGe6_JY_1olB1XN4rF0dxEuIIF-xsYjHgg/edit?usp=sharing"",""พรบ!BE32"")"),0)</f>
        <v>0</v>
      </c>
      <c r="M173" s="53">
        <v>0</v>
      </c>
      <c r="N173" s="53">
        <f t="shared" ca="1" si="39"/>
        <v>0</v>
      </c>
    </row>
    <row r="174" spans="1:14" ht="21.75" customHeight="1" x14ac:dyDescent="0.4">
      <c r="A174" s="55"/>
      <c r="B174" s="56"/>
      <c r="C174" s="43" t="s">
        <v>17</v>
      </c>
      <c r="D174" s="57" t="s">
        <v>25</v>
      </c>
      <c r="E174" s="58"/>
      <c r="F174" s="58"/>
      <c r="G174" s="59"/>
      <c r="H174" s="60"/>
      <c r="I174" s="67"/>
      <c r="J174" s="67"/>
      <c r="K174" s="233"/>
      <c r="L174" s="53"/>
      <c r="M174" s="53"/>
      <c r="N174" s="53"/>
    </row>
    <row r="175" spans="1:14" ht="21.75" customHeight="1" x14ac:dyDescent="0.4">
      <c r="A175" s="55"/>
      <c r="B175" s="56"/>
      <c r="C175" s="56"/>
      <c r="D175" s="62">
        <v>1</v>
      </c>
      <c r="E175" s="63" t="s">
        <v>26</v>
      </c>
      <c r="F175" s="64"/>
      <c r="G175" s="65"/>
      <c r="H175" s="66"/>
      <c r="I175" s="67"/>
      <c r="J175" s="67">
        <v>0</v>
      </c>
      <c r="K175" s="233"/>
      <c r="L175" s="53"/>
      <c r="M175" s="53"/>
      <c r="N175" s="53"/>
    </row>
    <row r="176" spans="1:14" ht="21.75" customHeight="1" x14ac:dyDescent="0.4">
      <c r="A176" s="55"/>
      <c r="B176" s="56"/>
      <c r="C176" s="56"/>
      <c r="D176" s="69">
        <v>2</v>
      </c>
      <c r="E176" s="70" t="s">
        <v>27</v>
      </c>
      <c r="F176" s="71"/>
      <c r="G176" s="72"/>
      <c r="H176" s="66"/>
      <c r="I176" s="67"/>
      <c r="J176" s="67">
        <v>0</v>
      </c>
      <c r="K176" s="233"/>
      <c r="L176" s="53" t="s">
        <v>21</v>
      </c>
      <c r="M176" s="53" t="s">
        <v>21</v>
      </c>
      <c r="N176" s="53"/>
    </row>
    <row r="177" spans="1:14" ht="21.75" customHeight="1" x14ac:dyDescent="0.4">
      <c r="A177" s="55"/>
      <c r="B177" s="56"/>
      <c r="C177" s="56"/>
      <c r="D177" s="73"/>
      <c r="E177" s="74" t="s">
        <v>28</v>
      </c>
      <c r="F177" s="75"/>
      <c r="G177" s="76"/>
      <c r="H177" s="66"/>
      <c r="I177" s="67"/>
      <c r="J177" s="67">
        <v>0</v>
      </c>
      <c r="K177" s="233"/>
      <c r="L177" s="53"/>
      <c r="M177" s="53"/>
      <c r="N177" s="53"/>
    </row>
    <row r="178" spans="1:14" ht="21.75" customHeight="1" x14ac:dyDescent="0.4">
      <c r="A178" s="55"/>
      <c r="B178" s="56"/>
      <c r="C178" s="56"/>
      <c r="D178" s="73"/>
      <c r="E178" s="74" t="s">
        <v>29</v>
      </c>
      <c r="F178" s="75"/>
      <c r="G178" s="76"/>
      <c r="H178" s="66"/>
      <c r="I178" s="67"/>
      <c r="J178" s="67">
        <v>0</v>
      </c>
      <c r="K178" s="233"/>
      <c r="L178" s="53"/>
      <c r="M178" s="53"/>
      <c r="N178" s="53"/>
    </row>
    <row r="179" spans="1:14" ht="21.75" customHeight="1" x14ac:dyDescent="0.4">
      <c r="A179" s="55"/>
      <c r="B179" s="56"/>
      <c r="C179" s="56"/>
      <c r="D179" s="73"/>
      <c r="E179" s="77"/>
      <c r="F179" s="74" t="s">
        <v>86</v>
      </c>
      <c r="G179" s="76"/>
      <c r="H179" s="60" t="s">
        <v>40</v>
      </c>
      <c r="I179" s="67">
        <f ca="1">IFERROR(__xludf.DUMMYFUNCTION("IMPORTRANGE(""https://docs.google.com/spreadsheets/d/1C3CXT74ZlgGe6_JY_1olB1XN4rF0dxEuIIF-xsYjHgg/edit?usp=sharing"",""พรบ!BF32"")"),0)</f>
        <v>0</v>
      </c>
      <c r="J179" s="67">
        <v>0</v>
      </c>
      <c r="K179" s="233">
        <f t="shared" ref="K179:K182" ca="1" si="41">IF(I179&gt;0,J179*100/I179,0)</f>
        <v>0</v>
      </c>
      <c r="L179" s="53"/>
      <c r="M179" s="53"/>
      <c r="N179" s="53"/>
    </row>
    <row r="180" spans="1:14" ht="21.75" customHeight="1" x14ac:dyDescent="0.4">
      <c r="A180" s="55"/>
      <c r="B180" s="56"/>
      <c r="C180" s="56"/>
      <c r="D180" s="73"/>
      <c r="E180" s="77"/>
      <c r="F180" s="74" t="s">
        <v>87</v>
      </c>
      <c r="G180" s="76"/>
      <c r="H180" s="60" t="s">
        <v>16</v>
      </c>
      <c r="I180" s="67">
        <f ca="1">IFERROR(__xludf.DUMMYFUNCTION("IMPORTRANGE(""https://docs.google.com/spreadsheets/d/1C3CXT74ZlgGe6_JY_1olB1XN4rF0dxEuIIF-xsYjHgg/edit?usp=sharing"",""พรบ!BG32"")"),0)</f>
        <v>0</v>
      </c>
      <c r="J180" s="67">
        <v>0</v>
      </c>
      <c r="K180" s="233">
        <f t="shared" ca="1" si="41"/>
        <v>0</v>
      </c>
      <c r="L180" s="53"/>
      <c r="M180" s="53"/>
      <c r="N180" s="53"/>
    </row>
    <row r="181" spans="1:14" ht="21.75" customHeight="1" x14ac:dyDescent="0.4">
      <c r="A181" s="55"/>
      <c r="B181" s="56"/>
      <c r="C181" s="56"/>
      <c r="D181" s="73"/>
      <c r="E181" s="77"/>
      <c r="F181" s="74" t="s">
        <v>88</v>
      </c>
      <c r="G181" s="76"/>
      <c r="H181" s="60" t="s">
        <v>16</v>
      </c>
      <c r="I181" s="67">
        <f ca="1">IFERROR(__xludf.DUMMYFUNCTION("IMPORTRANGE(""https://docs.google.com/spreadsheets/d/1C3CXT74ZlgGe6_JY_1olB1XN4rF0dxEuIIF-xsYjHgg/edit?usp=sharing"",""พรบ!BH32"")"),0)</f>
        <v>0</v>
      </c>
      <c r="J181" s="67">
        <v>0</v>
      </c>
      <c r="K181" s="233">
        <f t="shared" ca="1" si="41"/>
        <v>0</v>
      </c>
      <c r="L181" s="53"/>
      <c r="M181" s="53"/>
      <c r="N181" s="53"/>
    </row>
    <row r="182" spans="1:14" ht="21.75" customHeight="1" x14ac:dyDescent="0.4">
      <c r="A182" s="55"/>
      <c r="B182" s="56"/>
      <c r="C182" s="56"/>
      <c r="D182" s="73"/>
      <c r="E182" s="77"/>
      <c r="F182" s="74" t="s">
        <v>89</v>
      </c>
      <c r="G182" s="76"/>
      <c r="H182" s="60" t="s">
        <v>16</v>
      </c>
      <c r="I182" s="67">
        <f ca="1">IFERROR(__xludf.DUMMYFUNCTION("IMPORTRANGE(""https://docs.google.com/spreadsheets/d/1C3CXT74ZlgGe6_JY_1olB1XN4rF0dxEuIIF-xsYjHgg/edit?usp=sharing"",""พรบ!BI32"")"),0)</f>
        <v>0</v>
      </c>
      <c r="J182" s="67">
        <v>0</v>
      </c>
      <c r="K182" s="233">
        <f t="shared" ca="1" si="41"/>
        <v>0</v>
      </c>
      <c r="L182" s="53"/>
      <c r="M182" s="53"/>
      <c r="N182" s="53"/>
    </row>
    <row r="183" spans="1:14" ht="21.75" customHeight="1" x14ac:dyDescent="0.4">
      <c r="A183" s="55"/>
      <c r="B183" s="56"/>
      <c r="C183" s="56"/>
      <c r="D183" s="73"/>
      <c r="E183" s="74" t="s">
        <v>35</v>
      </c>
      <c r="F183" s="75"/>
      <c r="G183" s="76"/>
      <c r="H183" s="66"/>
      <c r="I183" s="67"/>
      <c r="J183" s="67">
        <v>0</v>
      </c>
      <c r="K183" s="233"/>
      <c r="L183" s="53"/>
      <c r="M183" s="53"/>
      <c r="N183" s="53"/>
    </row>
    <row r="184" spans="1:14" ht="21.75" customHeight="1" x14ac:dyDescent="0.4">
      <c r="A184" s="105"/>
      <c r="B184" s="106"/>
      <c r="C184" s="106"/>
      <c r="D184" s="107">
        <v>3</v>
      </c>
      <c r="E184" s="108" t="s">
        <v>36</v>
      </c>
      <c r="F184" s="109"/>
      <c r="G184" s="110"/>
      <c r="H184" s="111"/>
      <c r="I184" s="112"/>
      <c r="J184" s="356">
        <v>0</v>
      </c>
      <c r="K184" s="357"/>
      <c r="L184" s="358"/>
      <c r="M184" s="358"/>
      <c r="N184" s="358"/>
    </row>
    <row r="185" spans="1:14" ht="21.75" customHeight="1" x14ac:dyDescent="0.4">
      <c r="A185" s="174"/>
      <c r="B185" s="175" t="s">
        <v>90</v>
      </c>
      <c r="C185" s="175"/>
      <c r="D185" s="175"/>
      <c r="E185" s="175"/>
      <c r="F185" s="175"/>
      <c r="G185" s="176"/>
      <c r="H185" s="177" t="s">
        <v>16</v>
      </c>
      <c r="I185" s="178">
        <f ca="1">I195</f>
        <v>15</v>
      </c>
      <c r="J185" s="178">
        <f>+J195</f>
        <v>0</v>
      </c>
      <c r="K185" s="179">
        <f ca="1">IF(I185&gt;0,J185*100/I185,0)</f>
        <v>0</v>
      </c>
      <c r="L185" s="180">
        <f ca="1">L186+L187</f>
        <v>187200</v>
      </c>
      <c r="M185" s="180">
        <f>SUM(M186:M187)</f>
        <v>240</v>
      </c>
      <c r="N185" s="179">
        <f ca="1">IF(L185&gt;0,M185*100/L185,0)</f>
        <v>0.12820512820512819</v>
      </c>
    </row>
    <row r="186" spans="1:14" ht="21.75" customHeight="1" x14ac:dyDescent="0.4">
      <c r="A186" s="42"/>
      <c r="B186" s="43"/>
      <c r="C186" s="43" t="s">
        <v>17</v>
      </c>
      <c r="D186" s="44" t="s">
        <v>18</v>
      </c>
      <c r="E186" s="45"/>
      <c r="F186" s="45"/>
      <c r="G186" s="46" t="s">
        <v>19</v>
      </c>
      <c r="H186" s="47" t="s">
        <v>20</v>
      </c>
      <c r="I186" s="48" t="s">
        <v>21</v>
      </c>
      <c r="J186" s="48"/>
      <c r="K186" s="49"/>
      <c r="L186" s="50">
        <v>0</v>
      </c>
      <c r="M186" s="50">
        <v>0</v>
      </c>
      <c r="N186" s="50">
        <f t="shared" ref="N186:N189" si="42">+IF(L186&gt;0,M186*100/L186,0)</f>
        <v>0</v>
      </c>
    </row>
    <row r="187" spans="1:14" ht="21.75" customHeight="1" x14ac:dyDescent="0.4">
      <c r="A187" s="42"/>
      <c r="B187" s="43"/>
      <c r="C187" s="43"/>
      <c r="D187" s="51"/>
      <c r="E187" s="45"/>
      <c r="F187" s="45" t="s">
        <v>21</v>
      </c>
      <c r="G187" s="46" t="s">
        <v>22</v>
      </c>
      <c r="H187" s="47" t="s">
        <v>20</v>
      </c>
      <c r="I187" s="48"/>
      <c r="J187" s="48"/>
      <c r="K187" s="49"/>
      <c r="L187" s="50">
        <f t="shared" ref="L187:M187" ca="1" si="43">SUM(L188:L189)</f>
        <v>187200</v>
      </c>
      <c r="M187" s="50">
        <f t="shared" si="43"/>
        <v>240</v>
      </c>
      <c r="N187" s="50">
        <f t="shared" ca="1" si="42"/>
        <v>0.12820512820512819</v>
      </c>
    </row>
    <row r="188" spans="1:14" ht="21.75" customHeight="1" x14ac:dyDescent="0.4">
      <c r="A188" s="42"/>
      <c r="B188" s="43"/>
      <c r="C188" s="43"/>
      <c r="D188" s="51"/>
      <c r="E188" s="45"/>
      <c r="F188" s="45"/>
      <c r="G188" s="52" t="s">
        <v>23</v>
      </c>
      <c r="H188" s="47" t="s">
        <v>20</v>
      </c>
      <c r="I188" s="48"/>
      <c r="J188" s="48"/>
      <c r="K188" s="49"/>
      <c r="L188" s="53">
        <f ca="1">IFERROR(__xludf.DUMMYFUNCTION("IMPORTRANGE(""https://docs.google.com/spreadsheets/d/1C3CXT74ZlgGe6_JY_1olB1XN4rF0dxEuIIF-xsYjHgg/edit?usp=sharing"",""พรบ!BK32"")"),132000)</f>
        <v>132000</v>
      </c>
      <c r="M188" s="54">
        <v>0</v>
      </c>
      <c r="N188" s="53">
        <f t="shared" ca="1" si="42"/>
        <v>0</v>
      </c>
    </row>
    <row r="189" spans="1:14" ht="21.75" customHeight="1" x14ac:dyDescent="0.4">
      <c r="A189" s="42"/>
      <c r="B189" s="43"/>
      <c r="C189" s="43"/>
      <c r="D189" s="51"/>
      <c r="E189" s="45"/>
      <c r="F189" s="45"/>
      <c r="G189" s="52" t="s">
        <v>24</v>
      </c>
      <c r="H189" s="47" t="s">
        <v>20</v>
      </c>
      <c r="I189" s="48"/>
      <c r="J189" s="48"/>
      <c r="K189" s="49"/>
      <c r="L189" s="53">
        <f ca="1">IFERROR(__xludf.DUMMYFUNCTION("IMPORTRANGE(""https://docs.google.com/spreadsheets/d/1C3CXT74ZlgGe6_JY_1olB1XN4rF0dxEuIIF-xsYjHgg/edit?usp=sharing"",""พรบ!BL32"")"),55200)</f>
        <v>55200</v>
      </c>
      <c r="M189" s="54">
        <v>240</v>
      </c>
      <c r="N189" s="53">
        <f t="shared" ca="1" si="42"/>
        <v>0.43478260869565216</v>
      </c>
    </row>
    <row r="190" spans="1:14" ht="21.75" customHeight="1" x14ac:dyDescent="0.4">
      <c r="A190" s="55"/>
      <c r="B190" s="56"/>
      <c r="C190" s="43" t="s">
        <v>17</v>
      </c>
      <c r="D190" s="57" t="s">
        <v>25</v>
      </c>
      <c r="E190" s="58"/>
      <c r="F190" s="58"/>
      <c r="G190" s="59"/>
      <c r="H190" s="60"/>
      <c r="I190" s="48"/>
      <c r="J190" s="48"/>
      <c r="K190" s="49"/>
      <c r="L190" s="61"/>
      <c r="M190" s="61"/>
      <c r="N190" s="61"/>
    </row>
    <row r="191" spans="1:14" ht="21.75" customHeight="1" x14ac:dyDescent="0.4">
      <c r="A191" s="55"/>
      <c r="B191" s="56"/>
      <c r="C191" s="56"/>
      <c r="D191" s="62">
        <v>1</v>
      </c>
      <c r="E191" s="63" t="s">
        <v>26</v>
      </c>
      <c r="F191" s="64"/>
      <c r="G191" s="65"/>
      <c r="H191" s="66"/>
      <c r="I191" s="67"/>
      <c r="J191" s="68">
        <v>0</v>
      </c>
      <c r="K191" s="49"/>
      <c r="L191" s="61"/>
      <c r="M191" s="61"/>
      <c r="N191" s="61"/>
    </row>
    <row r="192" spans="1:14" ht="21.75" customHeight="1" x14ac:dyDescent="0.4">
      <c r="A192" s="55"/>
      <c r="B192" s="56"/>
      <c r="C192" s="56"/>
      <c r="D192" s="69">
        <v>2</v>
      </c>
      <c r="E192" s="70" t="s">
        <v>27</v>
      </c>
      <c r="F192" s="71"/>
      <c r="G192" s="72"/>
      <c r="H192" s="66"/>
      <c r="I192" s="67"/>
      <c r="J192" s="68">
        <v>1</v>
      </c>
      <c r="K192" s="49"/>
      <c r="L192" s="61"/>
      <c r="M192" s="61"/>
      <c r="N192" s="61"/>
    </row>
    <row r="193" spans="1:14" ht="21.75" customHeight="1" x14ac:dyDescent="0.4">
      <c r="A193" s="55"/>
      <c r="B193" s="56"/>
      <c r="C193" s="56"/>
      <c r="D193" s="73"/>
      <c r="E193" s="74" t="s">
        <v>28</v>
      </c>
      <c r="F193" s="75"/>
      <c r="G193" s="76"/>
      <c r="H193" s="66"/>
      <c r="I193" s="67"/>
      <c r="J193" s="68">
        <v>0</v>
      </c>
      <c r="K193" s="49"/>
      <c r="L193" s="61"/>
      <c r="M193" s="61"/>
      <c r="N193" s="61"/>
    </row>
    <row r="194" spans="1:14" ht="21.75" customHeight="1" x14ac:dyDescent="0.4">
      <c r="A194" s="55"/>
      <c r="B194" s="56"/>
      <c r="C194" s="56"/>
      <c r="D194" s="73"/>
      <c r="E194" s="74" t="s">
        <v>29</v>
      </c>
      <c r="F194" s="75"/>
      <c r="G194" s="76"/>
      <c r="H194" s="66"/>
      <c r="I194" s="67"/>
      <c r="J194" s="68">
        <v>0</v>
      </c>
      <c r="K194" s="49"/>
      <c r="L194" s="61"/>
      <c r="M194" s="61"/>
      <c r="N194" s="61"/>
    </row>
    <row r="195" spans="1:14" ht="21.75" customHeight="1" x14ac:dyDescent="0.4">
      <c r="A195" s="55"/>
      <c r="B195" s="56"/>
      <c r="C195" s="56"/>
      <c r="D195" s="73"/>
      <c r="E195" s="75"/>
      <c r="F195" s="74" t="s">
        <v>91</v>
      </c>
      <c r="G195" s="76"/>
      <c r="H195" s="66" t="s">
        <v>16</v>
      </c>
      <c r="I195" s="67">
        <f ca="1">IFERROR(__xludf.DUMMYFUNCTION("IMPORTRANGE(""https://docs.google.com/spreadsheets/d/1C3CXT74ZlgGe6_JY_1olB1XN4rF0dxEuIIF-xsYjHgg/edit?usp=sharing"",""พรบ!BM32"")"),15)</f>
        <v>15</v>
      </c>
      <c r="J195" s="68">
        <v>0</v>
      </c>
      <c r="K195" s="49">
        <f ca="1">IF(I195&gt;0,J195*100/I195,0)</f>
        <v>0</v>
      </c>
      <c r="L195" s="61"/>
      <c r="M195" s="61"/>
      <c r="N195" s="61"/>
    </row>
    <row r="196" spans="1:14" ht="21.75" customHeight="1" x14ac:dyDescent="0.4">
      <c r="A196" s="55"/>
      <c r="B196" s="56"/>
      <c r="C196" s="56"/>
      <c r="D196" s="73"/>
      <c r="E196" s="74" t="s">
        <v>35</v>
      </c>
      <c r="F196" s="75"/>
      <c r="G196" s="76"/>
      <c r="H196" s="66"/>
      <c r="I196" s="67"/>
      <c r="J196" s="68">
        <v>0</v>
      </c>
      <c r="K196" s="49"/>
      <c r="L196" s="61"/>
      <c r="M196" s="61"/>
      <c r="N196" s="61"/>
    </row>
    <row r="197" spans="1:14" ht="21.75" customHeight="1" x14ac:dyDescent="0.4">
      <c r="A197" s="55"/>
      <c r="B197" s="56"/>
      <c r="C197" s="56"/>
      <c r="D197" s="81">
        <v>3</v>
      </c>
      <c r="E197" s="82" t="s">
        <v>36</v>
      </c>
      <c r="F197" s="83"/>
      <c r="G197" s="84"/>
      <c r="H197" s="66"/>
      <c r="I197" s="67"/>
      <c r="J197" s="85">
        <v>0</v>
      </c>
      <c r="K197" s="49"/>
      <c r="L197" s="61"/>
      <c r="M197" s="61"/>
      <c r="N197" s="61"/>
    </row>
    <row r="198" spans="1:14" ht="21.75" customHeight="1" x14ac:dyDescent="0.4">
      <c r="A198" s="166" t="s">
        <v>92</v>
      </c>
      <c r="B198" s="167"/>
      <c r="C198" s="167"/>
      <c r="D198" s="168"/>
      <c r="E198" s="167"/>
      <c r="F198" s="167"/>
      <c r="G198" s="181"/>
      <c r="H198" s="182"/>
      <c r="I198" s="183"/>
      <c r="J198" s="183"/>
      <c r="K198" s="184"/>
      <c r="L198" s="184"/>
      <c r="M198" s="184"/>
      <c r="N198" s="173"/>
    </row>
    <row r="199" spans="1:14" ht="21.75" customHeight="1" x14ac:dyDescent="0.4">
      <c r="A199" s="185"/>
      <c r="B199" s="175" t="s">
        <v>93</v>
      </c>
      <c r="C199" s="186"/>
      <c r="D199" s="187"/>
      <c r="E199" s="175"/>
      <c r="F199" s="175"/>
      <c r="G199" s="176"/>
      <c r="H199" s="177" t="s">
        <v>16</v>
      </c>
      <c r="I199" s="178">
        <f t="shared" ref="I199:J199" ca="1" si="44">I209</f>
        <v>0</v>
      </c>
      <c r="J199" s="178">
        <f t="shared" si="44"/>
        <v>0</v>
      </c>
      <c r="K199" s="179">
        <f ca="1">IF(I199&gt;0,J199*100/I199,0)</f>
        <v>0</v>
      </c>
      <c r="L199" s="180">
        <f ca="1">L200+L201</f>
        <v>0</v>
      </c>
      <c r="M199" s="180">
        <f>SUM(M200:M201)</f>
        <v>0</v>
      </c>
      <c r="N199" s="179">
        <f ca="1">IF(L199&gt;0,M199*100/L199,0)</f>
        <v>0</v>
      </c>
    </row>
    <row r="200" spans="1:14" ht="21.75" customHeight="1" x14ac:dyDescent="0.4">
      <c r="A200" s="42"/>
      <c r="B200" s="43"/>
      <c r="C200" s="43" t="s">
        <v>17</v>
      </c>
      <c r="D200" s="44" t="s">
        <v>18</v>
      </c>
      <c r="E200" s="45"/>
      <c r="F200" s="45"/>
      <c r="G200" s="46" t="s">
        <v>19</v>
      </c>
      <c r="H200" s="47" t="s">
        <v>20</v>
      </c>
      <c r="I200" s="67" t="s">
        <v>21</v>
      </c>
      <c r="J200" s="67"/>
      <c r="K200" s="233"/>
      <c r="L200" s="50">
        <v>0</v>
      </c>
      <c r="M200" s="50">
        <v>0</v>
      </c>
      <c r="N200" s="50">
        <f t="shared" ref="N200:N203" si="45">+IF(L200&gt;0,M200*100/L200,0)</f>
        <v>0</v>
      </c>
    </row>
    <row r="201" spans="1:14" ht="21.75" customHeight="1" x14ac:dyDescent="0.4">
      <c r="A201" s="42"/>
      <c r="B201" s="43"/>
      <c r="C201" s="43"/>
      <c r="D201" s="51"/>
      <c r="E201" s="45"/>
      <c r="F201" s="45" t="s">
        <v>21</v>
      </c>
      <c r="G201" s="46" t="s">
        <v>22</v>
      </c>
      <c r="H201" s="47" t="s">
        <v>20</v>
      </c>
      <c r="I201" s="67"/>
      <c r="J201" s="67"/>
      <c r="K201" s="233"/>
      <c r="L201" s="50">
        <f t="shared" ref="L201:M201" ca="1" si="46">SUM(L202:L203)</f>
        <v>0</v>
      </c>
      <c r="M201" s="50">
        <f t="shared" si="46"/>
        <v>0</v>
      </c>
      <c r="N201" s="50">
        <f t="shared" ca="1" si="45"/>
        <v>0</v>
      </c>
    </row>
    <row r="202" spans="1:14" ht="21.75" customHeight="1" x14ac:dyDescent="0.4">
      <c r="A202" s="42"/>
      <c r="B202" s="43"/>
      <c r="C202" s="43"/>
      <c r="D202" s="51"/>
      <c r="E202" s="45"/>
      <c r="F202" s="45"/>
      <c r="G202" s="52" t="s">
        <v>23</v>
      </c>
      <c r="H202" s="47" t="s">
        <v>20</v>
      </c>
      <c r="I202" s="67"/>
      <c r="J202" s="67"/>
      <c r="K202" s="233"/>
      <c r="L202" s="53">
        <v>0</v>
      </c>
      <c r="M202" s="53">
        <v>0</v>
      </c>
      <c r="N202" s="53">
        <f t="shared" si="45"/>
        <v>0</v>
      </c>
    </row>
    <row r="203" spans="1:14" ht="21.75" customHeight="1" x14ac:dyDescent="0.4">
      <c r="A203" s="42"/>
      <c r="B203" s="43"/>
      <c r="C203" s="43"/>
      <c r="D203" s="51"/>
      <c r="E203" s="45"/>
      <c r="F203" s="45"/>
      <c r="G203" s="52" t="s">
        <v>24</v>
      </c>
      <c r="H203" s="47" t="s">
        <v>20</v>
      </c>
      <c r="I203" s="67"/>
      <c r="J203" s="67"/>
      <c r="K203" s="233"/>
      <c r="L203" s="53">
        <f ca="1">IFERROR(__xludf.DUMMYFUNCTION("IMPORTRANGE(""https://docs.google.com/spreadsheets/d/1C3CXT74ZlgGe6_JY_1olB1XN4rF0dxEuIIF-xsYjHgg/edit?usp=sharing"",""พรบ!BP32"")"),0)</f>
        <v>0</v>
      </c>
      <c r="M203" s="53">
        <v>0</v>
      </c>
      <c r="N203" s="53">
        <f t="shared" ca="1" si="45"/>
        <v>0</v>
      </c>
    </row>
    <row r="204" spans="1:14" ht="21.75" customHeight="1" x14ac:dyDescent="0.4">
      <c r="A204" s="55"/>
      <c r="B204" s="56"/>
      <c r="C204" s="43" t="s">
        <v>17</v>
      </c>
      <c r="D204" s="57" t="s">
        <v>25</v>
      </c>
      <c r="E204" s="58"/>
      <c r="F204" s="58"/>
      <c r="G204" s="59"/>
      <c r="H204" s="60"/>
      <c r="I204" s="67"/>
      <c r="J204" s="67"/>
      <c r="K204" s="233"/>
      <c r="L204" s="53"/>
      <c r="M204" s="53"/>
      <c r="N204" s="53"/>
    </row>
    <row r="205" spans="1:14" ht="21.75" customHeight="1" x14ac:dyDescent="0.4">
      <c r="A205" s="55"/>
      <c r="B205" s="56"/>
      <c r="C205" s="56"/>
      <c r="D205" s="62">
        <v>1</v>
      </c>
      <c r="E205" s="63" t="s">
        <v>26</v>
      </c>
      <c r="F205" s="64"/>
      <c r="G205" s="65"/>
      <c r="H205" s="66"/>
      <c r="I205" s="67"/>
      <c r="J205" s="67">
        <v>0</v>
      </c>
      <c r="K205" s="233"/>
      <c r="L205" s="53"/>
      <c r="M205" s="53"/>
      <c r="N205" s="53"/>
    </row>
    <row r="206" spans="1:14" ht="21.75" customHeight="1" x14ac:dyDescent="0.4">
      <c r="A206" s="55"/>
      <c r="B206" s="56"/>
      <c r="C206" s="56"/>
      <c r="D206" s="69">
        <v>2</v>
      </c>
      <c r="E206" s="70" t="s">
        <v>27</v>
      </c>
      <c r="F206" s="71"/>
      <c r="G206" s="72"/>
      <c r="H206" s="66"/>
      <c r="I206" s="67"/>
      <c r="J206" s="67">
        <v>0</v>
      </c>
      <c r="K206" s="233"/>
      <c r="L206" s="53" t="s">
        <v>21</v>
      </c>
      <c r="M206" s="53" t="s">
        <v>21</v>
      </c>
      <c r="N206" s="53"/>
    </row>
    <row r="207" spans="1:14" ht="21.75" customHeight="1" x14ac:dyDescent="0.4">
      <c r="A207" s="55"/>
      <c r="B207" s="56"/>
      <c r="C207" s="56"/>
      <c r="D207" s="73"/>
      <c r="E207" s="74" t="s">
        <v>28</v>
      </c>
      <c r="F207" s="75"/>
      <c r="G207" s="76"/>
      <c r="H207" s="66"/>
      <c r="I207" s="67"/>
      <c r="J207" s="67">
        <v>0</v>
      </c>
      <c r="K207" s="233"/>
      <c r="L207" s="53"/>
      <c r="M207" s="53"/>
      <c r="N207" s="53"/>
    </row>
    <row r="208" spans="1:14" ht="21.75" customHeight="1" x14ac:dyDescent="0.4">
      <c r="A208" s="55"/>
      <c r="B208" s="56"/>
      <c r="C208" s="56"/>
      <c r="D208" s="73"/>
      <c r="E208" s="74" t="s">
        <v>29</v>
      </c>
      <c r="F208" s="75"/>
      <c r="G208" s="76"/>
      <c r="H208" s="66"/>
      <c r="I208" s="67"/>
      <c r="J208" s="67">
        <v>0</v>
      </c>
      <c r="K208" s="233"/>
      <c r="L208" s="53"/>
      <c r="M208" s="53"/>
      <c r="N208" s="53"/>
    </row>
    <row r="209" spans="1:14" ht="21.75" customHeight="1" x14ac:dyDescent="0.4">
      <c r="A209" s="55"/>
      <c r="B209" s="56"/>
      <c r="C209" s="56"/>
      <c r="D209" s="73"/>
      <c r="E209" s="77"/>
      <c r="F209" s="74" t="s">
        <v>94</v>
      </c>
      <c r="G209" s="76"/>
      <c r="H209" s="60" t="s">
        <v>16</v>
      </c>
      <c r="I209" s="67">
        <f ca="1">IFERROR(__xludf.DUMMYFUNCTION("IMPORTRANGE(""https://docs.google.com/spreadsheets/d/1C3CXT74ZlgGe6_JY_1olB1XN4rF0dxEuIIF-xsYjHgg/edit?usp=sharing"",""พรบ!BQ32"")"),0)</f>
        <v>0</v>
      </c>
      <c r="J209" s="67">
        <v>0</v>
      </c>
      <c r="K209" s="233">
        <f ca="1">IF(I209&gt;0,J209*100/I209,0)</f>
        <v>0</v>
      </c>
      <c r="L209" s="53"/>
      <c r="M209" s="53"/>
      <c r="N209" s="53"/>
    </row>
    <row r="210" spans="1:14" ht="21.75" customHeight="1" x14ac:dyDescent="0.4">
      <c r="A210" s="55"/>
      <c r="B210" s="56"/>
      <c r="C210" s="56"/>
      <c r="D210" s="73"/>
      <c r="E210" s="77"/>
      <c r="F210" s="74" t="s">
        <v>95</v>
      </c>
      <c r="G210" s="76"/>
      <c r="H210" s="60"/>
      <c r="I210" s="67"/>
      <c r="J210" s="67"/>
      <c r="K210" s="233"/>
      <c r="L210" s="53"/>
      <c r="M210" s="53"/>
      <c r="N210" s="53"/>
    </row>
    <row r="211" spans="1:14" ht="21.75" customHeight="1" x14ac:dyDescent="0.4">
      <c r="A211" s="55"/>
      <c r="B211" s="56"/>
      <c r="C211" s="56"/>
      <c r="D211" s="73"/>
      <c r="E211" s="77"/>
      <c r="F211" s="75" t="s">
        <v>34</v>
      </c>
      <c r="G211" s="76"/>
      <c r="H211" s="60" t="s">
        <v>16</v>
      </c>
      <c r="I211" s="67">
        <f ca="1">IFERROR(__xludf.DUMMYFUNCTION("IMPORTRANGE(""https://docs.google.com/spreadsheets/d/1C3CXT74ZlgGe6_JY_1olB1XN4rF0dxEuIIF-xsYjHgg/edit?usp=sharing"",""พรบ!BR32"")"),0)</f>
        <v>0</v>
      </c>
      <c r="J211" s="67">
        <v>0</v>
      </c>
      <c r="K211" s="233">
        <f ca="1">IF(I211&gt;0,J211*100/I211,0)</f>
        <v>0</v>
      </c>
      <c r="L211" s="53"/>
      <c r="M211" s="53"/>
      <c r="N211" s="53"/>
    </row>
    <row r="212" spans="1:14" ht="21.75" customHeight="1" x14ac:dyDescent="0.4">
      <c r="A212" s="55"/>
      <c r="B212" s="56"/>
      <c r="C212" s="56"/>
      <c r="D212" s="73"/>
      <c r="E212" s="74" t="s">
        <v>35</v>
      </c>
      <c r="F212" s="75"/>
      <c r="G212" s="76"/>
      <c r="H212" s="66"/>
      <c r="I212" s="67"/>
      <c r="J212" s="67">
        <v>0</v>
      </c>
      <c r="K212" s="233"/>
      <c r="L212" s="53"/>
      <c r="M212" s="53"/>
      <c r="N212" s="53"/>
    </row>
    <row r="213" spans="1:14" ht="21.75" customHeight="1" x14ac:dyDescent="0.4">
      <c r="A213" s="55"/>
      <c r="B213" s="56"/>
      <c r="C213" s="56"/>
      <c r="D213" s="81">
        <v>3</v>
      </c>
      <c r="E213" s="82" t="s">
        <v>36</v>
      </c>
      <c r="F213" s="83"/>
      <c r="G213" s="84"/>
      <c r="H213" s="66"/>
      <c r="I213" s="67"/>
      <c r="J213" s="385">
        <v>0</v>
      </c>
      <c r="K213" s="233"/>
      <c r="L213" s="53"/>
      <c r="M213" s="53"/>
      <c r="N213" s="53"/>
    </row>
    <row r="214" spans="1:14" ht="21.75" customHeight="1" x14ac:dyDescent="0.4">
      <c r="A214" s="189"/>
      <c r="B214" s="190" t="s">
        <v>96</v>
      </c>
      <c r="C214" s="191"/>
      <c r="D214" s="192"/>
      <c r="E214" s="190"/>
      <c r="F214" s="190"/>
      <c r="G214" s="193"/>
      <c r="H214" s="194" t="s">
        <v>97</v>
      </c>
      <c r="I214" s="195">
        <f t="shared" ref="I214:J214" ca="1" si="47">I224</f>
        <v>0</v>
      </c>
      <c r="J214" s="195">
        <f t="shared" si="47"/>
        <v>0</v>
      </c>
      <c r="K214" s="196">
        <f ca="1">IF(I214&gt;0,J214*100/I214,0)</f>
        <v>0</v>
      </c>
      <c r="L214" s="197">
        <f ca="1">L215+L216</f>
        <v>0</v>
      </c>
      <c r="M214" s="197">
        <f>SUM(M215:M216)</f>
        <v>0</v>
      </c>
      <c r="N214" s="196">
        <f ca="1">IF(L214&gt;0,M214*100/L214,0)</f>
        <v>0</v>
      </c>
    </row>
    <row r="215" spans="1:14" ht="21.75" customHeight="1" x14ac:dyDescent="0.4">
      <c r="A215" s="42"/>
      <c r="B215" s="43"/>
      <c r="C215" s="43" t="s">
        <v>17</v>
      </c>
      <c r="D215" s="44" t="s">
        <v>18</v>
      </c>
      <c r="E215" s="45"/>
      <c r="F215" s="45"/>
      <c r="G215" s="46" t="s">
        <v>19</v>
      </c>
      <c r="H215" s="47" t="s">
        <v>20</v>
      </c>
      <c r="I215" s="67" t="s">
        <v>21</v>
      </c>
      <c r="J215" s="67"/>
      <c r="K215" s="233"/>
      <c r="L215" s="50">
        <v>0</v>
      </c>
      <c r="M215" s="53">
        <v>0</v>
      </c>
      <c r="N215" s="53">
        <f t="shared" ref="N215:N218" si="48">+IF(L215&gt;0,M215*100/L215,0)</f>
        <v>0</v>
      </c>
    </row>
    <row r="216" spans="1:14" ht="21.75" customHeight="1" x14ac:dyDescent="0.4">
      <c r="A216" s="42"/>
      <c r="B216" s="43"/>
      <c r="C216" s="43"/>
      <c r="D216" s="51"/>
      <c r="E216" s="45"/>
      <c r="F216" s="45" t="s">
        <v>21</v>
      </c>
      <c r="G216" s="46" t="s">
        <v>22</v>
      </c>
      <c r="H216" s="47" t="s">
        <v>20</v>
      </c>
      <c r="I216" s="67"/>
      <c r="J216" s="67"/>
      <c r="K216" s="233"/>
      <c r="L216" s="50">
        <f t="shared" ref="L216:M216" ca="1" si="49">SUM(L217:L218)</f>
        <v>0</v>
      </c>
      <c r="M216" s="53">
        <f t="shared" si="49"/>
        <v>0</v>
      </c>
      <c r="N216" s="53">
        <f t="shared" ca="1" si="48"/>
        <v>0</v>
      </c>
    </row>
    <row r="217" spans="1:14" ht="21.75" customHeight="1" x14ac:dyDescent="0.4">
      <c r="A217" s="42"/>
      <c r="B217" s="43"/>
      <c r="C217" s="43"/>
      <c r="D217" s="51"/>
      <c r="E217" s="45"/>
      <c r="F217" s="45"/>
      <c r="G217" s="52" t="s">
        <v>23</v>
      </c>
      <c r="H217" s="47" t="s">
        <v>20</v>
      </c>
      <c r="I217" s="67"/>
      <c r="J217" s="67"/>
      <c r="K217" s="233"/>
      <c r="L217" s="53">
        <v>0</v>
      </c>
      <c r="M217" s="53">
        <v>0</v>
      </c>
      <c r="N217" s="53">
        <f t="shared" si="48"/>
        <v>0</v>
      </c>
    </row>
    <row r="218" spans="1:14" ht="21.75" customHeight="1" x14ac:dyDescent="0.4">
      <c r="A218" s="42"/>
      <c r="B218" s="43"/>
      <c r="C218" s="43"/>
      <c r="D218" s="51"/>
      <c r="E218" s="45"/>
      <c r="F218" s="45"/>
      <c r="G218" s="52" t="s">
        <v>24</v>
      </c>
      <c r="H218" s="47" t="s">
        <v>20</v>
      </c>
      <c r="I218" s="67"/>
      <c r="J218" s="67"/>
      <c r="K218" s="233"/>
      <c r="L218" s="53">
        <f ca="1">IFERROR(__xludf.DUMMYFUNCTION("IMPORTRANGE(""https://docs.google.com/spreadsheets/d/1C3CXT74ZlgGe6_JY_1olB1XN4rF0dxEuIIF-xsYjHgg/edit?usp=sharing"",""พรบ!BU32"")"),0)</f>
        <v>0</v>
      </c>
      <c r="M218" s="53">
        <v>0</v>
      </c>
      <c r="N218" s="53">
        <f t="shared" ca="1" si="48"/>
        <v>0</v>
      </c>
    </row>
    <row r="219" spans="1:14" ht="21.75" customHeight="1" x14ac:dyDescent="0.4">
      <c r="A219" s="55"/>
      <c r="B219" s="56"/>
      <c r="C219" s="43" t="s">
        <v>17</v>
      </c>
      <c r="D219" s="57" t="s">
        <v>25</v>
      </c>
      <c r="E219" s="58"/>
      <c r="F219" s="58"/>
      <c r="G219" s="59"/>
      <c r="H219" s="60"/>
      <c r="I219" s="67"/>
      <c r="J219" s="67"/>
      <c r="K219" s="233"/>
      <c r="L219" s="53"/>
      <c r="M219" s="53"/>
      <c r="N219" s="53"/>
    </row>
    <row r="220" spans="1:14" ht="21.75" customHeight="1" x14ac:dyDescent="0.4">
      <c r="A220" s="55"/>
      <c r="B220" s="56"/>
      <c r="C220" s="56"/>
      <c r="D220" s="62">
        <v>1</v>
      </c>
      <c r="E220" s="63" t="s">
        <v>26</v>
      </c>
      <c r="F220" s="64"/>
      <c r="G220" s="65"/>
      <c r="H220" s="66"/>
      <c r="I220" s="67"/>
      <c r="J220" s="67">
        <v>0</v>
      </c>
      <c r="K220" s="233"/>
      <c r="L220" s="53"/>
      <c r="M220" s="53"/>
      <c r="N220" s="53"/>
    </row>
    <row r="221" spans="1:14" ht="21.75" customHeight="1" x14ac:dyDescent="0.4">
      <c r="A221" s="55"/>
      <c r="B221" s="56"/>
      <c r="C221" s="56"/>
      <c r="D221" s="69">
        <v>2</v>
      </c>
      <c r="E221" s="70" t="s">
        <v>27</v>
      </c>
      <c r="F221" s="71"/>
      <c r="G221" s="72"/>
      <c r="H221" s="66"/>
      <c r="I221" s="67"/>
      <c r="J221" s="67">
        <v>0</v>
      </c>
      <c r="K221" s="233"/>
      <c r="L221" s="53" t="s">
        <v>21</v>
      </c>
      <c r="M221" s="53" t="s">
        <v>21</v>
      </c>
      <c r="N221" s="53"/>
    </row>
    <row r="222" spans="1:14" ht="21.75" customHeight="1" x14ac:dyDescent="0.4">
      <c r="A222" s="55"/>
      <c r="B222" s="56"/>
      <c r="C222" s="56"/>
      <c r="D222" s="73"/>
      <c r="E222" s="74" t="s">
        <v>28</v>
      </c>
      <c r="F222" s="75"/>
      <c r="G222" s="76"/>
      <c r="H222" s="66"/>
      <c r="I222" s="67"/>
      <c r="J222" s="67">
        <v>0</v>
      </c>
      <c r="K222" s="233"/>
      <c r="L222" s="53"/>
      <c r="M222" s="53"/>
      <c r="N222" s="53"/>
    </row>
    <row r="223" spans="1:14" ht="21.75" customHeight="1" x14ac:dyDescent="0.4">
      <c r="A223" s="55"/>
      <c r="B223" s="56"/>
      <c r="C223" s="56"/>
      <c r="D223" s="73"/>
      <c r="E223" s="74" t="s">
        <v>29</v>
      </c>
      <c r="F223" s="75"/>
      <c r="G223" s="76"/>
      <c r="H223" s="66"/>
      <c r="I223" s="67"/>
      <c r="J223" s="67">
        <v>0</v>
      </c>
      <c r="K223" s="233"/>
      <c r="L223" s="53"/>
      <c r="M223" s="53"/>
      <c r="N223" s="53"/>
    </row>
    <row r="224" spans="1:14" ht="21.75" customHeight="1" x14ac:dyDescent="0.4">
      <c r="A224" s="55"/>
      <c r="B224" s="56"/>
      <c r="C224" s="56"/>
      <c r="D224" s="73"/>
      <c r="E224" s="77"/>
      <c r="F224" s="74" t="s">
        <v>98</v>
      </c>
      <c r="G224" s="76"/>
      <c r="H224" s="66" t="s">
        <v>97</v>
      </c>
      <c r="I224" s="67">
        <f ca="1">IFERROR(__xludf.DUMMYFUNCTION("IMPORTRANGE(""https://docs.google.com/spreadsheets/d/1C3CXT74ZlgGe6_JY_1olB1XN4rF0dxEuIIF-xsYjHgg/edit?usp=sharing"",""พรบ!BV32"")"),0)</f>
        <v>0</v>
      </c>
      <c r="J224" s="67">
        <v>0</v>
      </c>
      <c r="K224" s="233">
        <f ca="1">IF(I224&gt;0,J224*100/I224,0)</f>
        <v>0</v>
      </c>
      <c r="L224" s="53"/>
      <c r="M224" s="53"/>
      <c r="N224" s="53"/>
    </row>
    <row r="225" spans="1:14" ht="21.75" customHeight="1" x14ac:dyDescent="0.4">
      <c r="A225" s="55"/>
      <c r="B225" s="56"/>
      <c r="C225" s="56"/>
      <c r="D225" s="73"/>
      <c r="E225" s="74" t="s">
        <v>35</v>
      </c>
      <c r="F225" s="75"/>
      <c r="G225" s="76"/>
      <c r="H225" s="66"/>
      <c r="I225" s="67"/>
      <c r="J225" s="67">
        <v>0</v>
      </c>
      <c r="K225" s="233"/>
      <c r="L225" s="53"/>
      <c r="M225" s="53"/>
      <c r="N225" s="53"/>
    </row>
    <row r="226" spans="1:14" ht="21.75" customHeight="1" x14ac:dyDescent="0.4">
      <c r="A226" s="55"/>
      <c r="B226" s="56"/>
      <c r="C226" s="56"/>
      <c r="D226" s="81">
        <v>3</v>
      </c>
      <c r="E226" s="82" t="s">
        <v>36</v>
      </c>
      <c r="F226" s="83"/>
      <c r="G226" s="84"/>
      <c r="H226" s="66"/>
      <c r="I226" s="67"/>
      <c r="J226" s="360">
        <v>0</v>
      </c>
      <c r="K226" s="233"/>
      <c r="L226" s="53"/>
      <c r="M226" s="53"/>
      <c r="N226" s="53"/>
    </row>
    <row r="227" spans="1:14" ht="21.75" customHeight="1" x14ac:dyDescent="0.4">
      <c r="A227" s="166" t="s">
        <v>99</v>
      </c>
      <c r="B227" s="167"/>
      <c r="C227" s="167"/>
      <c r="D227" s="168"/>
      <c r="E227" s="167"/>
      <c r="F227" s="167"/>
      <c r="G227" s="181"/>
      <c r="H227" s="170"/>
      <c r="I227" s="171"/>
      <c r="J227" s="171"/>
      <c r="K227" s="172"/>
      <c r="L227" s="172"/>
      <c r="M227" s="172"/>
      <c r="N227" s="173"/>
    </row>
    <row r="228" spans="1:14" ht="21.75" customHeight="1" x14ac:dyDescent="0.4">
      <c r="A228" s="174"/>
      <c r="B228" s="175" t="s">
        <v>100</v>
      </c>
      <c r="C228" s="187"/>
      <c r="D228" s="175"/>
      <c r="E228" s="175"/>
      <c r="F228" s="175"/>
      <c r="G228" s="176"/>
      <c r="H228" s="177" t="s">
        <v>16</v>
      </c>
      <c r="I228" s="198">
        <f ca="1">I236</f>
        <v>400</v>
      </c>
      <c r="J228" s="198">
        <f ca="1">J240</f>
        <v>6</v>
      </c>
      <c r="K228" s="179">
        <f ca="1">IF(I228&gt;0,J228*100/I228,0)</f>
        <v>1.5</v>
      </c>
      <c r="L228" s="180">
        <f ca="1">L229+L230</f>
        <v>897600</v>
      </c>
      <c r="M228" s="180">
        <f>SUM(M229:M230)</f>
        <v>93273.5</v>
      </c>
      <c r="N228" s="179">
        <f ca="1">IF(L228&gt;0,M228*100/L228,0)</f>
        <v>10.391432709447415</v>
      </c>
    </row>
    <row r="229" spans="1:14" ht="21.75" customHeight="1" x14ac:dyDescent="0.4">
      <c r="A229" s="42"/>
      <c r="B229" s="43"/>
      <c r="C229" s="43" t="s">
        <v>17</v>
      </c>
      <c r="D229" s="44" t="s">
        <v>18</v>
      </c>
      <c r="E229" s="45"/>
      <c r="F229" s="45"/>
      <c r="G229" s="46" t="s">
        <v>19</v>
      </c>
      <c r="H229" s="47" t="s">
        <v>20</v>
      </c>
      <c r="I229" s="48" t="s">
        <v>21</v>
      </c>
      <c r="J229" s="48"/>
      <c r="K229" s="49"/>
      <c r="L229" s="50">
        <v>0</v>
      </c>
      <c r="M229" s="53">
        <v>0</v>
      </c>
      <c r="N229" s="53">
        <f t="shared" ref="N229:N232" si="50">+IF(L229&gt;0,M229*100/L229,0)</f>
        <v>0</v>
      </c>
    </row>
    <row r="230" spans="1:14" ht="21.75" customHeight="1" x14ac:dyDescent="0.4">
      <c r="A230" s="42"/>
      <c r="B230" s="43"/>
      <c r="C230" s="43"/>
      <c r="D230" s="51"/>
      <c r="E230" s="45"/>
      <c r="F230" s="45" t="s">
        <v>21</v>
      </c>
      <c r="G230" s="46" t="s">
        <v>22</v>
      </c>
      <c r="H230" s="47" t="s">
        <v>20</v>
      </c>
      <c r="I230" s="48"/>
      <c r="J230" s="48"/>
      <c r="K230" s="49"/>
      <c r="L230" s="50">
        <f t="shared" ref="L230:M230" ca="1" si="51">SUM(L231:L232)</f>
        <v>897600</v>
      </c>
      <c r="M230" s="53">
        <f t="shared" si="51"/>
        <v>93273.5</v>
      </c>
      <c r="N230" s="53">
        <f t="shared" ca="1" si="50"/>
        <v>10.391432709447415</v>
      </c>
    </row>
    <row r="231" spans="1:14" ht="21.75" customHeight="1" x14ac:dyDescent="0.4">
      <c r="A231" s="42"/>
      <c r="B231" s="43"/>
      <c r="C231" s="43"/>
      <c r="D231" s="51"/>
      <c r="E231" s="45"/>
      <c r="F231" s="45"/>
      <c r="G231" s="52" t="s">
        <v>23</v>
      </c>
      <c r="H231" s="47" t="s">
        <v>20</v>
      </c>
      <c r="I231" s="48"/>
      <c r="J231" s="48"/>
      <c r="K231" s="49"/>
      <c r="L231" s="53">
        <f ca="1">IFERROR(__xludf.DUMMYFUNCTION("IMPORTRANGE(""https://docs.google.com/spreadsheets/d/1C3CXT74ZlgGe6_JY_1olB1XN4rF0dxEuIIF-xsYjHgg/edit?usp=sharing"",""พรบ!BX32"")"),491200)</f>
        <v>491200</v>
      </c>
      <c r="M231" s="54">
        <v>50250.16</v>
      </c>
      <c r="N231" s="53">
        <f t="shared" ca="1" si="50"/>
        <v>10.230081433224756</v>
      </c>
    </row>
    <row r="232" spans="1:14" ht="21.75" customHeight="1" x14ac:dyDescent="0.4">
      <c r="A232" s="42"/>
      <c r="B232" s="43"/>
      <c r="C232" s="43"/>
      <c r="D232" s="51"/>
      <c r="E232" s="45"/>
      <c r="F232" s="45"/>
      <c r="G232" s="52" t="s">
        <v>24</v>
      </c>
      <c r="H232" s="47" t="s">
        <v>20</v>
      </c>
      <c r="I232" s="48"/>
      <c r="J232" s="48"/>
      <c r="K232" s="49"/>
      <c r="L232" s="53">
        <f ca="1">IFERROR(__xludf.DUMMYFUNCTION("IMPORTRANGE(""https://docs.google.com/spreadsheets/d/1C3CXT74ZlgGe6_JY_1olB1XN4rF0dxEuIIF-xsYjHgg/edit?usp=sharing"",""พรบ!BY32"")"),406400)</f>
        <v>406400</v>
      </c>
      <c r="M232" s="54">
        <v>43023.34</v>
      </c>
      <c r="N232" s="53">
        <f t="shared" ca="1" si="50"/>
        <v>10.586451771653543</v>
      </c>
    </row>
    <row r="233" spans="1:14" ht="21.75" customHeight="1" x14ac:dyDescent="0.4">
      <c r="A233" s="55"/>
      <c r="B233" s="155"/>
      <c r="C233" s="199" t="s">
        <v>101</v>
      </c>
      <c r="D233" s="75"/>
      <c r="E233" s="75"/>
      <c r="F233" s="75"/>
      <c r="G233" s="76"/>
      <c r="H233" s="60"/>
      <c r="I233" s="200"/>
      <c r="J233" s="200"/>
      <c r="K233" s="201"/>
      <c r="L233" s="61"/>
      <c r="M233" s="61"/>
      <c r="N233" s="202"/>
    </row>
    <row r="234" spans="1:14" ht="21.75" customHeight="1" x14ac:dyDescent="0.4">
      <c r="A234" s="55"/>
      <c r="B234" s="155"/>
      <c r="C234" s="56"/>
      <c r="D234" s="75"/>
      <c r="E234" s="74" t="s">
        <v>102</v>
      </c>
      <c r="F234" s="75"/>
      <c r="G234" s="76"/>
      <c r="H234" s="60" t="s">
        <v>16</v>
      </c>
      <c r="I234" s="67">
        <v>0</v>
      </c>
      <c r="J234" s="67">
        <f ca="1">IFERROR(__xludf.DUMMYFUNCTION("IMPORTRANGE(""https://docs.google.com/spreadsheets/d/1AGHcLOeeYFL3K4b9R1dSzyJy00PE_ra89DNTVfnxSWM/edit?usp=sharing"",""รวมที่ทำกิน!J21"")"),34)</f>
        <v>34</v>
      </c>
      <c r="K234" s="201">
        <f t="shared" ref="K234:K241" si="52">IF(I234&gt;0,J234*100/I234,0)</f>
        <v>0</v>
      </c>
      <c r="L234" s="61"/>
      <c r="M234" s="61"/>
      <c r="N234" s="202"/>
    </row>
    <row r="235" spans="1:14" ht="21.75" customHeight="1" x14ac:dyDescent="0.4">
      <c r="A235" s="55"/>
      <c r="B235" s="155"/>
      <c r="C235" s="56"/>
      <c r="D235" s="75"/>
      <c r="E235" s="75"/>
      <c r="F235" s="75"/>
      <c r="G235" s="76"/>
      <c r="H235" s="60" t="s">
        <v>103</v>
      </c>
      <c r="I235" s="67">
        <f ca="1">IFERROR(__xludf.DUMMYFUNCTION("IMPORTRANGE(""https://docs.google.com/spreadsheets/d/1C3CXT74ZlgGe6_JY_1olB1XN4rF0dxEuIIF-xsYjHgg/edit?usp=sharing"",""พรบ!BZ32"")"),1700)</f>
        <v>1700</v>
      </c>
      <c r="J235" s="67">
        <f ca="1">IFERROR(__xludf.DUMMYFUNCTION("IMPORTRANGE(""https://docs.google.com/spreadsheets/d/1AGHcLOeeYFL3K4b9R1dSzyJy00PE_ra89DNTVfnxSWM/edit?usp=sharing"",""รวมที่ทำกิน!L21"")"),267.94)</f>
        <v>267.94</v>
      </c>
      <c r="K235" s="201">
        <f t="shared" ca="1" si="52"/>
        <v>15.761176470588236</v>
      </c>
      <c r="L235" s="61"/>
      <c r="M235" s="61"/>
      <c r="N235" s="202"/>
    </row>
    <row r="236" spans="1:14" ht="21.75" customHeight="1" x14ac:dyDescent="0.4">
      <c r="A236" s="55"/>
      <c r="B236" s="155"/>
      <c r="C236" s="56"/>
      <c r="D236" s="75"/>
      <c r="E236" s="74" t="s">
        <v>104</v>
      </c>
      <c r="F236" s="75"/>
      <c r="G236" s="76"/>
      <c r="H236" s="60" t="s">
        <v>16</v>
      </c>
      <c r="I236" s="67">
        <f ca="1">IFERROR(__xludf.DUMMYFUNCTION("IMPORTRANGE(""https://docs.google.com/spreadsheets/d/1C3CXT74ZlgGe6_JY_1olB1XN4rF0dxEuIIF-xsYjHgg/edit?usp=sharing"",""พรบ!CA32"")"),400)</f>
        <v>400</v>
      </c>
      <c r="J236" s="67">
        <f ca="1">IFERROR(__xludf.DUMMYFUNCTION("IMPORTRANGE(""https://docs.google.com/spreadsheets/d/1AGHcLOeeYFL3K4b9R1dSzyJy00PE_ra89DNTVfnxSWM/edit?usp=sharing"",""รวมที่ทำกิน!O21"")"),25)</f>
        <v>25</v>
      </c>
      <c r="K236" s="201">
        <f t="shared" ca="1" si="52"/>
        <v>6.25</v>
      </c>
      <c r="L236" s="61"/>
      <c r="M236" s="61"/>
      <c r="N236" s="202"/>
    </row>
    <row r="237" spans="1:14" ht="21.75" customHeight="1" x14ac:dyDescent="0.4">
      <c r="A237" s="55"/>
      <c r="B237" s="155"/>
      <c r="C237" s="56"/>
      <c r="D237" s="75"/>
      <c r="E237" s="75"/>
      <c r="F237" s="75"/>
      <c r="G237" s="76"/>
      <c r="H237" s="60" t="s">
        <v>103</v>
      </c>
      <c r="I237" s="200">
        <v>0</v>
      </c>
      <c r="J237" s="67">
        <f ca="1">IFERROR(__xludf.DUMMYFUNCTION("IMPORTRANGE(""https://docs.google.com/spreadsheets/d/1AGHcLOeeYFL3K4b9R1dSzyJy00PE_ra89DNTVfnxSWM/edit?usp=sharing"",""รวมที่ทำกิน!Q21"")"),248.36)</f>
        <v>248.36</v>
      </c>
      <c r="K237" s="201">
        <f t="shared" si="52"/>
        <v>0</v>
      </c>
      <c r="L237" s="61"/>
      <c r="M237" s="61"/>
      <c r="N237" s="202"/>
    </row>
    <row r="238" spans="1:14" ht="21.75" customHeight="1" x14ac:dyDescent="0.4">
      <c r="A238" s="55"/>
      <c r="B238" s="155"/>
      <c r="C238" s="56"/>
      <c r="D238" s="75"/>
      <c r="E238" s="74" t="s">
        <v>105</v>
      </c>
      <c r="F238" s="75"/>
      <c r="G238" s="76"/>
      <c r="H238" s="60" t="s">
        <v>16</v>
      </c>
      <c r="I238" s="67">
        <f ca="1">IFERROR(__xludf.DUMMYFUNCTION("IMPORTRANGE(""https://docs.google.com/spreadsheets/d/1C3CXT74ZlgGe6_JY_1olB1XN4rF0dxEuIIF-xsYjHgg/edit?usp=sharing"",""พรบ!CB32"")"),400)</f>
        <v>400</v>
      </c>
      <c r="J238" s="67">
        <f ca="1">IFERROR(__xludf.DUMMYFUNCTION("IMPORTRANGE(""https://docs.google.com/spreadsheets/d/1AGHcLOeeYFL3K4b9R1dSzyJy00PE_ra89DNTVfnxSWM/edit?usp=sharing"",""รวมที่ทำกิน!S21"")"),3)</f>
        <v>3</v>
      </c>
      <c r="K238" s="201">
        <f t="shared" ca="1" si="52"/>
        <v>0.75</v>
      </c>
      <c r="L238" s="61"/>
      <c r="M238" s="61"/>
      <c r="N238" s="202"/>
    </row>
    <row r="239" spans="1:14" ht="21.75" customHeight="1" x14ac:dyDescent="0.4">
      <c r="A239" s="55"/>
      <c r="B239" s="155"/>
      <c r="C239" s="56"/>
      <c r="D239" s="75"/>
      <c r="E239" s="75"/>
      <c r="F239" s="75"/>
      <c r="G239" s="76"/>
      <c r="H239" s="60" t="s">
        <v>103</v>
      </c>
      <c r="I239" s="200">
        <v>0</v>
      </c>
      <c r="J239" s="67">
        <f ca="1">IFERROR(__xludf.DUMMYFUNCTION("IMPORTRANGE(""https://docs.google.com/spreadsheets/d/1AGHcLOeeYFL3K4b9R1dSzyJy00PE_ra89DNTVfnxSWM/edit?usp=sharing"",""รวมที่ทำกิน!U21"")"),12.77)</f>
        <v>12.77</v>
      </c>
      <c r="K239" s="201">
        <f t="shared" si="52"/>
        <v>0</v>
      </c>
      <c r="L239" s="61"/>
      <c r="M239" s="61"/>
      <c r="N239" s="202"/>
    </row>
    <row r="240" spans="1:14" ht="21.75" customHeight="1" x14ac:dyDescent="0.4">
      <c r="A240" s="55"/>
      <c r="B240" s="155"/>
      <c r="C240" s="56"/>
      <c r="D240" s="75"/>
      <c r="E240" s="74" t="s">
        <v>106</v>
      </c>
      <c r="F240" s="75"/>
      <c r="G240" s="76"/>
      <c r="H240" s="60" t="s">
        <v>16</v>
      </c>
      <c r="I240" s="67">
        <f ca="1">IFERROR(__xludf.DUMMYFUNCTION("IMPORTRANGE(""https://docs.google.com/spreadsheets/d/1C3CXT74ZlgGe6_JY_1olB1XN4rF0dxEuIIF-xsYjHgg/edit?usp=sharing"",""พรบ!CC32"")"),400)</f>
        <v>400</v>
      </c>
      <c r="J240" s="67">
        <f ca="1">IFERROR(__xludf.DUMMYFUNCTION("IMPORTRANGE(""https://docs.google.com/spreadsheets/d/1AGHcLOeeYFL3K4b9R1dSzyJy00PE_ra89DNTVfnxSWM/edit?usp=sharing"",""รวมที่ทำกิน!W21"")"),6)</f>
        <v>6</v>
      </c>
      <c r="K240" s="201">
        <f t="shared" ca="1" si="52"/>
        <v>1.5</v>
      </c>
      <c r="L240" s="61"/>
      <c r="M240" s="61"/>
      <c r="N240" s="202"/>
    </row>
    <row r="241" spans="1:14" ht="21.75" customHeight="1" x14ac:dyDescent="0.4">
      <c r="A241" s="105"/>
      <c r="B241" s="203"/>
      <c r="C241" s="106"/>
      <c r="D241" s="203"/>
      <c r="E241" s="204"/>
      <c r="F241" s="204"/>
      <c r="G241" s="205"/>
      <c r="H241" s="206" t="s">
        <v>103</v>
      </c>
      <c r="I241" s="207">
        <v>0</v>
      </c>
      <c r="J241" s="67">
        <f ca="1">IFERROR(__xludf.DUMMYFUNCTION("IMPORTRANGE(""https://docs.google.com/spreadsheets/d/1AGHcLOeeYFL3K4b9R1dSzyJy00PE_ra89DNTVfnxSWM/edit?usp=sharing"",""รวมที่ทำกิน!Y21"")"),84.37)</f>
        <v>84.37</v>
      </c>
      <c r="K241" s="201">
        <f t="shared" si="52"/>
        <v>0</v>
      </c>
      <c r="L241" s="115"/>
      <c r="M241" s="115"/>
      <c r="N241" s="208"/>
    </row>
    <row r="242" spans="1:14" ht="21.75" customHeight="1" x14ac:dyDescent="0.4">
      <c r="A242" s="209" t="s">
        <v>107</v>
      </c>
      <c r="B242" s="210"/>
      <c r="C242" s="210"/>
      <c r="D242" s="210"/>
      <c r="E242" s="210"/>
      <c r="F242" s="210"/>
      <c r="G242" s="211"/>
      <c r="H242" s="212"/>
      <c r="I242" s="213"/>
      <c r="J242" s="213"/>
      <c r="K242" s="214"/>
      <c r="L242" s="214">
        <f t="shared" ref="L242:M242" ca="1" si="53">SUM(L244,L275,L296,L330,L350,L426,L444,L457,L473,L490)</f>
        <v>2608935</v>
      </c>
      <c r="M242" s="214">
        <f t="shared" si="53"/>
        <v>33315.700000000004</v>
      </c>
      <c r="N242" s="214">
        <f ca="1">+IF(L242&gt;0,M242*100/L242,0)</f>
        <v>1.2769846699898619</v>
      </c>
    </row>
    <row r="243" spans="1:14" ht="21.75" customHeight="1" x14ac:dyDescent="0.4">
      <c r="A243" s="215" t="s">
        <v>108</v>
      </c>
      <c r="B243" s="216"/>
      <c r="C243" s="216"/>
      <c r="D243" s="216"/>
      <c r="E243" s="216"/>
      <c r="F243" s="216"/>
      <c r="G243" s="217"/>
      <c r="H243" s="218"/>
      <c r="I243" s="219"/>
      <c r="J243" s="219"/>
      <c r="K243" s="220"/>
      <c r="L243" s="220"/>
      <c r="M243" s="220"/>
      <c r="N243" s="221"/>
    </row>
    <row r="244" spans="1:14" ht="21.75" customHeight="1" x14ac:dyDescent="0.4">
      <c r="A244" s="222"/>
      <c r="B244" s="223">
        <v>1</v>
      </c>
      <c r="C244" s="224" t="s">
        <v>109</v>
      </c>
      <c r="D244" s="224"/>
      <c r="E244" s="224"/>
      <c r="F244" s="224"/>
      <c r="G244" s="225"/>
      <c r="H244" s="226" t="s">
        <v>103</v>
      </c>
      <c r="I244" s="227">
        <f t="shared" ref="I244:J244" ca="1" si="54">I270</f>
        <v>50</v>
      </c>
      <c r="J244" s="227">
        <f t="shared" si="54"/>
        <v>0</v>
      </c>
      <c r="K244" s="228">
        <f t="shared" ref="K244:K245" ca="1" si="55">IF(I244&gt;0,J244*100/I244,0)</f>
        <v>0</v>
      </c>
      <c r="L244" s="229">
        <f t="shared" ref="L244:M244" ca="1" si="56">SUM(L246:L247)</f>
        <v>230720</v>
      </c>
      <c r="M244" s="229">
        <f t="shared" si="56"/>
        <v>9286.7000000000007</v>
      </c>
      <c r="N244" s="229">
        <f ca="1">+IF(L244&gt;0,M244*100/L244,0)</f>
        <v>4.025095353675451</v>
      </c>
    </row>
    <row r="245" spans="1:14" ht="21.75" customHeight="1" x14ac:dyDescent="0.4">
      <c r="A245" s="222"/>
      <c r="B245" s="223"/>
      <c r="C245" s="224"/>
      <c r="D245" s="224"/>
      <c r="E245" s="224"/>
      <c r="F245" s="224"/>
      <c r="G245" s="225"/>
      <c r="H245" s="226" t="s">
        <v>16</v>
      </c>
      <c r="I245" s="227">
        <f ca="1">I263</f>
        <v>10</v>
      </c>
      <c r="J245" s="227">
        <f>+J263</f>
        <v>0</v>
      </c>
      <c r="K245" s="228">
        <f t="shared" ca="1" si="55"/>
        <v>0</v>
      </c>
      <c r="L245" s="229"/>
      <c r="M245" s="229"/>
      <c r="N245" s="229"/>
    </row>
    <row r="246" spans="1:14" ht="21.75" customHeight="1" x14ac:dyDescent="0.4">
      <c r="A246" s="42"/>
      <c r="B246" s="43"/>
      <c r="C246" s="43" t="s">
        <v>17</v>
      </c>
      <c r="D246" s="44" t="s">
        <v>18</v>
      </c>
      <c r="E246" s="45"/>
      <c r="F246" s="45"/>
      <c r="G246" s="46" t="s">
        <v>19</v>
      </c>
      <c r="H246" s="47" t="s">
        <v>20</v>
      </c>
      <c r="I246" s="48" t="s">
        <v>21</v>
      </c>
      <c r="J246" s="48"/>
      <c r="K246" s="49"/>
      <c r="L246" s="50">
        <v>0</v>
      </c>
      <c r="M246" s="50">
        <v>0</v>
      </c>
      <c r="N246" s="50">
        <f t="shared" ref="N246:N249" si="57">+IF(L246&gt;0,M246*100/L246,0)</f>
        <v>0</v>
      </c>
    </row>
    <row r="247" spans="1:14" ht="21.75" customHeight="1" x14ac:dyDescent="0.4">
      <c r="A247" s="42"/>
      <c r="B247" s="43"/>
      <c r="C247" s="43"/>
      <c r="D247" s="51"/>
      <c r="E247" s="45"/>
      <c r="F247" s="45" t="s">
        <v>21</v>
      </c>
      <c r="G247" s="46" t="s">
        <v>22</v>
      </c>
      <c r="H247" s="47" t="s">
        <v>20</v>
      </c>
      <c r="I247" s="48"/>
      <c r="J247" s="48"/>
      <c r="K247" s="49"/>
      <c r="L247" s="50">
        <f t="shared" ref="L247:M247" ca="1" si="58">SUM(L248:L249)</f>
        <v>230720</v>
      </c>
      <c r="M247" s="50">
        <f t="shared" si="58"/>
        <v>9286.7000000000007</v>
      </c>
      <c r="N247" s="50">
        <f t="shared" ca="1" si="57"/>
        <v>4.025095353675451</v>
      </c>
    </row>
    <row r="248" spans="1:14" ht="21.75" customHeight="1" x14ac:dyDescent="0.4">
      <c r="A248" s="42"/>
      <c r="B248" s="43"/>
      <c r="C248" s="43"/>
      <c r="D248" s="51"/>
      <c r="E248" s="45"/>
      <c r="F248" s="45"/>
      <c r="G248" s="52" t="s">
        <v>110</v>
      </c>
      <c r="H248" s="47" t="s">
        <v>20</v>
      </c>
      <c r="I248" s="48"/>
      <c r="J248" s="48"/>
      <c r="K248" s="49"/>
      <c r="L248" s="53">
        <f ca="1">IFERROR(__xludf.DUMMYFUNCTION("IMPORTRANGE(""https://docs.google.com/spreadsheets/d/1C3CXT74ZlgGe6_JY_1olB1XN4rF0dxEuIIF-xsYjHgg/edit?usp=sharing"",""งบกองทุน!d32"")"),0)</f>
        <v>0</v>
      </c>
      <c r="M248" s="53">
        <v>0</v>
      </c>
      <c r="N248" s="53">
        <f t="shared" ca="1" si="57"/>
        <v>0</v>
      </c>
    </row>
    <row r="249" spans="1:14" ht="21.75" customHeight="1" x14ac:dyDescent="0.4">
      <c r="A249" s="42"/>
      <c r="B249" s="43"/>
      <c r="C249" s="43"/>
      <c r="D249" s="51"/>
      <c r="E249" s="45"/>
      <c r="F249" s="45"/>
      <c r="G249" s="52" t="s">
        <v>111</v>
      </c>
      <c r="H249" s="47" t="s">
        <v>20</v>
      </c>
      <c r="I249" s="48"/>
      <c r="J249" s="48"/>
      <c r="K249" s="49"/>
      <c r="L249" s="53">
        <f ca="1">IFERROR(__xludf.DUMMYFUNCTION("IMPORTRANGE(""https://docs.google.com/spreadsheets/d/1C3CXT74ZlgGe6_JY_1olB1XN4rF0dxEuIIF-xsYjHgg/edit?usp=sharing"",""งบกองทุน!e32"")"),230720)</f>
        <v>230720</v>
      </c>
      <c r="M249" s="53">
        <f>SUM(M250:M253)</f>
        <v>9286.7000000000007</v>
      </c>
      <c r="N249" s="53">
        <f t="shared" ca="1" si="57"/>
        <v>4.025095353675451</v>
      </c>
    </row>
    <row r="250" spans="1:14" ht="21.75" customHeight="1" x14ac:dyDescent="0.4">
      <c r="A250" s="230"/>
      <c r="B250" s="231"/>
      <c r="C250" s="43"/>
      <c r="D250" s="232"/>
      <c r="E250" s="45"/>
      <c r="F250" s="45"/>
      <c r="G250" s="46" t="s">
        <v>112</v>
      </c>
      <c r="H250" s="47" t="s">
        <v>20</v>
      </c>
      <c r="I250" s="67"/>
      <c r="J250" s="67"/>
      <c r="K250" s="233"/>
      <c r="L250" s="53"/>
      <c r="M250" s="54">
        <v>0</v>
      </c>
      <c r="N250" s="53"/>
    </row>
    <row r="251" spans="1:14" ht="21.75" customHeight="1" x14ac:dyDescent="0.4">
      <c r="A251" s="230"/>
      <c r="B251" s="231"/>
      <c r="C251" s="43"/>
      <c r="D251" s="232"/>
      <c r="E251" s="45"/>
      <c r="F251" s="45"/>
      <c r="G251" s="46" t="s">
        <v>113</v>
      </c>
      <c r="H251" s="47" t="s">
        <v>20</v>
      </c>
      <c r="I251" s="67"/>
      <c r="J251" s="67"/>
      <c r="K251" s="233"/>
      <c r="L251" s="53"/>
      <c r="M251" s="54">
        <v>0</v>
      </c>
      <c r="N251" s="53"/>
    </row>
    <row r="252" spans="1:14" ht="21.75" customHeight="1" x14ac:dyDescent="0.4">
      <c r="A252" s="230"/>
      <c r="B252" s="231"/>
      <c r="C252" s="43"/>
      <c r="D252" s="232"/>
      <c r="E252" s="45"/>
      <c r="F252" s="45"/>
      <c r="G252" s="46" t="s">
        <v>114</v>
      </c>
      <c r="H252" s="47" t="s">
        <v>20</v>
      </c>
      <c r="I252" s="67"/>
      <c r="J252" s="67"/>
      <c r="K252" s="233"/>
      <c r="L252" s="53"/>
      <c r="M252" s="54">
        <v>9166.7000000000007</v>
      </c>
      <c r="N252" s="53"/>
    </row>
    <row r="253" spans="1:14" ht="21.75" customHeight="1" x14ac:dyDescent="0.4">
      <c r="A253" s="230"/>
      <c r="B253" s="231"/>
      <c r="C253" s="43"/>
      <c r="D253" s="232"/>
      <c r="E253" s="45"/>
      <c r="F253" s="45"/>
      <c r="G253" s="46" t="s">
        <v>115</v>
      </c>
      <c r="H253" s="47" t="s">
        <v>20</v>
      </c>
      <c r="I253" s="67"/>
      <c r="J253" s="67"/>
      <c r="K253" s="233"/>
      <c r="L253" s="53"/>
      <c r="M253" s="54">
        <v>120</v>
      </c>
      <c r="N253" s="53"/>
    </row>
    <row r="254" spans="1:14" ht="21.75" customHeight="1" x14ac:dyDescent="0.4">
      <c r="A254" s="55"/>
      <c r="B254" s="56"/>
      <c r="C254" s="43" t="s">
        <v>17</v>
      </c>
      <c r="D254" s="57" t="s">
        <v>25</v>
      </c>
      <c r="E254" s="58"/>
      <c r="F254" s="58"/>
      <c r="G254" s="59"/>
      <c r="H254" s="60"/>
      <c r="I254" s="48"/>
      <c r="J254" s="48"/>
      <c r="K254" s="49"/>
      <c r="L254" s="61"/>
      <c r="M254" s="61"/>
      <c r="N254" s="61"/>
    </row>
    <row r="255" spans="1:14" ht="21.75" customHeight="1" x14ac:dyDescent="0.4">
      <c r="A255" s="55"/>
      <c r="B255" s="56"/>
      <c r="C255" s="56"/>
      <c r="D255" s="62">
        <v>1</v>
      </c>
      <c r="E255" s="63" t="s">
        <v>26</v>
      </c>
      <c r="F255" s="64"/>
      <c r="G255" s="65"/>
      <c r="H255" s="66"/>
      <c r="I255" s="67"/>
      <c r="J255" s="68">
        <v>0</v>
      </c>
      <c r="K255" s="49"/>
      <c r="L255" s="61"/>
      <c r="M255" s="61"/>
      <c r="N255" s="61"/>
    </row>
    <row r="256" spans="1:14" ht="21.75" customHeight="1" x14ac:dyDescent="0.4">
      <c r="A256" s="55"/>
      <c r="B256" s="56"/>
      <c r="C256" s="56"/>
      <c r="D256" s="69">
        <v>2</v>
      </c>
      <c r="E256" s="70" t="s">
        <v>27</v>
      </c>
      <c r="F256" s="71"/>
      <c r="G256" s="72"/>
      <c r="H256" s="66"/>
      <c r="I256" s="67"/>
      <c r="J256" s="68">
        <v>0</v>
      </c>
      <c r="K256" s="49"/>
      <c r="L256" s="61" t="s">
        <v>21</v>
      </c>
      <c r="M256" s="61" t="s">
        <v>21</v>
      </c>
      <c r="N256" s="61"/>
    </row>
    <row r="257" spans="1:14" ht="21.75" customHeight="1" x14ac:dyDescent="0.4">
      <c r="A257" s="55"/>
      <c r="B257" s="56"/>
      <c r="C257" s="56"/>
      <c r="D257" s="73"/>
      <c r="E257" s="74" t="s">
        <v>28</v>
      </c>
      <c r="F257" s="75"/>
      <c r="G257" s="76"/>
      <c r="H257" s="66"/>
      <c r="I257" s="67"/>
      <c r="J257" s="68">
        <v>0</v>
      </c>
      <c r="K257" s="49"/>
      <c r="L257" s="61"/>
      <c r="M257" s="61"/>
      <c r="N257" s="61"/>
    </row>
    <row r="258" spans="1:14" ht="21.75" customHeight="1" x14ac:dyDescent="0.4">
      <c r="A258" s="55"/>
      <c r="B258" s="56"/>
      <c r="C258" s="56"/>
      <c r="D258" s="73"/>
      <c r="E258" s="74" t="s">
        <v>29</v>
      </c>
      <c r="F258" s="75"/>
      <c r="G258" s="76"/>
      <c r="H258" s="66"/>
      <c r="I258" s="67"/>
      <c r="J258" s="68">
        <v>0</v>
      </c>
      <c r="K258" s="49"/>
      <c r="L258" s="61"/>
      <c r="M258" s="61"/>
      <c r="N258" s="61"/>
    </row>
    <row r="259" spans="1:14" ht="21.75" hidden="1" customHeight="1" x14ac:dyDescent="0.4">
      <c r="A259" s="55"/>
      <c r="B259" s="56"/>
      <c r="C259" s="56"/>
      <c r="D259" s="73"/>
      <c r="E259" s="77"/>
      <c r="F259" s="74" t="s">
        <v>50</v>
      </c>
      <c r="G259" s="76"/>
      <c r="H259" s="60"/>
      <c r="I259" s="67"/>
      <c r="J259" s="67">
        <f>+J260+J263+J268</f>
        <v>0</v>
      </c>
      <c r="K259" s="49"/>
      <c r="L259" s="61"/>
      <c r="M259" s="61"/>
      <c r="N259" s="61"/>
    </row>
    <row r="260" spans="1:14" ht="21.75" hidden="1" customHeight="1" x14ac:dyDescent="0.4">
      <c r="A260" s="55"/>
      <c r="B260" s="56"/>
      <c r="C260" s="56"/>
      <c r="D260" s="73"/>
      <c r="E260" s="77"/>
      <c r="F260" s="75"/>
      <c r="G260" s="99" t="s">
        <v>116</v>
      </c>
      <c r="H260" s="60" t="s">
        <v>16</v>
      </c>
      <c r="I260" s="67">
        <f ca="1">IFERROR(__xludf.DUMMYFUNCTION("IMPORTRANGE(""https://docs.google.com/spreadsheets/d/1C3CXT74ZlgGe6_JY_1olB1XN4rF0dxEuIIF-xsYjHgg/edit?usp=sharing"",""งบกองทุน!f32"")"),0)</f>
        <v>0</v>
      </c>
      <c r="J260" s="67">
        <v>0</v>
      </c>
      <c r="K260" s="49">
        <f ca="1">IF(I260&gt;0,J260*100/I260,0)</f>
        <v>0</v>
      </c>
      <c r="L260" s="61"/>
      <c r="M260" s="61"/>
      <c r="N260" s="61"/>
    </row>
    <row r="261" spans="1:14" ht="21.75" hidden="1" customHeight="1" x14ac:dyDescent="0.4">
      <c r="A261" s="55"/>
      <c r="B261" s="56"/>
      <c r="C261" s="56"/>
      <c r="D261" s="73"/>
      <c r="E261" s="77"/>
      <c r="F261" s="75"/>
      <c r="G261" s="76" t="s">
        <v>117</v>
      </c>
      <c r="H261" s="60"/>
      <c r="I261" s="48"/>
      <c r="J261" s="67"/>
      <c r="K261" s="49"/>
      <c r="L261" s="61"/>
      <c r="M261" s="61"/>
      <c r="N261" s="61"/>
    </row>
    <row r="262" spans="1:14" ht="21.75" hidden="1" customHeight="1" x14ac:dyDescent="0.4">
      <c r="A262" s="55"/>
      <c r="B262" s="56"/>
      <c r="C262" s="56"/>
      <c r="D262" s="73"/>
      <c r="E262" s="77"/>
      <c r="F262" s="75"/>
      <c r="G262" s="99" t="s">
        <v>118</v>
      </c>
      <c r="H262" s="66" t="s">
        <v>103</v>
      </c>
      <c r="I262" s="67">
        <f t="shared" ref="I262:J262" ca="1" si="59">SUM(I264,I266)</f>
        <v>50</v>
      </c>
      <c r="J262" s="67">
        <f t="shared" si="59"/>
        <v>0</v>
      </c>
      <c r="K262" s="49">
        <f t="shared" ref="K262:K268" ca="1" si="60">IF(I262&gt;0,J262*100/I262,0)</f>
        <v>0</v>
      </c>
      <c r="L262" s="61"/>
      <c r="M262" s="61"/>
      <c r="N262" s="61"/>
    </row>
    <row r="263" spans="1:14" ht="21.75" customHeight="1" x14ac:dyDescent="0.4">
      <c r="A263" s="55"/>
      <c r="B263" s="56"/>
      <c r="C263" s="56"/>
      <c r="D263" s="73"/>
      <c r="E263" s="77"/>
      <c r="F263" s="99" t="s">
        <v>119</v>
      </c>
      <c r="G263" s="76"/>
      <c r="H263" s="66" t="s">
        <v>16</v>
      </c>
      <c r="I263" s="48">
        <f ca="1">IFERROR(__xludf.DUMMYFUNCTION("IMPORTRANGE(""https://docs.google.com/spreadsheets/d/1C3CXT74ZlgGe6_JY_1olB1XN4rF0dxEuIIF-xsYjHgg/edit?usp=sharing"",""งบกองทุน!H32"")"),10)</f>
        <v>10</v>
      </c>
      <c r="J263" s="67">
        <f>J267</f>
        <v>0</v>
      </c>
      <c r="K263" s="49">
        <f t="shared" ca="1" si="60"/>
        <v>0</v>
      </c>
      <c r="L263" s="61"/>
      <c r="M263" s="61"/>
      <c r="N263" s="61"/>
    </row>
    <row r="264" spans="1:14" ht="21.75" hidden="1" customHeight="1" x14ac:dyDescent="0.4">
      <c r="A264" s="55"/>
      <c r="B264" s="56"/>
      <c r="C264" s="56"/>
      <c r="D264" s="73"/>
      <c r="E264" s="77"/>
      <c r="F264" s="75"/>
      <c r="H264" s="60" t="s">
        <v>103</v>
      </c>
      <c r="I264" s="48">
        <f ca="1">IFERROR(__xludf.DUMMYFUNCTION("IMPORTRANGE(""https://docs.google.com/spreadsheets/d/1C3CXT74ZlgGe6_JY_1olB1XN4rF0dxEuIIF-xsYjHgg/edit?usp=sharing"",""งบกองทุน!i32"")"),50)</f>
        <v>50</v>
      </c>
      <c r="J264" s="68">
        <v>0</v>
      </c>
      <c r="K264" s="49">
        <f t="shared" ca="1" si="60"/>
        <v>0</v>
      </c>
      <c r="L264" s="61"/>
      <c r="M264" s="61"/>
      <c r="N264" s="61"/>
    </row>
    <row r="265" spans="1:14" ht="21.75" customHeight="1" x14ac:dyDescent="0.4">
      <c r="A265" s="55"/>
      <c r="B265" s="56"/>
      <c r="C265" s="56"/>
      <c r="D265" s="73"/>
      <c r="E265" s="77"/>
      <c r="F265" s="75"/>
      <c r="G265" s="99" t="s">
        <v>219</v>
      </c>
      <c r="H265" s="60" t="s">
        <v>16</v>
      </c>
      <c r="I265" s="48">
        <f ca="1">I263</f>
        <v>10</v>
      </c>
      <c r="J265" s="68">
        <v>0</v>
      </c>
      <c r="K265" s="49">
        <f t="shared" ca="1" si="60"/>
        <v>0</v>
      </c>
      <c r="L265" s="61"/>
      <c r="M265" s="61"/>
      <c r="N265" s="61"/>
    </row>
    <row r="266" spans="1:14" ht="21.75" hidden="1" customHeight="1" x14ac:dyDescent="0.4">
      <c r="A266" s="55"/>
      <c r="B266" s="56"/>
      <c r="C266" s="56"/>
      <c r="D266" s="73"/>
      <c r="E266" s="77"/>
      <c r="F266" s="75"/>
      <c r="G266" s="76"/>
      <c r="H266" s="60" t="s">
        <v>103</v>
      </c>
      <c r="I266" s="48">
        <f ca="1">IFERROR(__xludf.DUMMYFUNCTION("IMPORTRANGE(""https://docs.google.com/spreadsheets/d/1C3CXT74ZlgGe6_JY_1olB1XN4rF0dxEuIIF-xsYjHgg/edit?usp=sharing"",""งบกองทุน!k32"")"),0)</f>
        <v>0</v>
      </c>
      <c r="J266" s="68">
        <v>0</v>
      </c>
      <c r="K266" s="49">
        <f t="shared" ca="1" si="60"/>
        <v>0</v>
      </c>
      <c r="L266" s="61"/>
      <c r="M266" s="61"/>
      <c r="N266" s="61"/>
    </row>
    <row r="267" spans="1:14" ht="21.75" customHeight="1" x14ac:dyDescent="0.4">
      <c r="A267" s="55"/>
      <c r="B267" s="56"/>
      <c r="C267" s="56"/>
      <c r="D267" s="73"/>
      <c r="E267" s="77"/>
      <c r="F267" s="75"/>
      <c r="G267" s="76" t="s">
        <v>220</v>
      </c>
      <c r="H267" s="60" t="s">
        <v>16</v>
      </c>
      <c r="I267" s="48">
        <f ca="1">I265</f>
        <v>10</v>
      </c>
      <c r="J267" s="68">
        <v>0</v>
      </c>
      <c r="K267" s="49">
        <f t="shared" ca="1" si="60"/>
        <v>0</v>
      </c>
      <c r="L267" s="61"/>
      <c r="M267" s="61"/>
      <c r="N267" s="61"/>
    </row>
    <row r="268" spans="1:14" ht="21.75" hidden="1" customHeight="1" x14ac:dyDescent="0.4">
      <c r="A268" s="55"/>
      <c r="B268" s="56"/>
      <c r="C268" s="56"/>
      <c r="D268" s="73"/>
      <c r="E268" s="77"/>
      <c r="F268" s="75"/>
      <c r="G268" s="99" t="s">
        <v>122</v>
      </c>
      <c r="H268" s="60" t="s">
        <v>16</v>
      </c>
      <c r="I268" s="67">
        <f ca="1">IFERROR(__xludf.DUMMYFUNCTION("IMPORTRANGE(""https://docs.google.com/spreadsheets/d/1C3CXT74ZlgGe6_JY_1olB1XN4rF0dxEuIIF-xsYjHgg/edit?usp=sharing"",""งบกองทุน!m32"")"),0)</f>
        <v>0</v>
      </c>
      <c r="J268" s="67">
        <v>0</v>
      </c>
      <c r="K268" s="49">
        <f t="shared" ca="1" si="60"/>
        <v>0</v>
      </c>
      <c r="L268" s="61"/>
      <c r="M268" s="61"/>
      <c r="N268" s="61"/>
    </row>
    <row r="269" spans="1:14" ht="21.75" hidden="1" customHeight="1" x14ac:dyDescent="0.4">
      <c r="A269" s="55"/>
      <c r="B269" s="56"/>
      <c r="C269" s="56"/>
      <c r="D269" s="73"/>
      <c r="E269" s="77"/>
      <c r="F269" s="75"/>
      <c r="G269" s="76" t="s">
        <v>123</v>
      </c>
      <c r="H269" s="60"/>
      <c r="I269" s="67"/>
      <c r="J269" s="67"/>
      <c r="K269" s="49"/>
      <c r="L269" s="61"/>
      <c r="M269" s="61"/>
      <c r="N269" s="61"/>
    </row>
    <row r="270" spans="1:14" ht="21.75" customHeight="1" x14ac:dyDescent="0.4">
      <c r="A270" s="55"/>
      <c r="B270" s="56"/>
      <c r="C270" s="56"/>
      <c r="D270" s="73"/>
      <c r="E270" s="75"/>
      <c r="F270" s="74" t="s">
        <v>34</v>
      </c>
      <c r="G270" s="76"/>
      <c r="H270" s="66" t="s">
        <v>103</v>
      </c>
      <c r="I270" s="67">
        <f t="shared" ref="I270:J270" ca="1" si="61">SUM(I271:I272)</f>
        <v>50</v>
      </c>
      <c r="J270" s="67">
        <f t="shared" si="61"/>
        <v>0</v>
      </c>
      <c r="K270" s="49">
        <f t="shared" ref="K270:K272" ca="1" si="62">IF(I270&gt;0,J270*100/I270,0)</f>
        <v>0</v>
      </c>
      <c r="L270" s="61"/>
      <c r="M270" s="61"/>
      <c r="N270" s="61"/>
    </row>
    <row r="271" spans="1:14" ht="21.75" customHeight="1" x14ac:dyDescent="0.4">
      <c r="A271" s="55"/>
      <c r="B271" s="56"/>
      <c r="C271" s="56"/>
      <c r="D271" s="73"/>
      <c r="E271" s="75"/>
      <c r="F271" s="75"/>
      <c r="G271" s="76" t="s">
        <v>124</v>
      </c>
      <c r="H271" s="66" t="s">
        <v>103</v>
      </c>
      <c r="I271" s="67">
        <f ca="1">IFERROR(__xludf.DUMMYFUNCTION("IMPORTRANGE(""https://docs.google.com/spreadsheets/d/1C3CXT74ZlgGe6_JY_1olB1XN4rF0dxEuIIF-xsYjHgg/edit?usp=sharing"",""งบกองทุน!o32"")"),0)</f>
        <v>0</v>
      </c>
      <c r="J271" s="68">
        <v>0</v>
      </c>
      <c r="K271" s="49">
        <f t="shared" ca="1" si="62"/>
        <v>0</v>
      </c>
      <c r="L271" s="61"/>
      <c r="M271" s="61"/>
      <c r="N271" s="61"/>
    </row>
    <row r="272" spans="1:14" ht="21.75" customHeight="1" x14ac:dyDescent="0.4">
      <c r="A272" s="55"/>
      <c r="B272" s="56"/>
      <c r="C272" s="56"/>
      <c r="D272" s="73"/>
      <c r="E272" s="75"/>
      <c r="F272" s="75"/>
      <c r="G272" s="76" t="s">
        <v>125</v>
      </c>
      <c r="H272" s="66" t="s">
        <v>103</v>
      </c>
      <c r="I272" s="67">
        <f ca="1">IFERROR(__xludf.DUMMYFUNCTION("IMPORTRANGE(""https://docs.google.com/spreadsheets/d/1C3CXT74ZlgGe6_JY_1olB1XN4rF0dxEuIIF-xsYjHgg/edit?usp=sharing"",""งบกองทุน!p32"")"),50)</f>
        <v>50</v>
      </c>
      <c r="J272" s="68">
        <v>0</v>
      </c>
      <c r="K272" s="49">
        <f t="shared" ca="1" si="62"/>
        <v>0</v>
      </c>
      <c r="L272" s="61"/>
      <c r="M272" s="61"/>
      <c r="N272" s="61"/>
    </row>
    <row r="273" spans="1:14" ht="21.75" customHeight="1" x14ac:dyDescent="0.4">
      <c r="A273" s="55"/>
      <c r="B273" s="56"/>
      <c r="C273" s="56"/>
      <c r="D273" s="73"/>
      <c r="E273" s="74" t="s">
        <v>35</v>
      </c>
      <c r="F273" s="75"/>
      <c r="G273" s="76"/>
      <c r="H273" s="66"/>
      <c r="I273" s="67"/>
      <c r="J273" s="68">
        <v>0</v>
      </c>
      <c r="K273" s="49"/>
      <c r="L273" s="61"/>
      <c r="M273" s="61"/>
      <c r="N273" s="61"/>
    </row>
    <row r="274" spans="1:14" ht="21.75" customHeight="1" x14ac:dyDescent="0.4">
      <c r="A274" s="55"/>
      <c r="B274" s="56"/>
      <c r="C274" s="56"/>
      <c r="D274" s="81">
        <v>3</v>
      </c>
      <c r="E274" s="82" t="s">
        <v>36</v>
      </c>
      <c r="F274" s="83"/>
      <c r="G274" s="84"/>
      <c r="H274" s="66"/>
      <c r="I274" s="67"/>
      <c r="J274" s="85">
        <v>0</v>
      </c>
      <c r="K274" s="49"/>
      <c r="L274" s="61"/>
      <c r="M274" s="61"/>
      <c r="N274" s="61"/>
    </row>
    <row r="275" spans="1:14" ht="21.75" customHeight="1" x14ac:dyDescent="0.4">
      <c r="A275" s="222"/>
      <c r="B275" s="223">
        <v>2</v>
      </c>
      <c r="C275" s="224" t="s">
        <v>126</v>
      </c>
      <c r="D275" s="224"/>
      <c r="E275" s="234"/>
      <c r="F275" s="234"/>
      <c r="G275" s="235"/>
      <c r="H275" s="226" t="s">
        <v>103</v>
      </c>
      <c r="I275" s="227">
        <f ca="1">I292</f>
        <v>1000</v>
      </c>
      <c r="J275" s="227">
        <f>+J292</f>
        <v>0</v>
      </c>
      <c r="K275" s="228">
        <f t="shared" ref="K275:K276" ca="1" si="63">IF(I275&gt;0,J275*100/I275,0)</f>
        <v>0</v>
      </c>
      <c r="L275" s="229">
        <f t="shared" ref="L275:M275" ca="1" si="64">SUM(L277:L278)</f>
        <v>1028520</v>
      </c>
      <c r="M275" s="229">
        <f t="shared" si="64"/>
        <v>9406.7000000000007</v>
      </c>
      <c r="N275" s="229">
        <f ca="1">+IF(L275&gt;0,M275*100/L275,0)</f>
        <v>0.91458600707813176</v>
      </c>
    </row>
    <row r="276" spans="1:14" ht="21.75" customHeight="1" x14ac:dyDescent="0.4">
      <c r="A276" s="222"/>
      <c r="B276" s="223"/>
      <c r="C276" s="224"/>
      <c r="D276" s="236"/>
      <c r="E276" s="237"/>
      <c r="F276" s="237"/>
      <c r="G276" s="238"/>
      <c r="H276" s="226" t="s">
        <v>16</v>
      </c>
      <c r="I276" s="227">
        <f ca="1">I291</f>
        <v>100</v>
      </c>
      <c r="J276" s="227">
        <f>+J291</f>
        <v>0</v>
      </c>
      <c r="K276" s="228">
        <f t="shared" ca="1" si="63"/>
        <v>0</v>
      </c>
      <c r="L276" s="229"/>
      <c r="M276" s="229"/>
      <c r="N276" s="229"/>
    </row>
    <row r="277" spans="1:14" ht="21.75" customHeight="1" x14ac:dyDescent="0.4">
      <c r="A277" s="42"/>
      <c r="B277" s="43"/>
      <c r="C277" s="43" t="s">
        <v>17</v>
      </c>
      <c r="D277" s="44" t="s">
        <v>18</v>
      </c>
      <c r="E277" s="45"/>
      <c r="F277" s="45"/>
      <c r="G277" s="46" t="s">
        <v>19</v>
      </c>
      <c r="H277" s="47" t="s">
        <v>20</v>
      </c>
      <c r="I277" s="48" t="s">
        <v>21</v>
      </c>
      <c r="J277" s="48"/>
      <c r="K277" s="49"/>
      <c r="L277" s="50">
        <v>0</v>
      </c>
      <c r="M277" s="50">
        <v>0</v>
      </c>
      <c r="N277" s="50">
        <f t="shared" ref="N277:N280" si="65">+IF(L277&gt;0,M277*100/L277,0)</f>
        <v>0</v>
      </c>
    </row>
    <row r="278" spans="1:14" ht="21.75" customHeight="1" x14ac:dyDescent="0.4">
      <c r="A278" s="42"/>
      <c r="B278" s="43"/>
      <c r="C278" s="43"/>
      <c r="D278" s="51"/>
      <c r="E278" s="45"/>
      <c r="F278" s="45" t="s">
        <v>21</v>
      </c>
      <c r="G278" s="46" t="s">
        <v>22</v>
      </c>
      <c r="H278" s="47" t="s">
        <v>20</v>
      </c>
      <c r="I278" s="48"/>
      <c r="J278" s="48"/>
      <c r="K278" s="49"/>
      <c r="L278" s="50">
        <f t="shared" ref="L278:M278" ca="1" si="66">SUM(L279:L280)</f>
        <v>1028520</v>
      </c>
      <c r="M278" s="50">
        <f t="shared" si="66"/>
        <v>9406.7000000000007</v>
      </c>
      <c r="N278" s="50">
        <f t="shared" ca="1" si="65"/>
        <v>0.91458600707813176</v>
      </c>
    </row>
    <row r="279" spans="1:14" ht="21.75" customHeight="1" x14ac:dyDescent="0.4">
      <c r="A279" s="42"/>
      <c r="B279" s="43"/>
      <c r="C279" s="43"/>
      <c r="D279" s="51"/>
      <c r="E279" s="45"/>
      <c r="F279" s="45"/>
      <c r="G279" s="52" t="s">
        <v>110</v>
      </c>
      <c r="H279" s="47" t="s">
        <v>20</v>
      </c>
      <c r="I279" s="48"/>
      <c r="J279" s="48"/>
      <c r="K279" s="49"/>
      <c r="L279" s="53">
        <f ca="1">IFERROR(__xludf.DUMMYFUNCTION("IMPORTRANGE(""https://docs.google.com/spreadsheets/d/1C3CXT74ZlgGe6_JY_1olB1XN4rF0dxEuIIF-xsYjHgg/edit?usp=sharing"",""งบกองทุน!r32"")"),0)</f>
        <v>0</v>
      </c>
      <c r="M279" s="53">
        <v>0</v>
      </c>
      <c r="N279" s="53">
        <f t="shared" ca="1" si="65"/>
        <v>0</v>
      </c>
    </row>
    <row r="280" spans="1:14" ht="21.75" customHeight="1" x14ac:dyDescent="0.4">
      <c r="A280" s="42"/>
      <c r="B280" s="43"/>
      <c r="C280" s="43"/>
      <c r="D280" s="51"/>
      <c r="E280" s="45"/>
      <c r="F280" s="45"/>
      <c r="G280" s="52" t="s">
        <v>111</v>
      </c>
      <c r="H280" s="47" t="s">
        <v>20</v>
      </c>
      <c r="I280" s="48"/>
      <c r="J280" s="48"/>
      <c r="K280" s="49"/>
      <c r="L280" s="53">
        <f ca="1">IFERROR(__xludf.DUMMYFUNCTION("IMPORTRANGE(""https://docs.google.com/spreadsheets/d/1C3CXT74ZlgGe6_JY_1olB1XN4rF0dxEuIIF-xsYjHgg/edit?usp=sharing"",""งบกองทุน!s32"")"),1028520)</f>
        <v>1028520</v>
      </c>
      <c r="M280" s="53">
        <f>SUM(M281:M284)</f>
        <v>9406.7000000000007</v>
      </c>
      <c r="N280" s="53">
        <f t="shared" ca="1" si="65"/>
        <v>0.91458600707813176</v>
      </c>
    </row>
    <row r="281" spans="1:14" ht="21.75" customHeight="1" x14ac:dyDescent="0.4">
      <c r="A281" s="230"/>
      <c r="B281" s="231"/>
      <c r="C281" s="43"/>
      <c r="D281" s="232"/>
      <c r="E281" s="45"/>
      <c r="F281" s="45"/>
      <c r="G281" s="46" t="s">
        <v>112</v>
      </c>
      <c r="H281" s="47" t="s">
        <v>20</v>
      </c>
      <c r="I281" s="67"/>
      <c r="J281" s="67"/>
      <c r="K281" s="233"/>
      <c r="L281" s="53"/>
      <c r="M281" s="54">
        <v>9166.7000000000007</v>
      </c>
      <c r="N281" s="53"/>
    </row>
    <row r="282" spans="1:14" ht="21.75" customHeight="1" x14ac:dyDescent="0.4">
      <c r="A282" s="230"/>
      <c r="B282" s="231"/>
      <c r="C282" s="43"/>
      <c r="D282" s="232"/>
      <c r="E282" s="45"/>
      <c r="F282" s="45"/>
      <c r="G282" s="46" t="s">
        <v>113</v>
      </c>
      <c r="H282" s="47" t="s">
        <v>20</v>
      </c>
      <c r="I282" s="67"/>
      <c r="J282" s="67"/>
      <c r="K282" s="233"/>
      <c r="L282" s="53"/>
      <c r="M282" s="54">
        <v>0</v>
      </c>
      <c r="N282" s="53"/>
    </row>
    <row r="283" spans="1:14" ht="21.75" customHeight="1" x14ac:dyDescent="0.4">
      <c r="A283" s="230"/>
      <c r="B283" s="231"/>
      <c r="C283" s="43"/>
      <c r="D283" s="232"/>
      <c r="E283" s="45"/>
      <c r="F283" s="45"/>
      <c r="G283" s="46" t="s">
        <v>114</v>
      </c>
      <c r="H283" s="47" t="s">
        <v>20</v>
      </c>
      <c r="I283" s="67"/>
      <c r="J283" s="67"/>
      <c r="K283" s="233"/>
      <c r="L283" s="53"/>
      <c r="M283" s="54">
        <v>0</v>
      </c>
      <c r="N283" s="53"/>
    </row>
    <row r="284" spans="1:14" ht="21.75" customHeight="1" x14ac:dyDescent="0.4">
      <c r="A284" s="230"/>
      <c r="B284" s="231"/>
      <c r="C284" s="43"/>
      <c r="D284" s="232"/>
      <c r="E284" s="45"/>
      <c r="F284" s="45"/>
      <c r="G284" s="46" t="s">
        <v>115</v>
      </c>
      <c r="H284" s="47" t="s">
        <v>20</v>
      </c>
      <c r="I284" s="67"/>
      <c r="J284" s="67"/>
      <c r="K284" s="233"/>
      <c r="L284" s="53"/>
      <c r="M284" s="54">
        <v>240</v>
      </c>
      <c r="N284" s="53"/>
    </row>
    <row r="285" spans="1:14" ht="21.75" customHeight="1" x14ac:dyDescent="0.4">
      <c r="A285" s="55"/>
      <c r="B285" s="56"/>
      <c r="C285" s="43" t="s">
        <v>17</v>
      </c>
      <c r="D285" s="57" t="s">
        <v>25</v>
      </c>
      <c r="E285" s="58"/>
      <c r="F285" s="58"/>
      <c r="G285" s="59"/>
      <c r="H285" s="60"/>
      <c r="I285" s="48"/>
      <c r="J285" s="48"/>
      <c r="K285" s="49"/>
      <c r="L285" s="61"/>
      <c r="M285" s="61"/>
      <c r="N285" s="61"/>
    </row>
    <row r="286" spans="1:14" ht="21.75" customHeight="1" x14ac:dyDescent="0.4">
      <c r="A286" s="55"/>
      <c r="B286" s="56"/>
      <c r="C286" s="56"/>
      <c r="D286" s="62">
        <v>1</v>
      </c>
      <c r="E286" s="63" t="s">
        <v>26</v>
      </c>
      <c r="F286" s="64"/>
      <c r="G286" s="65"/>
      <c r="H286" s="66"/>
      <c r="I286" s="67"/>
      <c r="J286" s="68">
        <v>0</v>
      </c>
      <c r="K286" s="49"/>
      <c r="L286" s="61"/>
      <c r="M286" s="61"/>
      <c r="N286" s="61"/>
    </row>
    <row r="287" spans="1:14" ht="21.75" customHeight="1" x14ac:dyDescent="0.4">
      <c r="A287" s="55"/>
      <c r="B287" s="56"/>
      <c r="C287" s="56"/>
      <c r="D287" s="69">
        <v>2</v>
      </c>
      <c r="E287" s="70" t="s">
        <v>27</v>
      </c>
      <c r="F287" s="71"/>
      <c r="G287" s="72"/>
      <c r="H287" s="66"/>
      <c r="I287" s="67"/>
      <c r="J287" s="68">
        <v>0</v>
      </c>
      <c r="K287" s="49"/>
      <c r="L287" s="61" t="s">
        <v>21</v>
      </c>
      <c r="M287" s="61" t="s">
        <v>21</v>
      </c>
      <c r="N287" s="61"/>
    </row>
    <row r="288" spans="1:14" ht="21.75" customHeight="1" x14ac:dyDescent="0.4">
      <c r="A288" s="55"/>
      <c r="B288" s="56"/>
      <c r="C288" s="56"/>
      <c r="D288" s="73"/>
      <c r="E288" s="74" t="s">
        <v>28</v>
      </c>
      <c r="F288" s="75"/>
      <c r="G288" s="76"/>
      <c r="H288" s="66"/>
      <c r="I288" s="67"/>
      <c r="J288" s="68">
        <v>0</v>
      </c>
      <c r="K288" s="49"/>
      <c r="L288" s="61"/>
      <c r="M288" s="61"/>
      <c r="N288" s="61"/>
    </row>
    <row r="289" spans="1:14" ht="21.75" customHeight="1" x14ac:dyDescent="0.4">
      <c r="A289" s="55"/>
      <c r="B289" s="56"/>
      <c r="C289" s="56"/>
      <c r="D289" s="73"/>
      <c r="E289" s="74" t="s">
        <v>29</v>
      </c>
      <c r="F289" s="75"/>
      <c r="G289" s="76"/>
      <c r="H289" s="66"/>
      <c r="I289" s="67"/>
      <c r="J289" s="68">
        <v>0</v>
      </c>
      <c r="K289" s="49"/>
      <c r="L289" s="61"/>
      <c r="M289" s="61"/>
      <c r="N289" s="61"/>
    </row>
    <row r="290" spans="1:14" ht="21.75" customHeight="1" x14ac:dyDescent="0.4">
      <c r="A290" s="55"/>
      <c r="B290" s="56"/>
      <c r="C290" s="56"/>
      <c r="D290" s="73"/>
      <c r="E290" s="77"/>
      <c r="F290" s="74" t="s">
        <v>127</v>
      </c>
      <c r="G290" s="75"/>
      <c r="H290" s="66"/>
      <c r="I290" s="67"/>
      <c r="J290" s="67"/>
      <c r="K290" s="49"/>
      <c r="L290" s="61"/>
      <c r="M290" s="61"/>
      <c r="N290" s="61"/>
    </row>
    <row r="291" spans="1:14" ht="21.75" customHeight="1" x14ac:dyDescent="0.4">
      <c r="A291" s="55"/>
      <c r="B291" s="56"/>
      <c r="C291" s="56"/>
      <c r="D291" s="73"/>
      <c r="E291" s="77"/>
      <c r="F291" s="75"/>
      <c r="G291" s="99" t="s">
        <v>50</v>
      </c>
      <c r="H291" s="66" t="s">
        <v>16</v>
      </c>
      <c r="I291" s="67">
        <f ca="1">IFERROR(__xludf.DUMMYFUNCTION("IMPORTRANGE(""https://docs.google.com/spreadsheets/d/1C3CXT74ZlgGe6_JY_1olB1XN4rF0dxEuIIF-xsYjHgg/edit?usp=sharing"",""งบกองทุน!v32"")"),100)</f>
        <v>100</v>
      </c>
      <c r="J291" s="68">
        <v>0</v>
      </c>
      <c r="K291" s="49">
        <f t="shared" ref="K291:K293" ca="1" si="67">IF(I291&gt;0,J291*100/I291,0)</f>
        <v>0</v>
      </c>
      <c r="L291" s="61"/>
      <c r="M291" s="61"/>
      <c r="N291" s="61"/>
    </row>
    <row r="292" spans="1:14" ht="21.75" customHeight="1" x14ac:dyDescent="0.4">
      <c r="A292" s="55"/>
      <c r="B292" s="56"/>
      <c r="C292" s="56"/>
      <c r="D292" s="73"/>
      <c r="E292" s="77"/>
      <c r="F292" s="75"/>
      <c r="G292" s="76" t="s">
        <v>34</v>
      </c>
      <c r="H292" s="66" t="s">
        <v>103</v>
      </c>
      <c r="I292" s="67">
        <f ca="1">IFERROR(__xludf.DUMMYFUNCTION("IMPORTRANGE(""https://docs.google.com/spreadsheets/d/1C3CXT74ZlgGe6_JY_1olB1XN4rF0dxEuIIF-xsYjHgg/edit?usp=sharing"",""งบกองทุน!w32"")"),1000)</f>
        <v>1000</v>
      </c>
      <c r="J292" s="68">
        <v>0</v>
      </c>
      <c r="K292" s="49">
        <f t="shared" ca="1" si="67"/>
        <v>0</v>
      </c>
      <c r="L292" s="61"/>
      <c r="M292" s="61"/>
      <c r="N292" s="61"/>
    </row>
    <row r="293" spans="1:14" ht="21.75" customHeight="1" x14ac:dyDescent="0.4">
      <c r="A293" s="55"/>
      <c r="B293" s="56"/>
      <c r="C293" s="56"/>
      <c r="D293" s="73"/>
      <c r="E293" s="77"/>
      <c r="F293" s="75"/>
      <c r="G293" s="76"/>
      <c r="H293" s="66" t="s">
        <v>16</v>
      </c>
      <c r="I293" s="67">
        <f ca="1">IFERROR(__xludf.DUMMYFUNCTION("IMPORTRANGE(""https://docs.google.com/spreadsheets/d/1C3CXT74ZlgGe6_JY_1olB1XN4rF0dxEuIIF-xsYjHgg/edit?usp=sharing"",""งบกองทุน!x32"")"),100)</f>
        <v>100</v>
      </c>
      <c r="J293" s="68">
        <v>0</v>
      </c>
      <c r="K293" s="49">
        <f t="shared" ca="1" si="67"/>
        <v>0</v>
      </c>
      <c r="L293" s="61"/>
      <c r="M293" s="61"/>
      <c r="N293" s="61"/>
    </row>
    <row r="294" spans="1:14" ht="21.75" customHeight="1" x14ac:dyDescent="0.4">
      <c r="A294" s="55"/>
      <c r="B294" s="56"/>
      <c r="C294" s="56"/>
      <c r="D294" s="73"/>
      <c r="E294" s="74" t="s">
        <v>35</v>
      </c>
      <c r="F294" s="75"/>
      <c r="G294" s="76"/>
      <c r="H294" s="66"/>
      <c r="I294" s="67"/>
      <c r="J294" s="68">
        <v>0</v>
      </c>
      <c r="K294" s="49"/>
      <c r="L294" s="61"/>
      <c r="M294" s="61"/>
      <c r="N294" s="61"/>
    </row>
    <row r="295" spans="1:14" ht="21.75" customHeight="1" x14ac:dyDescent="0.4">
      <c r="A295" s="55"/>
      <c r="B295" s="56"/>
      <c r="C295" s="56"/>
      <c r="D295" s="81">
        <v>3</v>
      </c>
      <c r="E295" s="82" t="s">
        <v>36</v>
      </c>
      <c r="F295" s="83"/>
      <c r="G295" s="84"/>
      <c r="H295" s="66"/>
      <c r="I295" s="67"/>
      <c r="J295" s="85">
        <v>0</v>
      </c>
      <c r="K295" s="49"/>
      <c r="L295" s="61"/>
      <c r="M295" s="61"/>
      <c r="N295" s="61"/>
    </row>
    <row r="296" spans="1:14" ht="21.75" customHeight="1" x14ac:dyDescent="0.4">
      <c r="A296" s="222"/>
      <c r="B296" s="223">
        <v>3</v>
      </c>
      <c r="C296" s="223" t="s">
        <v>128</v>
      </c>
      <c r="D296" s="224"/>
      <c r="E296" s="224"/>
      <c r="F296" s="224"/>
      <c r="G296" s="225"/>
      <c r="H296" s="226" t="s">
        <v>103</v>
      </c>
      <c r="I296" s="227">
        <f ca="1">SUM(I313,I317,I322)</f>
        <v>120</v>
      </c>
      <c r="J296" s="227">
        <f>J313+J317+J322</f>
        <v>0</v>
      </c>
      <c r="K296" s="228">
        <f t="shared" ref="K296:K297" ca="1" si="68">IF(I296&gt;0,J296*100/I296,0)</f>
        <v>0</v>
      </c>
      <c r="L296" s="229">
        <f t="shared" ref="L296:M296" ca="1" si="69">SUM(L298:L299)</f>
        <v>144560</v>
      </c>
      <c r="M296" s="229">
        <f t="shared" si="69"/>
        <v>0</v>
      </c>
      <c r="N296" s="229">
        <f ca="1">+IF(L296&gt;0,M296*100/L296,0)</f>
        <v>0</v>
      </c>
    </row>
    <row r="297" spans="1:14" ht="21.75" customHeight="1" x14ac:dyDescent="0.4">
      <c r="A297" s="222"/>
      <c r="B297" s="223"/>
      <c r="C297" s="223"/>
      <c r="D297" s="236"/>
      <c r="E297" s="236"/>
      <c r="F297" s="236"/>
      <c r="G297" s="239"/>
      <c r="H297" s="226" t="s">
        <v>16</v>
      </c>
      <c r="I297" s="227">
        <f ca="1">SUM(I312,I316,I321)</f>
        <v>40</v>
      </c>
      <c r="J297" s="227">
        <f ca="1">J311</f>
        <v>0</v>
      </c>
      <c r="K297" s="228">
        <f t="shared" ca="1" si="68"/>
        <v>0</v>
      </c>
      <c r="L297" s="229"/>
      <c r="M297" s="229"/>
      <c r="N297" s="229"/>
    </row>
    <row r="298" spans="1:14" ht="21.75" customHeight="1" x14ac:dyDescent="0.4">
      <c r="A298" s="42"/>
      <c r="B298" s="43"/>
      <c r="C298" s="43" t="s">
        <v>17</v>
      </c>
      <c r="D298" s="44" t="s">
        <v>18</v>
      </c>
      <c r="E298" s="45"/>
      <c r="F298" s="45"/>
      <c r="G298" s="46" t="s">
        <v>19</v>
      </c>
      <c r="H298" s="47" t="s">
        <v>20</v>
      </c>
      <c r="I298" s="48" t="s">
        <v>21</v>
      </c>
      <c r="J298" s="48"/>
      <c r="K298" s="49"/>
      <c r="L298" s="50">
        <v>0</v>
      </c>
      <c r="M298" s="53">
        <v>0</v>
      </c>
      <c r="N298" s="53">
        <f t="shared" ref="N298:N301" si="70">+IF(L298&gt;0,M298*100/L298,0)</f>
        <v>0</v>
      </c>
    </row>
    <row r="299" spans="1:14" ht="21.75" customHeight="1" x14ac:dyDescent="0.4">
      <c r="A299" s="42"/>
      <c r="B299" s="43"/>
      <c r="C299" s="43"/>
      <c r="D299" s="51"/>
      <c r="E299" s="45"/>
      <c r="F299" s="45" t="s">
        <v>21</v>
      </c>
      <c r="G299" s="46" t="s">
        <v>22</v>
      </c>
      <c r="H299" s="47" t="s">
        <v>20</v>
      </c>
      <c r="I299" s="48"/>
      <c r="J299" s="48"/>
      <c r="K299" s="49"/>
      <c r="L299" s="50">
        <f t="shared" ref="L299:M299" ca="1" si="71">SUM(L300:L301)</f>
        <v>144560</v>
      </c>
      <c r="M299" s="53">
        <f t="shared" si="71"/>
        <v>0</v>
      </c>
      <c r="N299" s="53">
        <f t="shared" ca="1" si="70"/>
        <v>0</v>
      </c>
    </row>
    <row r="300" spans="1:14" ht="21.75" customHeight="1" x14ac:dyDescent="0.4">
      <c r="A300" s="42"/>
      <c r="B300" s="43"/>
      <c r="C300" s="43"/>
      <c r="D300" s="51"/>
      <c r="E300" s="45"/>
      <c r="F300" s="45"/>
      <c r="G300" s="52" t="s">
        <v>110</v>
      </c>
      <c r="H300" s="47" t="s">
        <v>20</v>
      </c>
      <c r="I300" s="48"/>
      <c r="J300" s="48"/>
      <c r="K300" s="49"/>
      <c r="L300" s="53">
        <f ca="1">IFERROR(__xludf.DUMMYFUNCTION("IMPORTRANGE(""https://docs.google.com/spreadsheets/d/1C3CXT74ZlgGe6_JY_1olB1XN4rF0dxEuIIF-xsYjHgg/edit?usp=sharing"",""งบกองทุน!z32"")"),0)</f>
        <v>0</v>
      </c>
      <c r="M300" s="53">
        <v>0</v>
      </c>
      <c r="N300" s="53">
        <f t="shared" ca="1" si="70"/>
        <v>0</v>
      </c>
    </row>
    <row r="301" spans="1:14" ht="21.75" customHeight="1" x14ac:dyDescent="0.4">
      <c r="A301" s="42"/>
      <c r="B301" s="43"/>
      <c r="C301" s="43"/>
      <c r="D301" s="51"/>
      <c r="E301" s="45"/>
      <c r="F301" s="45"/>
      <c r="G301" s="52" t="s">
        <v>111</v>
      </c>
      <c r="H301" s="47" t="s">
        <v>20</v>
      </c>
      <c r="I301" s="48"/>
      <c r="J301" s="48"/>
      <c r="K301" s="49"/>
      <c r="L301" s="53">
        <f ca="1">IFERROR(__xludf.DUMMYFUNCTION("IMPORTRANGE(""https://docs.google.com/spreadsheets/d/1C3CXT74ZlgGe6_JY_1olB1XN4rF0dxEuIIF-xsYjHgg/edit?usp=sharing"",""งบกองทุน!aa32"")"),144560)</f>
        <v>144560</v>
      </c>
      <c r="M301" s="53">
        <f>SUM(M302:M305)</f>
        <v>0</v>
      </c>
      <c r="N301" s="53">
        <f t="shared" ca="1" si="70"/>
        <v>0</v>
      </c>
    </row>
    <row r="302" spans="1:14" ht="21.75" customHeight="1" x14ac:dyDescent="0.4">
      <c r="A302" s="230"/>
      <c r="B302" s="231"/>
      <c r="C302" s="43"/>
      <c r="D302" s="232"/>
      <c r="E302" s="45"/>
      <c r="F302" s="45"/>
      <c r="G302" s="46" t="s">
        <v>112</v>
      </c>
      <c r="H302" s="47" t="s">
        <v>20</v>
      </c>
      <c r="I302" s="67"/>
      <c r="J302" s="67"/>
      <c r="K302" s="233"/>
      <c r="L302" s="53"/>
      <c r="M302" s="54">
        <v>0</v>
      </c>
      <c r="N302" s="53"/>
    </row>
    <row r="303" spans="1:14" ht="21.75" customHeight="1" x14ac:dyDescent="0.4">
      <c r="A303" s="230"/>
      <c r="B303" s="231"/>
      <c r="C303" s="43"/>
      <c r="D303" s="232"/>
      <c r="E303" s="45"/>
      <c r="F303" s="45"/>
      <c r="G303" s="46" t="s">
        <v>113</v>
      </c>
      <c r="H303" s="47" t="s">
        <v>20</v>
      </c>
      <c r="I303" s="67"/>
      <c r="J303" s="67"/>
      <c r="K303" s="233"/>
      <c r="L303" s="53"/>
      <c r="M303" s="54">
        <v>0</v>
      </c>
      <c r="N303" s="53"/>
    </row>
    <row r="304" spans="1:14" ht="21.75" customHeight="1" x14ac:dyDescent="0.4">
      <c r="A304" s="230"/>
      <c r="B304" s="231"/>
      <c r="C304" s="43"/>
      <c r="D304" s="232"/>
      <c r="E304" s="45"/>
      <c r="F304" s="45"/>
      <c r="G304" s="46" t="s">
        <v>114</v>
      </c>
      <c r="H304" s="47" t="s">
        <v>20</v>
      </c>
      <c r="I304" s="67"/>
      <c r="J304" s="67"/>
      <c r="K304" s="233"/>
      <c r="L304" s="53"/>
      <c r="M304" s="54">
        <v>0</v>
      </c>
      <c r="N304" s="53"/>
    </row>
    <row r="305" spans="1:14" ht="21.75" customHeight="1" x14ac:dyDescent="0.4">
      <c r="A305" s="230"/>
      <c r="B305" s="231"/>
      <c r="C305" s="43"/>
      <c r="D305" s="232"/>
      <c r="E305" s="45"/>
      <c r="F305" s="45"/>
      <c r="G305" s="46" t="s">
        <v>115</v>
      </c>
      <c r="H305" s="47" t="s">
        <v>20</v>
      </c>
      <c r="I305" s="67"/>
      <c r="J305" s="67"/>
      <c r="K305" s="233"/>
      <c r="L305" s="53"/>
      <c r="M305" s="54">
        <v>0</v>
      </c>
      <c r="N305" s="53"/>
    </row>
    <row r="306" spans="1:14" ht="21.75" customHeight="1" x14ac:dyDescent="0.4">
      <c r="A306" s="55"/>
      <c r="B306" s="56"/>
      <c r="C306" s="43" t="s">
        <v>17</v>
      </c>
      <c r="D306" s="57" t="s">
        <v>25</v>
      </c>
      <c r="E306" s="58"/>
      <c r="F306" s="58"/>
      <c r="G306" s="59"/>
      <c r="H306" s="60"/>
      <c r="I306" s="48"/>
      <c r="J306" s="48"/>
      <c r="K306" s="49"/>
      <c r="L306" s="61"/>
      <c r="M306" s="61"/>
      <c r="N306" s="61"/>
    </row>
    <row r="307" spans="1:14" ht="21.75" customHeight="1" x14ac:dyDescent="0.4">
      <c r="A307" s="55"/>
      <c r="B307" s="56"/>
      <c r="C307" s="56"/>
      <c r="D307" s="62">
        <v>1</v>
      </c>
      <c r="E307" s="63" t="s">
        <v>26</v>
      </c>
      <c r="F307" s="64"/>
      <c r="G307" s="65"/>
      <c r="H307" s="66"/>
      <c r="I307" s="67"/>
      <c r="J307" s="68">
        <v>0</v>
      </c>
      <c r="K307" s="49"/>
      <c r="L307" s="61"/>
      <c r="M307" s="61"/>
      <c r="N307" s="61"/>
    </row>
    <row r="308" spans="1:14" ht="21.75" customHeight="1" x14ac:dyDescent="0.4">
      <c r="A308" s="55"/>
      <c r="B308" s="56"/>
      <c r="C308" s="56"/>
      <c r="D308" s="69">
        <v>2</v>
      </c>
      <c r="E308" s="70" t="s">
        <v>27</v>
      </c>
      <c r="F308" s="71"/>
      <c r="G308" s="72"/>
      <c r="H308" s="66"/>
      <c r="I308" s="67"/>
      <c r="J308" s="68">
        <v>0</v>
      </c>
      <c r="K308" s="49"/>
      <c r="L308" s="61" t="s">
        <v>21</v>
      </c>
      <c r="M308" s="61" t="s">
        <v>21</v>
      </c>
      <c r="N308" s="61"/>
    </row>
    <row r="309" spans="1:14" ht="21.75" customHeight="1" x14ac:dyDescent="0.4">
      <c r="A309" s="55"/>
      <c r="B309" s="56"/>
      <c r="C309" s="56"/>
      <c r="D309" s="73"/>
      <c r="E309" s="74" t="s">
        <v>28</v>
      </c>
      <c r="F309" s="75"/>
      <c r="G309" s="76"/>
      <c r="H309" s="66"/>
      <c r="I309" s="67"/>
      <c r="J309" s="68">
        <v>0</v>
      </c>
      <c r="K309" s="49"/>
      <c r="L309" s="61"/>
      <c r="M309" s="61"/>
      <c r="N309" s="61"/>
    </row>
    <row r="310" spans="1:14" ht="21.75" customHeight="1" x14ac:dyDescent="0.4">
      <c r="A310" s="55"/>
      <c r="B310" s="56"/>
      <c r="C310" s="56"/>
      <c r="D310" s="73"/>
      <c r="E310" s="74" t="s">
        <v>29</v>
      </c>
      <c r="F310" s="75"/>
      <c r="G310" s="76"/>
      <c r="H310" s="66"/>
      <c r="I310" s="67"/>
      <c r="J310" s="68">
        <v>0</v>
      </c>
      <c r="K310" s="49"/>
      <c r="L310" s="61"/>
      <c r="M310" s="61"/>
      <c r="N310" s="61"/>
    </row>
    <row r="311" spans="1:14" ht="21.75" customHeight="1" x14ac:dyDescent="0.4">
      <c r="A311" s="55"/>
      <c r="B311" s="56"/>
      <c r="C311" s="56"/>
      <c r="D311" s="73"/>
      <c r="E311" s="77"/>
      <c r="F311" s="74" t="s">
        <v>50</v>
      </c>
      <c r="G311" s="240"/>
      <c r="H311" s="241" t="s">
        <v>16</v>
      </c>
      <c r="I311" s="79">
        <f t="shared" ref="I311:J311" ca="1" si="72">+I312+I316+I321</f>
        <v>40</v>
      </c>
      <c r="J311" s="79">
        <f t="shared" ca="1" si="72"/>
        <v>0</v>
      </c>
      <c r="K311" s="80">
        <f t="shared" ref="K311:K327" ca="1" si="73">IF(I311&gt;0,J311*100/I311,0)</f>
        <v>0</v>
      </c>
      <c r="L311" s="61"/>
      <c r="M311" s="61"/>
      <c r="N311" s="61"/>
    </row>
    <row r="312" spans="1:14" ht="21.75" customHeight="1" x14ac:dyDescent="0.4">
      <c r="A312" s="55"/>
      <c r="B312" s="56"/>
      <c r="C312" s="56"/>
      <c r="D312" s="73"/>
      <c r="E312" s="77"/>
      <c r="F312" s="242" t="s">
        <v>129</v>
      </c>
      <c r="G312" s="76"/>
      <c r="H312" s="78" t="s">
        <v>16</v>
      </c>
      <c r="I312" s="243">
        <f ca="1">IFERROR(__xludf.DUMMYFUNCTION("IMPORTRANGE(""https://docs.google.com/spreadsheets/d/1C3CXT74ZlgGe6_JY_1olB1XN4rF0dxEuIIF-xsYjHgg/edit?usp=sharing"",""งบกองทุน!ae32"")"),10)</f>
        <v>10</v>
      </c>
      <c r="J312" s="79">
        <f ca="1">IF(AND(J314=I314,J315=I315),I314,0)</f>
        <v>0</v>
      </c>
      <c r="K312" s="80">
        <f t="shared" ca="1" si="73"/>
        <v>0</v>
      </c>
      <c r="L312" s="61"/>
      <c r="M312" s="61"/>
      <c r="N312" s="61"/>
    </row>
    <row r="313" spans="1:14" ht="21.75" customHeight="1" x14ac:dyDescent="0.4">
      <c r="A313" s="55"/>
      <c r="B313" s="56"/>
      <c r="C313" s="56"/>
      <c r="D313" s="73"/>
      <c r="E313" s="77"/>
      <c r="F313" s="75"/>
      <c r="G313" s="76"/>
      <c r="H313" s="78" t="s">
        <v>103</v>
      </c>
      <c r="I313" s="243">
        <f ca="1">IFERROR(__xludf.DUMMYFUNCTION("IMPORTRANGE(""https://docs.google.com/spreadsheets/d/1C3CXT74ZlgGe6_JY_1olB1XN4rF0dxEuIIF-xsYjHgg/edit?usp=sharing"",""งบกองทุน!ad32"")"),30)</f>
        <v>30</v>
      </c>
      <c r="J313" s="154">
        <v>0</v>
      </c>
      <c r="K313" s="80">
        <f t="shared" ca="1" si="73"/>
        <v>0</v>
      </c>
      <c r="L313" s="61"/>
      <c r="M313" s="61"/>
      <c r="N313" s="61"/>
    </row>
    <row r="314" spans="1:14" ht="21.75" customHeight="1" x14ac:dyDescent="0.4">
      <c r="A314" s="55"/>
      <c r="B314" s="56"/>
      <c r="C314" s="56"/>
      <c r="D314" s="73"/>
      <c r="E314" s="77"/>
      <c r="F314" s="75"/>
      <c r="G314" s="99" t="s">
        <v>130</v>
      </c>
      <c r="H314" s="60" t="s">
        <v>16</v>
      </c>
      <c r="I314" s="200">
        <f ca="1">IFERROR(__xludf.DUMMYFUNCTION("IMPORTRANGE(""https://docs.google.com/spreadsheets/d/1C3CXT74ZlgGe6_JY_1olB1XN4rF0dxEuIIF-xsYjHgg/edit?usp=sharing"",""งบกองทุน!af32"")"),10)</f>
        <v>10</v>
      </c>
      <c r="J314" s="68">
        <v>0</v>
      </c>
      <c r="K314" s="49">
        <f t="shared" ca="1" si="73"/>
        <v>0</v>
      </c>
      <c r="L314" s="61"/>
      <c r="M314" s="61"/>
      <c r="N314" s="61"/>
    </row>
    <row r="315" spans="1:14" ht="21.75" customHeight="1" x14ac:dyDescent="0.4">
      <c r="A315" s="105"/>
      <c r="B315" s="106"/>
      <c r="C315" s="106"/>
      <c r="D315" s="244"/>
      <c r="E315" s="245"/>
      <c r="F315" s="204"/>
      <c r="G315" s="246" t="s">
        <v>131</v>
      </c>
      <c r="H315" s="206" t="s">
        <v>16</v>
      </c>
      <c r="I315" s="207">
        <f ca="1">IFERROR(__xludf.DUMMYFUNCTION("IMPORTRANGE(""https://docs.google.com/spreadsheets/d/1C3CXT74ZlgGe6_JY_1olB1XN4rF0dxEuIIF-xsYjHgg/edit?usp=sharing"",""งบกองทุน!ag32"")"),10)</f>
        <v>10</v>
      </c>
      <c r="J315" s="247">
        <v>0</v>
      </c>
      <c r="K315" s="114">
        <f t="shared" ca="1" si="73"/>
        <v>0</v>
      </c>
      <c r="L315" s="115"/>
      <c r="M315" s="115"/>
      <c r="N315" s="115"/>
    </row>
    <row r="316" spans="1:14" ht="21.75" customHeight="1" x14ac:dyDescent="0.4">
      <c r="A316" s="55"/>
      <c r="B316" s="56"/>
      <c r="C316" s="56"/>
      <c r="D316" s="73"/>
      <c r="E316" s="77"/>
      <c r="F316" s="242" t="s">
        <v>132</v>
      </c>
      <c r="G316" s="76"/>
      <c r="H316" s="78" t="s">
        <v>16</v>
      </c>
      <c r="I316" s="243">
        <f ca="1">IFERROR(__xludf.DUMMYFUNCTION("IMPORTRANGE(""https://docs.google.com/spreadsheets/d/1C3CXT74ZlgGe6_JY_1olB1XN4rF0dxEuIIF-xsYjHgg/edit?usp=sharing"",""งบกองทุน!ai32"")"),20)</f>
        <v>20</v>
      </c>
      <c r="J316" s="79">
        <f ca="1">IF(AND(J318=I318,J319=I319,J320=I320),I318,0)</f>
        <v>0</v>
      </c>
      <c r="K316" s="80">
        <f t="shared" ca="1" si="73"/>
        <v>0</v>
      </c>
      <c r="L316" s="61"/>
      <c r="M316" s="61"/>
      <c r="N316" s="61"/>
    </row>
    <row r="317" spans="1:14" ht="21.75" customHeight="1" x14ac:dyDescent="0.4">
      <c r="A317" s="55"/>
      <c r="B317" s="56"/>
      <c r="C317" s="56"/>
      <c r="D317" s="73"/>
      <c r="E317" s="77"/>
      <c r="F317" s="75"/>
      <c r="G317" s="76"/>
      <c r="H317" s="78" t="s">
        <v>103</v>
      </c>
      <c r="I317" s="243">
        <f ca="1">IFERROR(__xludf.DUMMYFUNCTION("IMPORTRANGE(""https://docs.google.com/spreadsheets/d/1C3CXT74ZlgGe6_JY_1olB1XN4rF0dxEuIIF-xsYjHgg/edit?usp=sharing"",""งบกองทุน!ah32"")"),60)</f>
        <v>60</v>
      </c>
      <c r="J317" s="154">
        <v>0</v>
      </c>
      <c r="K317" s="80">
        <f t="shared" ca="1" si="73"/>
        <v>0</v>
      </c>
      <c r="L317" s="61"/>
      <c r="M317" s="61"/>
      <c r="N317" s="61"/>
    </row>
    <row r="318" spans="1:14" ht="21.75" customHeight="1" x14ac:dyDescent="0.4">
      <c r="A318" s="55"/>
      <c r="B318" s="56"/>
      <c r="C318" s="56"/>
      <c r="D318" s="73"/>
      <c r="E318" s="77"/>
      <c r="F318" s="75"/>
      <c r="G318" s="99" t="s">
        <v>133</v>
      </c>
      <c r="H318" s="60" t="s">
        <v>16</v>
      </c>
      <c r="I318" s="200">
        <f ca="1">IFERROR(__xludf.DUMMYFUNCTION("IMPORTRANGE(""https://docs.google.com/spreadsheets/d/1C3CXT74ZlgGe6_JY_1olB1XN4rF0dxEuIIF-xsYjHgg/edit?usp=sharing"",""งบกองทุน!aj32"")"),20)</f>
        <v>20</v>
      </c>
      <c r="J318" s="68">
        <v>0</v>
      </c>
      <c r="K318" s="49">
        <f t="shared" ca="1" si="73"/>
        <v>0</v>
      </c>
      <c r="L318" s="61"/>
      <c r="M318" s="61"/>
      <c r="N318" s="61"/>
    </row>
    <row r="319" spans="1:14" ht="21.75" customHeight="1" x14ac:dyDescent="0.4">
      <c r="A319" s="55"/>
      <c r="B319" s="56"/>
      <c r="C319" s="56"/>
      <c r="D319" s="73"/>
      <c r="E319" s="77"/>
      <c r="F319" s="75"/>
      <c r="G319" s="99" t="s">
        <v>134</v>
      </c>
      <c r="H319" s="60" t="s">
        <v>16</v>
      </c>
      <c r="I319" s="200">
        <f ca="1">IFERROR(__xludf.DUMMYFUNCTION("IMPORTRANGE(""https://docs.google.com/spreadsheets/d/1C3CXT74ZlgGe6_JY_1olB1XN4rF0dxEuIIF-xsYjHgg/edit?usp=sharing"",""งบกองทุน!ak32"")"),20)</f>
        <v>20</v>
      </c>
      <c r="J319" s="68">
        <v>0</v>
      </c>
      <c r="K319" s="49">
        <f t="shared" ca="1" si="73"/>
        <v>0</v>
      </c>
      <c r="L319" s="61"/>
      <c r="M319" s="61"/>
      <c r="N319" s="61"/>
    </row>
    <row r="320" spans="1:14" ht="21.75" customHeight="1" x14ac:dyDescent="0.4">
      <c r="A320" s="55"/>
      <c r="B320" s="56"/>
      <c r="C320" s="56"/>
      <c r="D320" s="73"/>
      <c r="E320" s="77"/>
      <c r="F320" s="75"/>
      <c r="G320" s="99" t="s">
        <v>135</v>
      </c>
      <c r="H320" s="60" t="s">
        <v>16</v>
      </c>
      <c r="I320" s="200">
        <f ca="1">IFERROR(__xludf.DUMMYFUNCTION("IMPORTRANGE(""https://docs.google.com/spreadsheets/d/1C3CXT74ZlgGe6_JY_1olB1XN4rF0dxEuIIF-xsYjHgg/edit?usp=sharing"",""งบกองทุน!al32"")"),20)</f>
        <v>20</v>
      </c>
      <c r="J320" s="68">
        <v>0</v>
      </c>
      <c r="K320" s="49">
        <f t="shared" ca="1" si="73"/>
        <v>0</v>
      </c>
      <c r="L320" s="61"/>
      <c r="M320" s="61"/>
      <c r="N320" s="61"/>
    </row>
    <row r="321" spans="1:14" ht="21.75" customHeight="1" x14ac:dyDescent="0.4">
      <c r="A321" s="55"/>
      <c r="B321" s="56"/>
      <c r="C321" s="56"/>
      <c r="D321" s="73"/>
      <c r="E321" s="77"/>
      <c r="F321" s="242" t="s">
        <v>136</v>
      </c>
      <c r="G321" s="76"/>
      <c r="H321" s="78" t="s">
        <v>16</v>
      </c>
      <c r="I321" s="243">
        <f ca="1">IFERROR(__xludf.DUMMYFUNCTION("IMPORTRANGE(""https://docs.google.com/spreadsheets/d/1C3CXT74ZlgGe6_JY_1olB1XN4rF0dxEuIIF-xsYjHgg/edit?usp=sharing"",""งบกองทุน!an32"")"),10)</f>
        <v>10</v>
      </c>
      <c r="J321" s="79">
        <f ca="1">IF(AND(J323=I323,J324=I324),I323,0)</f>
        <v>0</v>
      </c>
      <c r="K321" s="80">
        <f t="shared" ca="1" si="73"/>
        <v>0</v>
      </c>
      <c r="L321" s="61"/>
      <c r="M321" s="61"/>
      <c r="N321" s="61"/>
    </row>
    <row r="322" spans="1:14" ht="21.75" customHeight="1" x14ac:dyDescent="0.4">
      <c r="A322" s="55"/>
      <c r="B322" s="56"/>
      <c r="C322" s="56"/>
      <c r="D322" s="73"/>
      <c r="E322" s="77"/>
      <c r="F322" s="75"/>
      <c r="G322" s="76"/>
      <c r="H322" s="78" t="s">
        <v>103</v>
      </c>
      <c r="I322" s="243">
        <f ca="1">IFERROR(__xludf.DUMMYFUNCTION("IMPORTRANGE(""https://docs.google.com/spreadsheets/d/1C3CXT74ZlgGe6_JY_1olB1XN4rF0dxEuIIF-xsYjHgg/edit?usp=sharing"",""งบกองทุน!am32"")"),30)</f>
        <v>30</v>
      </c>
      <c r="J322" s="154">
        <v>0</v>
      </c>
      <c r="K322" s="80">
        <f t="shared" ca="1" si="73"/>
        <v>0</v>
      </c>
      <c r="L322" s="61"/>
      <c r="M322" s="61"/>
      <c r="N322" s="61"/>
    </row>
    <row r="323" spans="1:14" ht="21.75" customHeight="1" x14ac:dyDescent="0.4">
      <c r="A323" s="55"/>
      <c r="B323" s="56"/>
      <c r="C323" s="56"/>
      <c r="D323" s="73"/>
      <c r="E323" s="77"/>
      <c r="F323" s="75"/>
      <c r="G323" s="99" t="s">
        <v>137</v>
      </c>
      <c r="H323" s="60" t="s">
        <v>16</v>
      </c>
      <c r="I323" s="248">
        <f ca="1">IFERROR(__xludf.DUMMYFUNCTION("IMPORTRANGE(""https://docs.google.com/spreadsheets/d/1C3CXT74ZlgGe6_JY_1olB1XN4rF0dxEuIIF-xsYjHgg/edit?usp=sharing"",""งบกองทุน!ao32"")"),10)</f>
        <v>10</v>
      </c>
      <c r="J323" s="68">
        <v>0</v>
      </c>
      <c r="K323" s="49">
        <f t="shared" ca="1" si="73"/>
        <v>0</v>
      </c>
      <c r="L323" s="61"/>
      <c r="M323" s="61"/>
      <c r="N323" s="61"/>
    </row>
    <row r="324" spans="1:14" ht="21.75" customHeight="1" x14ac:dyDescent="0.4">
      <c r="A324" s="55"/>
      <c r="B324" s="56"/>
      <c r="C324" s="56"/>
      <c r="D324" s="73"/>
      <c r="E324" s="77"/>
      <c r="F324" s="75"/>
      <c r="G324" s="99" t="s">
        <v>138</v>
      </c>
      <c r="H324" s="60" t="s">
        <v>16</v>
      </c>
      <c r="I324" s="248">
        <f ca="1">IFERROR(__xludf.DUMMYFUNCTION("IMPORTRANGE(""https://docs.google.com/spreadsheets/d/1C3CXT74ZlgGe6_JY_1olB1XN4rF0dxEuIIF-xsYjHgg/edit?usp=sharing"",""งบกองทุน!ap32"")"),10)</f>
        <v>10</v>
      </c>
      <c r="J324" s="68">
        <v>0</v>
      </c>
      <c r="K324" s="49">
        <f t="shared" ca="1" si="73"/>
        <v>0</v>
      </c>
      <c r="L324" s="61"/>
      <c r="M324" s="61"/>
      <c r="N324" s="61"/>
    </row>
    <row r="325" spans="1:14" ht="21.75" customHeight="1" x14ac:dyDescent="0.4">
      <c r="A325" s="55"/>
      <c r="B325" s="56"/>
      <c r="C325" s="56"/>
      <c r="D325" s="73"/>
      <c r="E325" s="77"/>
      <c r="F325" s="74" t="s">
        <v>34</v>
      </c>
      <c r="G325" s="240"/>
      <c r="H325" s="241" t="s">
        <v>16</v>
      </c>
      <c r="I325" s="79">
        <f ca="1">SUM(I326,I327)</f>
        <v>30</v>
      </c>
      <c r="J325" s="79">
        <f ca="1">IF(AND(J326=I326,J327=I327),I325,0)</f>
        <v>0</v>
      </c>
      <c r="K325" s="80">
        <f t="shared" ca="1" si="73"/>
        <v>0</v>
      </c>
      <c r="L325" s="61"/>
      <c r="M325" s="61"/>
      <c r="N325" s="61"/>
    </row>
    <row r="326" spans="1:14" ht="21.75" customHeight="1" x14ac:dyDescent="0.4">
      <c r="A326" s="249"/>
      <c r="B326" s="250"/>
      <c r="C326" s="250"/>
      <c r="D326" s="251"/>
      <c r="E326" s="77"/>
      <c r="F326" s="75"/>
      <c r="G326" s="99" t="s">
        <v>139</v>
      </c>
      <c r="H326" s="60" t="s">
        <v>16</v>
      </c>
      <c r="I326" s="248">
        <f ca="1">IFERROR(__xludf.DUMMYFUNCTION("IMPORTRANGE(""https://docs.google.com/spreadsheets/d/1C3CXT74ZlgGe6_JY_1olB1XN4rF0dxEuIIF-xsYjHgg/edit?usp=sharing"",""งบกองทุน!ar32"")"),10)</f>
        <v>10</v>
      </c>
      <c r="J326" s="68">
        <v>0</v>
      </c>
      <c r="K326" s="49">
        <f t="shared" ca="1" si="73"/>
        <v>0</v>
      </c>
      <c r="L326" s="61"/>
      <c r="M326" s="61"/>
      <c r="N326" s="61"/>
    </row>
    <row r="327" spans="1:14" ht="21.75" customHeight="1" x14ac:dyDescent="0.4">
      <c r="A327" s="249"/>
      <c r="B327" s="250"/>
      <c r="C327" s="250"/>
      <c r="D327" s="251"/>
      <c r="E327" s="77"/>
      <c r="F327" s="75"/>
      <c r="G327" s="99" t="s">
        <v>140</v>
      </c>
      <c r="H327" s="60" t="s">
        <v>16</v>
      </c>
      <c r="I327" s="248">
        <f ca="1">IFERROR(__xludf.DUMMYFUNCTION("IMPORTRANGE(""https://docs.google.com/spreadsheets/d/1C3CXT74ZlgGe6_JY_1olB1XN4rF0dxEuIIF-xsYjHgg/edit?usp=sharing"",""งบกองทุน!as32"")"),20)</f>
        <v>20</v>
      </c>
      <c r="J327" s="68">
        <v>0</v>
      </c>
      <c r="K327" s="49">
        <f t="shared" ca="1" si="73"/>
        <v>0</v>
      </c>
      <c r="L327" s="61"/>
      <c r="M327" s="61"/>
      <c r="N327" s="61"/>
    </row>
    <row r="328" spans="1:14" ht="21.75" customHeight="1" x14ac:dyDescent="0.4">
      <c r="A328" s="55"/>
      <c r="B328" s="56"/>
      <c r="C328" s="56"/>
      <c r="D328" s="73"/>
      <c r="E328" s="74" t="s">
        <v>35</v>
      </c>
      <c r="F328" s="75"/>
      <c r="G328" s="76"/>
      <c r="H328" s="66"/>
      <c r="I328" s="67"/>
      <c r="J328" s="68">
        <v>0</v>
      </c>
      <c r="K328" s="49"/>
      <c r="L328" s="61"/>
      <c r="M328" s="61"/>
      <c r="N328" s="61"/>
    </row>
    <row r="329" spans="1:14" ht="21.75" customHeight="1" x14ac:dyDescent="0.4">
      <c r="A329" s="55"/>
      <c r="B329" s="56"/>
      <c r="C329" s="56"/>
      <c r="D329" s="81">
        <v>3</v>
      </c>
      <c r="E329" s="82" t="s">
        <v>36</v>
      </c>
      <c r="F329" s="83"/>
      <c r="G329" s="84"/>
      <c r="H329" s="66"/>
      <c r="I329" s="67"/>
      <c r="J329" s="85">
        <v>0</v>
      </c>
      <c r="K329" s="49"/>
      <c r="L329" s="61"/>
      <c r="M329" s="61"/>
      <c r="N329" s="61"/>
    </row>
    <row r="330" spans="1:14" ht="21.75" customHeight="1" x14ac:dyDescent="0.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15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83000</v>
      </c>
      <c r="M330" s="259">
        <f t="shared" si="74"/>
        <v>120</v>
      </c>
      <c r="N330" s="259">
        <f t="shared" ref="N330:N334" ca="1" si="75">+IF(L330&gt;0,M330*100/L330,0)</f>
        <v>0.14457831325301204</v>
      </c>
    </row>
    <row r="331" spans="1:14" ht="21.75" customHeight="1" x14ac:dyDescent="0.4">
      <c r="A331" s="42"/>
      <c r="B331" s="43"/>
      <c r="C331" s="43" t="s">
        <v>17</v>
      </c>
      <c r="D331" s="44" t="s">
        <v>18</v>
      </c>
      <c r="E331" s="45"/>
      <c r="F331" s="45"/>
      <c r="G331" s="46" t="s">
        <v>19</v>
      </c>
      <c r="H331" s="47" t="s">
        <v>20</v>
      </c>
      <c r="I331" s="48" t="s">
        <v>21</v>
      </c>
      <c r="J331" s="48"/>
      <c r="K331" s="49"/>
      <c r="L331" s="50">
        <v>0</v>
      </c>
      <c r="M331" s="53">
        <v>0</v>
      </c>
      <c r="N331" s="53">
        <f t="shared" si="75"/>
        <v>0</v>
      </c>
    </row>
    <row r="332" spans="1:14" ht="21.75" customHeight="1" x14ac:dyDescent="0.4">
      <c r="A332" s="42"/>
      <c r="B332" s="43"/>
      <c r="C332" s="43"/>
      <c r="D332" s="51"/>
      <c r="E332" s="45"/>
      <c r="F332" s="45" t="s">
        <v>21</v>
      </c>
      <c r="G332" s="46" t="s">
        <v>22</v>
      </c>
      <c r="H332" s="47" t="s">
        <v>20</v>
      </c>
      <c r="I332" s="48"/>
      <c r="J332" s="48"/>
      <c r="K332" s="49"/>
      <c r="L332" s="50">
        <f t="shared" ref="L332:M332" ca="1" si="76">SUM(L333:L334)</f>
        <v>83000</v>
      </c>
      <c r="M332" s="53">
        <f t="shared" si="76"/>
        <v>120</v>
      </c>
      <c r="N332" s="53">
        <f t="shared" ca="1" si="75"/>
        <v>0.14457831325301204</v>
      </c>
    </row>
    <row r="333" spans="1:14" ht="21.75" customHeight="1" x14ac:dyDescent="0.4">
      <c r="A333" s="42"/>
      <c r="B333" s="43"/>
      <c r="C333" s="43"/>
      <c r="D333" s="51"/>
      <c r="E333" s="45"/>
      <c r="F333" s="45"/>
      <c r="G333" s="52" t="s">
        <v>110</v>
      </c>
      <c r="H333" s="47" t="s">
        <v>20</v>
      </c>
      <c r="I333" s="48"/>
      <c r="J333" s="48"/>
      <c r="K333" s="49"/>
      <c r="L333" s="53">
        <f ca="1">IFERROR(__xludf.DUMMYFUNCTION("IMPORTRANGE(""https://docs.google.com/spreadsheets/d/1C3CXT74ZlgGe6_JY_1olB1XN4rF0dxEuIIF-xsYjHgg/edit?usp=sharing"",""งบกองทุน!au32"")"),0)</f>
        <v>0</v>
      </c>
      <c r="M333" s="53">
        <v>0</v>
      </c>
      <c r="N333" s="53">
        <f t="shared" ca="1" si="75"/>
        <v>0</v>
      </c>
    </row>
    <row r="334" spans="1:14" ht="21.75" customHeight="1" x14ac:dyDescent="0.4">
      <c r="A334" s="42"/>
      <c r="B334" s="43"/>
      <c r="C334" s="43"/>
      <c r="D334" s="51"/>
      <c r="E334" s="45"/>
      <c r="F334" s="45"/>
      <c r="G334" s="52" t="s">
        <v>111</v>
      </c>
      <c r="H334" s="47" t="s">
        <v>20</v>
      </c>
      <c r="I334" s="48"/>
      <c r="J334" s="48"/>
      <c r="K334" s="49"/>
      <c r="L334" s="53">
        <f ca="1">IFERROR(__xludf.DUMMYFUNCTION("IMPORTRANGE(""https://docs.google.com/spreadsheets/d/1C3CXT74ZlgGe6_JY_1olB1XN4rF0dxEuIIF-xsYjHgg/edit?usp=sharing"",""งบกองทุน!av32"")"),83000)</f>
        <v>83000</v>
      </c>
      <c r="M334" s="53">
        <f>SUM(M335:M338)</f>
        <v>120</v>
      </c>
      <c r="N334" s="53">
        <f t="shared" ca="1" si="75"/>
        <v>0.14457831325301204</v>
      </c>
    </row>
    <row r="335" spans="1:14" ht="21.75" customHeight="1" x14ac:dyDescent="0.4">
      <c r="A335" s="230"/>
      <c r="B335" s="231"/>
      <c r="C335" s="43"/>
      <c r="D335" s="232"/>
      <c r="E335" s="45"/>
      <c r="F335" s="45"/>
      <c r="G335" s="46" t="s">
        <v>112</v>
      </c>
      <c r="H335" s="47" t="s">
        <v>20</v>
      </c>
      <c r="I335" s="67"/>
      <c r="J335" s="67"/>
      <c r="K335" s="233"/>
      <c r="L335" s="53"/>
      <c r="M335" s="54">
        <v>0</v>
      </c>
      <c r="N335" s="53"/>
    </row>
    <row r="336" spans="1:14" ht="21.75" customHeight="1" x14ac:dyDescent="0.4">
      <c r="A336" s="230"/>
      <c r="B336" s="231"/>
      <c r="C336" s="43"/>
      <c r="D336" s="232"/>
      <c r="E336" s="45"/>
      <c r="F336" s="45"/>
      <c r="G336" s="46" t="s">
        <v>113</v>
      </c>
      <c r="H336" s="47" t="s">
        <v>20</v>
      </c>
      <c r="I336" s="67"/>
      <c r="J336" s="67"/>
      <c r="K336" s="233"/>
      <c r="L336" s="53"/>
      <c r="M336" s="54">
        <v>0</v>
      </c>
      <c r="N336" s="53"/>
    </row>
    <row r="337" spans="1:14" ht="21.75" customHeight="1" x14ac:dyDescent="0.4">
      <c r="A337" s="230"/>
      <c r="B337" s="231"/>
      <c r="C337" s="43"/>
      <c r="D337" s="232"/>
      <c r="E337" s="45"/>
      <c r="F337" s="45"/>
      <c r="G337" s="46" t="s">
        <v>114</v>
      </c>
      <c r="H337" s="47" t="s">
        <v>20</v>
      </c>
      <c r="I337" s="67"/>
      <c r="J337" s="67"/>
      <c r="K337" s="233"/>
      <c r="L337" s="53"/>
      <c r="M337" s="54">
        <v>0</v>
      </c>
      <c r="N337" s="53"/>
    </row>
    <row r="338" spans="1:14" ht="21.75" customHeight="1" x14ac:dyDescent="0.4">
      <c r="A338" s="230"/>
      <c r="B338" s="231"/>
      <c r="C338" s="43"/>
      <c r="D338" s="232"/>
      <c r="E338" s="45"/>
      <c r="F338" s="45"/>
      <c r="G338" s="46" t="s">
        <v>115</v>
      </c>
      <c r="H338" s="47" t="s">
        <v>20</v>
      </c>
      <c r="I338" s="67"/>
      <c r="J338" s="67"/>
      <c r="K338" s="233"/>
      <c r="L338" s="53"/>
      <c r="M338" s="54">
        <v>120</v>
      </c>
      <c r="N338" s="53"/>
    </row>
    <row r="339" spans="1:14" ht="21.75" customHeight="1" x14ac:dyDescent="0.4">
      <c r="A339" s="55"/>
      <c r="B339" s="56"/>
      <c r="C339" s="43" t="s">
        <v>17</v>
      </c>
      <c r="D339" s="57" t="s">
        <v>25</v>
      </c>
      <c r="E339" s="58"/>
      <c r="F339" s="58"/>
      <c r="G339" s="59"/>
      <c r="H339" s="60"/>
      <c r="I339" s="48"/>
      <c r="J339" s="48"/>
      <c r="K339" s="49"/>
      <c r="L339" s="61"/>
      <c r="M339" s="61"/>
      <c r="N339" s="61"/>
    </row>
    <row r="340" spans="1:14" ht="21.75" customHeight="1" x14ac:dyDescent="0.4">
      <c r="A340" s="55"/>
      <c r="B340" s="56"/>
      <c r="C340" s="56"/>
      <c r="D340" s="62">
        <v>1</v>
      </c>
      <c r="E340" s="63" t="s">
        <v>26</v>
      </c>
      <c r="F340" s="64"/>
      <c r="G340" s="65"/>
      <c r="H340" s="66"/>
      <c r="I340" s="67"/>
      <c r="J340" s="85">
        <v>0</v>
      </c>
      <c r="K340" s="49"/>
      <c r="L340" s="61"/>
      <c r="M340" s="61"/>
      <c r="N340" s="61"/>
    </row>
    <row r="341" spans="1:14" ht="21.75" customHeight="1" x14ac:dyDescent="0.4">
      <c r="A341" s="55"/>
      <c r="B341" s="56"/>
      <c r="C341" s="56"/>
      <c r="D341" s="69">
        <v>2</v>
      </c>
      <c r="E341" s="70" t="s">
        <v>27</v>
      </c>
      <c r="F341" s="71"/>
      <c r="G341" s="72"/>
      <c r="H341" s="66"/>
      <c r="I341" s="67"/>
      <c r="J341" s="85">
        <v>1</v>
      </c>
      <c r="K341" s="49"/>
      <c r="L341" s="61" t="s">
        <v>21</v>
      </c>
      <c r="M341" s="61" t="s">
        <v>21</v>
      </c>
      <c r="N341" s="61"/>
    </row>
    <row r="342" spans="1:14" ht="21.75" customHeight="1" x14ac:dyDescent="0.4">
      <c r="A342" s="55"/>
      <c r="B342" s="56"/>
      <c r="C342" s="56"/>
      <c r="D342" s="73"/>
      <c r="E342" s="74" t="s">
        <v>142</v>
      </c>
      <c r="F342" s="75"/>
      <c r="G342" s="76"/>
      <c r="H342" s="66"/>
      <c r="I342" s="67"/>
      <c r="J342" s="68">
        <v>1</v>
      </c>
      <c r="K342" s="49"/>
      <c r="L342" s="61"/>
      <c r="M342" s="61"/>
      <c r="N342" s="61"/>
    </row>
    <row r="343" spans="1:14" ht="21.75" customHeight="1" x14ac:dyDescent="0.4">
      <c r="A343" s="55"/>
      <c r="B343" s="56"/>
      <c r="C343" s="56"/>
      <c r="D343" s="73"/>
      <c r="E343" s="74" t="s">
        <v>29</v>
      </c>
      <c r="F343" s="75"/>
      <c r="G343" s="76"/>
      <c r="H343" s="66"/>
      <c r="I343" s="67"/>
      <c r="J343" s="68">
        <v>0</v>
      </c>
      <c r="K343" s="49"/>
      <c r="L343" s="61"/>
      <c r="M343" s="61"/>
      <c r="N343" s="61"/>
    </row>
    <row r="344" spans="1:14" ht="21.75" customHeight="1" x14ac:dyDescent="0.4">
      <c r="A344" s="55"/>
      <c r="B344" s="56"/>
      <c r="C344" s="56"/>
      <c r="D344" s="73"/>
      <c r="E344" s="77"/>
      <c r="F344" s="260" t="s">
        <v>82</v>
      </c>
      <c r="G344" s="76"/>
      <c r="H344" s="66" t="s">
        <v>16</v>
      </c>
      <c r="I344" s="243">
        <f t="shared" ref="I344:J344" ca="1" si="77">+I345+I346+I347</f>
        <v>15</v>
      </c>
      <c r="J344" s="79">
        <f t="shared" si="77"/>
        <v>0</v>
      </c>
      <c r="K344" s="49">
        <f t="shared" ref="K344:K347" ca="1" si="78">IF(I344&gt;0,J344*100/I344,0)</f>
        <v>0</v>
      </c>
      <c r="L344" s="61"/>
      <c r="M344" s="61"/>
      <c r="N344" s="61"/>
    </row>
    <row r="345" spans="1:14" ht="21.75" customHeight="1" x14ac:dyDescent="0.4">
      <c r="A345" s="55"/>
      <c r="B345" s="56"/>
      <c r="C345" s="56"/>
      <c r="D345" s="73"/>
      <c r="E345" s="77"/>
      <c r="F345" s="75"/>
      <c r="G345" s="99" t="s">
        <v>143</v>
      </c>
      <c r="H345" s="66" t="s">
        <v>16</v>
      </c>
      <c r="I345" s="200">
        <f ca="1">IFERROR(__xludf.DUMMYFUNCTION("IMPORTRANGE(""https://docs.google.com/spreadsheets/d/1C3CXT74ZlgGe6_JY_1olB1XN4rF0dxEuIIF-xsYjHgg/edit?usp=sharing"",""งบกองทุน!ay32"")"),15)</f>
        <v>15</v>
      </c>
      <c r="J345" s="68">
        <v>0</v>
      </c>
      <c r="K345" s="49">
        <f t="shared" ca="1" si="78"/>
        <v>0</v>
      </c>
      <c r="L345" s="61"/>
      <c r="M345" s="61"/>
      <c r="N345" s="61"/>
    </row>
    <row r="346" spans="1:14" ht="21.75" customHeight="1" x14ac:dyDescent="0.4">
      <c r="A346" s="55"/>
      <c r="B346" s="56"/>
      <c r="C346" s="56"/>
      <c r="D346" s="73"/>
      <c r="E346" s="77"/>
      <c r="F346" s="75"/>
      <c r="G346" s="76" t="s">
        <v>229</v>
      </c>
      <c r="H346" s="66" t="s">
        <v>16</v>
      </c>
      <c r="I346" s="200">
        <f ca="1">IFERROR(__xludf.DUMMYFUNCTION("IMPORTRANGE(""https://docs.google.com/spreadsheets/d/1C3CXT74ZlgGe6_JY_1olB1XN4rF0dxEuIIF-xsYjHgg/edit?usp=sharing"",""งบกองทุน!az32"")"),0)</f>
        <v>0</v>
      </c>
      <c r="J346" s="68">
        <v>0</v>
      </c>
      <c r="K346" s="49">
        <f t="shared" ca="1" si="78"/>
        <v>0</v>
      </c>
      <c r="L346" s="61"/>
      <c r="M346" s="61"/>
      <c r="N346" s="61"/>
    </row>
    <row r="347" spans="1:14" ht="21.75" customHeight="1" x14ac:dyDescent="0.4">
      <c r="A347" s="55"/>
      <c r="B347" s="56"/>
      <c r="C347" s="56"/>
      <c r="D347" s="73"/>
      <c r="E347" s="77"/>
      <c r="F347" s="75"/>
      <c r="G347" s="76" t="s">
        <v>145</v>
      </c>
      <c r="H347" s="66" t="s">
        <v>16</v>
      </c>
      <c r="I347" s="67">
        <f ca="1">IFERROR(__xludf.DUMMYFUNCTION("IMPORTRANGE(""https://docs.google.com/spreadsheets/d/1C3CXT74ZlgGe6_JY_1olB1XN4rF0dxEuIIF-xsYjHgg/edit?usp=sharing"",""งบกองทุน!Ba32"")"),0)</f>
        <v>0</v>
      </c>
      <c r="J347" s="68">
        <v>0</v>
      </c>
      <c r="K347" s="49">
        <f t="shared" ca="1" si="78"/>
        <v>0</v>
      </c>
      <c r="L347" s="61"/>
      <c r="M347" s="61"/>
      <c r="N347" s="61"/>
    </row>
    <row r="348" spans="1:14" ht="21.75" customHeight="1" x14ac:dyDescent="0.4">
      <c r="A348" s="55"/>
      <c r="B348" s="56"/>
      <c r="C348" s="56"/>
      <c r="D348" s="73"/>
      <c r="E348" s="74" t="s">
        <v>35</v>
      </c>
      <c r="F348" s="75"/>
      <c r="G348" s="76"/>
      <c r="H348" s="66"/>
      <c r="I348" s="67"/>
      <c r="J348" s="68">
        <v>0</v>
      </c>
      <c r="K348" s="49"/>
      <c r="L348" s="61"/>
      <c r="M348" s="61"/>
      <c r="N348" s="61"/>
    </row>
    <row r="349" spans="1:14" ht="21.75" customHeight="1" x14ac:dyDescent="0.4">
      <c r="A349" s="55"/>
      <c r="B349" s="56"/>
      <c r="C349" s="56"/>
      <c r="D349" s="81">
        <v>3</v>
      </c>
      <c r="E349" s="82" t="s">
        <v>36</v>
      </c>
      <c r="F349" s="83"/>
      <c r="G349" s="84"/>
      <c r="H349" s="66"/>
      <c r="I349" s="67"/>
      <c r="J349" s="85">
        <v>0</v>
      </c>
      <c r="K349" s="49"/>
      <c r="L349" s="61"/>
      <c r="M349" s="61"/>
      <c r="N349" s="61"/>
    </row>
    <row r="350" spans="1:14" ht="21.75" customHeight="1" x14ac:dyDescent="0.4">
      <c r="A350" s="222"/>
      <c r="B350" s="223">
        <v>5</v>
      </c>
      <c r="C350" s="224" t="s">
        <v>146</v>
      </c>
      <c r="D350" s="224"/>
      <c r="E350" s="224"/>
      <c r="F350" s="224"/>
      <c r="G350" s="225"/>
      <c r="H350" s="226" t="s">
        <v>103</v>
      </c>
      <c r="I350" s="227">
        <f ca="1">I359</f>
        <v>39762</v>
      </c>
      <c r="J350" s="227">
        <f>+J359</f>
        <v>0</v>
      </c>
      <c r="K350" s="228">
        <f ca="1">IF(I350&gt;0,J350*100/I350,0)</f>
        <v>0</v>
      </c>
      <c r="L350" s="229">
        <f t="shared" ref="L350:M350" ca="1" si="79">SUM(L351:L352)</f>
        <v>615200</v>
      </c>
      <c r="M350" s="229">
        <f t="shared" si="79"/>
        <v>9166.7000000000007</v>
      </c>
      <c r="N350" s="229">
        <f t="shared" ref="N350:N354" ca="1" si="80">+IF(L350&gt;0,M350*100/L350,0)</f>
        <v>1.4900357607282186</v>
      </c>
    </row>
    <row r="351" spans="1:14" ht="21.75" customHeight="1" x14ac:dyDescent="0.4">
      <c r="A351" s="42"/>
      <c r="B351" s="43"/>
      <c r="C351" s="43" t="s">
        <v>17</v>
      </c>
      <c r="D351" s="44" t="s">
        <v>18</v>
      </c>
      <c r="E351" s="45"/>
      <c r="F351" s="45"/>
      <c r="G351" s="46" t="s">
        <v>19</v>
      </c>
      <c r="H351" s="47" t="s">
        <v>20</v>
      </c>
      <c r="I351" s="48" t="s">
        <v>21</v>
      </c>
      <c r="J351" s="48"/>
      <c r="K351" s="49"/>
      <c r="L351" s="50">
        <v>0</v>
      </c>
      <c r="M351" s="53">
        <v>0</v>
      </c>
      <c r="N351" s="53">
        <f t="shared" si="80"/>
        <v>0</v>
      </c>
    </row>
    <row r="352" spans="1:14" ht="21.75" customHeight="1" x14ac:dyDescent="0.4">
      <c r="A352" s="42"/>
      <c r="B352" s="43"/>
      <c r="C352" s="43"/>
      <c r="D352" s="51"/>
      <c r="E352" s="45"/>
      <c r="F352" s="45" t="s">
        <v>21</v>
      </c>
      <c r="G352" s="46" t="s">
        <v>22</v>
      </c>
      <c r="H352" s="47" t="s">
        <v>20</v>
      </c>
      <c r="I352" s="48"/>
      <c r="J352" s="48"/>
      <c r="K352" s="49"/>
      <c r="L352" s="50">
        <f t="shared" ref="L352:M352" ca="1" si="81">SUM(L353:L354)</f>
        <v>615200</v>
      </c>
      <c r="M352" s="53">
        <f t="shared" si="81"/>
        <v>9166.7000000000007</v>
      </c>
      <c r="N352" s="53">
        <f t="shared" ca="1" si="80"/>
        <v>1.4900357607282186</v>
      </c>
    </row>
    <row r="353" spans="1:14" ht="21.75" customHeight="1" x14ac:dyDescent="0.4">
      <c r="A353" s="42"/>
      <c r="B353" s="43"/>
      <c r="C353" s="43"/>
      <c r="D353" s="51"/>
      <c r="E353" s="45"/>
      <c r="F353" s="45"/>
      <c r="G353" s="52" t="s">
        <v>110</v>
      </c>
      <c r="H353" s="47" t="s">
        <v>20</v>
      </c>
      <c r="I353" s="48"/>
      <c r="J353" s="48"/>
      <c r="K353" s="49"/>
      <c r="L353" s="53">
        <f ca="1">IFERROR(__xludf.DUMMYFUNCTION("IMPORTRANGE(""https://docs.google.com/spreadsheets/d/1C3CXT74ZlgGe6_JY_1olB1XN4rF0dxEuIIF-xsYjHgg/edit?usp=sharing"",""งบกองทุน!Bc32"")"),0)</f>
        <v>0</v>
      </c>
      <c r="M353" s="53">
        <v>0</v>
      </c>
      <c r="N353" s="53">
        <f t="shared" ca="1" si="80"/>
        <v>0</v>
      </c>
    </row>
    <row r="354" spans="1:14" ht="21.75" customHeight="1" x14ac:dyDescent="0.4">
      <c r="A354" s="42"/>
      <c r="B354" s="43"/>
      <c r="C354" s="43"/>
      <c r="D354" s="51"/>
      <c r="E354" s="45"/>
      <c r="F354" s="45"/>
      <c r="G354" s="52" t="s">
        <v>111</v>
      </c>
      <c r="H354" s="47" t="s">
        <v>20</v>
      </c>
      <c r="I354" s="48"/>
      <c r="J354" s="48"/>
      <c r="K354" s="49"/>
      <c r="L354" s="53">
        <f ca="1">IFERROR(__xludf.DUMMYFUNCTION("IMPORTRANGE(""https://docs.google.com/spreadsheets/d/1C3CXT74ZlgGe6_JY_1olB1XN4rF0dxEuIIF-xsYjHgg/edit?usp=sharing"",""งบกองทุน!Bd32"")"),615200)</f>
        <v>615200</v>
      </c>
      <c r="M354" s="53">
        <f>SUM(M355:M358)</f>
        <v>9166.7000000000007</v>
      </c>
      <c r="N354" s="53">
        <f t="shared" ca="1" si="80"/>
        <v>1.4900357607282186</v>
      </c>
    </row>
    <row r="355" spans="1:14" ht="21.75" customHeight="1" x14ac:dyDescent="0.4">
      <c r="A355" s="230"/>
      <c r="B355" s="231"/>
      <c r="C355" s="43"/>
      <c r="D355" s="232"/>
      <c r="E355" s="45"/>
      <c r="F355" s="45"/>
      <c r="G355" s="46" t="s">
        <v>112</v>
      </c>
      <c r="H355" s="47" t="s">
        <v>20</v>
      </c>
      <c r="I355" s="67"/>
      <c r="J355" s="67"/>
      <c r="K355" s="233"/>
      <c r="L355" s="53"/>
      <c r="M355" s="53">
        <v>0</v>
      </c>
      <c r="N355" s="53"/>
    </row>
    <row r="356" spans="1:14" ht="21.75" customHeight="1" x14ac:dyDescent="0.4">
      <c r="A356" s="230"/>
      <c r="B356" s="231"/>
      <c r="C356" s="43"/>
      <c r="D356" s="232"/>
      <c r="E356" s="45"/>
      <c r="F356" s="45"/>
      <c r="G356" s="46" t="s">
        <v>113</v>
      </c>
      <c r="H356" s="47" t="s">
        <v>20</v>
      </c>
      <c r="I356" s="67"/>
      <c r="J356" s="67"/>
      <c r="K356" s="233"/>
      <c r="L356" s="53"/>
      <c r="M356" s="53">
        <v>0</v>
      </c>
      <c r="N356" s="53"/>
    </row>
    <row r="357" spans="1:14" ht="21.75" customHeight="1" x14ac:dyDescent="0.4">
      <c r="A357" s="230"/>
      <c r="B357" s="231"/>
      <c r="C357" s="43"/>
      <c r="D357" s="232"/>
      <c r="E357" s="45"/>
      <c r="F357" s="45"/>
      <c r="G357" s="46" t="s">
        <v>114</v>
      </c>
      <c r="H357" s="47" t="s">
        <v>20</v>
      </c>
      <c r="I357" s="67"/>
      <c r="J357" s="67"/>
      <c r="K357" s="233"/>
      <c r="L357" s="53"/>
      <c r="M357" s="54">
        <v>9166.7000000000007</v>
      </c>
      <c r="N357" s="53"/>
    </row>
    <row r="358" spans="1:14" ht="21.75" customHeight="1" x14ac:dyDescent="0.4">
      <c r="A358" s="230"/>
      <c r="B358" s="231"/>
      <c r="C358" s="43"/>
      <c r="D358" s="232"/>
      <c r="E358" s="45"/>
      <c r="F358" s="45"/>
      <c r="G358" s="46" t="s">
        <v>115</v>
      </c>
      <c r="H358" s="47" t="s">
        <v>20</v>
      </c>
      <c r="I358" s="67"/>
      <c r="J358" s="67"/>
      <c r="K358" s="233"/>
      <c r="L358" s="53"/>
      <c r="M358" s="54">
        <v>0</v>
      </c>
      <c r="N358" s="53"/>
    </row>
    <row r="359" spans="1:14" ht="21.75" customHeight="1" x14ac:dyDescent="0.4">
      <c r="A359" s="55"/>
      <c r="B359" s="56"/>
      <c r="C359" s="261" t="s">
        <v>147</v>
      </c>
      <c r="D359" s="261"/>
      <c r="E359" s="262"/>
      <c r="F359" s="262"/>
      <c r="G359" s="263"/>
      <c r="H359" s="136" t="s">
        <v>103</v>
      </c>
      <c r="I359" s="137">
        <f ca="1">IFERROR(__xludf.DUMMYFUNCTION("IMPORTRANGE(""https://docs.google.com/spreadsheets/d/1C3CXT74ZlgGe6_JY_1olB1XN4rF0dxEuIIF-xsYjHgg/edit?usp=sharing"",""งบกองทุน!BE32"")"),39762)</f>
        <v>39762</v>
      </c>
      <c r="J359" s="137">
        <f>+J376</f>
        <v>0</v>
      </c>
      <c r="K359" s="138">
        <f t="shared" ref="K359:K425" ca="1" si="82">IF(I359&gt;0,J359*100/I359,0)</f>
        <v>0</v>
      </c>
      <c r="L359" s="140"/>
      <c r="M359" s="140"/>
      <c r="N359" s="140"/>
    </row>
    <row r="360" spans="1:14" ht="21.75" customHeight="1" x14ac:dyDescent="0.4">
      <c r="A360" s="249"/>
      <c r="B360" s="250"/>
      <c r="C360" s="250"/>
      <c r="D360" s="251"/>
      <c r="E360" s="73" t="s">
        <v>148</v>
      </c>
      <c r="F360" s="75"/>
      <c r="G360" s="76"/>
      <c r="H360" s="264" t="s">
        <v>103</v>
      </c>
      <c r="I360" s="265">
        <f ca="1">I359</f>
        <v>39762</v>
      </c>
      <c r="J360" s="265">
        <f t="shared" ref="J360:J361" si="83">+J362+J364+J366</f>
        <v>0</v>
      </c>
      <c r="K360" s="80">
        <f t="shared" ca="1" si="82"/>
        <v>0</v>
      </c>
      <c r="L360" s="61"/>
      <c r="M360" s="61"/>
      <c r="N360" s="61"/>
    </row>
    <row r="361" spans="1:14" ht="21.75" customHeight="1" x14ac:dyDescent="0.4">
      <c r="A361" s="249"/>
      <c r="B361" s="250"/>
      <c r="C361" s="250"/>
      <c r="D361" s="251"/>
      <c r="E361" s="75"/>
      <c r="F361" s="75"/>
      <c r="G361" s="76"/>
      <c r="H361" s="264" t="s">
        <v>15</v>
      </c>
      <c r="I361" s="79">
        <f ca="1">IFERROR(__xludf.DUMMYFUNCTION("IMPORTRANGE(""https://docs.google.com/spreadsheets/d/1C3CXT74ZlgGe6_JY_1olB1XN4rF0dxEuIIF-xsYjHgg/edit?usp=sharing"",""งบกองทุน!BF32"")"),10122)</f>
        <v>10122</v>
      </c>
      <c r="J361" s="265">
        <f t="shared" si="83"/>
        <v>0</v>
      </c>
      <c r="K361" s="80">
        <f t="shared" ca="1" si="82"/>
        <v>0</v>
      </c>
      <c r="L361" s="61"/>
      <c r="M361" s="61"/>
      <c r="N361" s="61"/>
    </row>
    <row r="362" spans="1:14" ht="21.75" customHeight="1" x14ac:dyDescent="0.4">
      <c r="A362" s="249"/>
      <c r="B362" s="250"/>
      <c r="C362" s="250"/>
      <c r="D362" s="251"/>
      <c r="E362" s="75"/>
      <c r="F362" s="242" t="s">
        <v>149</v>
      </c>
      <c r="G362" s="266"/>
      <c r="H362" s="267" t="s">
        <v>103</v>
      </c>
      <c r="I362" s="48">
        <v>0</v>
      </c>
      <c r="J362" s="68">
        <v>0</v>
      </c>
      <c r="K362" s="49">
        <f t="shared" si="82"/>
        <v>0</v>
      </c>
      <c r="L362" s="61"/>
      <c r="M362" s="61"/>
      <c r="N362" s="61"/>
    </row>
    <row r="363" spans="1:14" ht="21.75" customHeight="1" x14ac:dyDescent="0.4">
      <c r="A363" s="249"/>
      <c r="B363" s="250"/>
      <c r="C363" s="250"/>
      <c r="D363" s="251"/>
      <c r="E363" s="75"/>
      <c r="F363" s="75"/>
      <c r="G363" s="266"/>
      <c r="H363" s="267" t="s">
        <v>15</v>
      </c>
      <c r="I363" s="48">
        <v>0</v>
      </c>
      <c r="J363" s="68">
        <v>0</v>
      </c>
      <c r="K363" s="49">
        <f t="shared" si="82"/>
        <v>0</v>
      </c>
      <c r="L363" s="61"/>
      <c r="M363" s="61"/>
      <c r="N363" s="61"/>
    </row>
    <row r="364" spans="1:14" ht="21.75" customHeight="1" x14ac:dyDescent="0.4">
      <c r="A364" s="249"/>
      <c r="B364" s="250"/>
      <c r="C364" s="250"/>
      <c r="D364" s="251"/>
      <c r="E364" s="75"/>
      <c r="F364" s="242" t="s">
        <v>150</v>
      </c>
      <c r="G364" s="266"/>
      <c r="H364" s="267" t="s">
        <v>103</v>
      </c>
      <c r="I364" s="48">
        <v>0</v>
      </c>
      <c r="J364" s="68">
        <v>0</v>
      </c>
      <c r="K364" s="49">
        <f t="shared" si="82"/>
        <v>0</v>
      </c>
      <c r="L364" s="61"/>
      <c r="M364" s="61"/>
      <c r="N364" s="61"/>
    </row>
    <row r="365" spans="1:14" ht="21.75" customHeight="1" x14ac:dyDescent="0.4">
      <c r="A365" s="249"/>
      <c r="B365" s="250"/>
      <c r="C365" s="250"/>
      <c r="D365" s="251"/>
      <c r="E365" s="75"/>
      <c r="F365" s="75"/>
      <c r="G365" s="266"/>
      <c r="H365" s="267" t="s">
        <v>15</v>
      </c>
      <c r="I365" s="48">
        <v>0</v>
      </c>
      <c r="J365" s="68">
        <v>0</v>
      </c>
      <c r="K365" s="49">
        <f t="shared" si="82"/>
        <v>0</v>
      </c>
      <c r="L365" s="61"/>
      <c r="M365" s="61"/>
      <c r="N365" s="61"/>
    </row>
    <row r="366" spans="1:14" ht="21.75" customHeight="1" x14ac:dyDescent="0.4">
      <c r="A366" s="249"/>
      <c r="B366" s="250"/>
      <c r="C366" s="250"/>
      <c r="D366" s="251"/>
      <c r="E366" s="75"/>
      <c r="F366" s="242" t="s">
        <v>151</v>
      </c>
      <c r="G366" s="266"/>
      <c r="H366" s="267" t="s">
        <v>103</v>
      </c>
      <c r="I366" s="48">
        <v>0</v>
      </c>
      <c r="J366" s="68">
        <v>0</v>
      </c>
      <c r="K366" s="49">
        <f t="shared" si="82"/>
        <v>0</v>
      </c>
      <c r="L366" s="61"/>
      <c r="M366" s="61"/>
      <c r="N366" s="61"/>
    </row>
    <row r="367" spans="1:14" ht="21.75" customHeight="1" x14ac:dyDescent="0.4">
      <c r="A367" s="249"/>
      <c r="B367" s="250"/>
      <c r="C367" s="250"/>
      <c r="D367" s="251"/>
      <c r="E367" s="75"/>
      <c r="F367" s="75"/>
      <c r="G367" s="75"/>
      <c r="H367" s="267" t="s">
        <v>15</v>
      </c>
      <c r="I367" s="48">
        <v>0</v>
      </c>
      <c r="J367" s="68">
        <v>0</v>
      </c>
      <c r="K367" s="49">
        <f t="shared" si="82"/>
        <v>0</v>
      </c>
      <c r="L367" s="61"/>
      <c r="M367" s="61"/>
      <c r="N367" s="61"/>
    </row>
    <row r="368" spans="1:14" ht="21.75" customHeight="1" x14ac:dyDescent="0.4">
      <c r="A368" s="249"/>
      <c r="B368" s="250"/>
      <c r="C368" s="250"/>
      <c r="D368" s="251"/>
      <c r="E368" s="155" t="s">
        <v>152</v>
      </c>
      <c r="F368" s="75"/>
      <c r="G368" s="76"/>
      <c r="H368" s="264" t="s">
        <v>103</v>
      </c>
      <c r="I368" s="265">
        <f ca="1">+I359</f>
        <v>39762</v>
      </c>
      <c r="J368" s="265">
        <f t="shared" ref="J368:J369" si="84">+J370+J372+J374</f>
        <v>0</v>
      </c>
      <c r="K368" s="80">
        <f t="shared" ca="1" si="82"/>
        <v>0</v>
      </c>
      <c r="L368" s="61"/>
      <c r="M368" s="61"/>
      <c r="N368" s="61"/>
    </row>
    <row r="369" spans="1:14" ht="21.75" customHeight="1" x14ac:dyDescent="0.4">
      <c r="A369" s="249"/>
      <c r="B369" s="250"/>
      <c r="C369" s="250"/>
      <c r="D369" s="251"/>
      <c r="E369" s="75"/>
      <c r="F369" s="75"/>
      <c r="G369" s="76"/>
      <c r="H369" s="264" t="s">
        <v>15</v>
      </c>
      <c r="I369" s="265">
        <f ca="1">I361</f>
        <v>10122</v>
      </c>
      <c r="J369" s="265">
        <f t="shared" si="84"/>
        <v>0</v>
      </c>
      <c r="K369" s="80">
        <f t="shared" ca="1" si="82"/>
        <v>0</v>
      </c>
      <c r="L369" s="61"/>
      <c r="M369" s="61"/>
      <c r="N369" s="61"/>
    </row>
    <row r="370" spans="1:14" ht="21.75" customHeight="1" x14ac:dyDescent="0.4">
      <c r="A370" s="249"/>
      <c r="B370" s="250"/>
      <c r="C370" s="250"/>
      <c r="D370" s="251"/>
      <c r="E370" s="75"/>
      <c r="F370" s="74" t="s">
        <v>153</v>
      </c>
      <c r="G370" s="266"/>
      <c r="H370" s="267" t="s">
        <v>103</v>
      </c>
      <c r="I370" s="48">
        <v>0</v>
      </c>
      <c r="J370" s="68">
        <v>0</v>
      </c>
      <c r="K370" s="49">
        <f t="shared" si="82"/>
        <v>0</v>
      </c>
      <c r="L370" s="61"/>
      <c r="M370" s="61"/>
      <c r="N370" s="61"/>
    </row>
    <row r="371" spans="1:14" ht="21.75" customHeight="1" x14ac:dyDescent="0.4">
      <c r="A371" s="249"/>
      <c r="B371" s="250"/>
      <c r="C371" s="250"/>
      <c r="D371" s="251"/>
      <c r="E371" s="75"/>
      <c r="F371" s="75"/>
      <c r="G371" s="266"/>
      <c r="H371" s="267" t="s">
        <v>15</v>
      </c>
      <c r="I371" s="48">
        <v>0</v>
      </c>
      <c r="J371" s="68">
        <v>0</v>
      </c>
      <c r="K371" s="49">
        <f t="shared" si="82"/>
        <v>0</v>
      </c>
      <c r="L371" s="61"/>
      <c r="M371" s="61"/>
      <c r="N371" s="61"/>
    </row>
    <row r="372" spans="1:14" ht="21.75" customHeight="1" x14ac:dyDescent="0.4">
      <c r="A372" s="249"/>
      <c r="B372" s="250"/>
      <c r="C372" s="250"/>
      <c r="D372" s="251"/>
      <c r="E372" s="75"/>
      <c r="F372" s="74" t="s">
        <v>154</v>
      </c>
      <c r="G372" s="266"/>
      <c r="H372" s="267" t="s">
        <v>103</v>
      </c>
      <c r="I372" s="48">
        <v>0</v>
      </c>
      <c r="J372" s="68">
        <v>0</v>
      </c>
      <c r="K372" s="49">
        <f t="shared" si="82"/>
        <v>0</v>
      </c>
      <c r="L372" s="61"/>
      <c r="M372" s="61"/>
      <c r="N372" s="61"/>
    </row>
    <row r="373" spans="1:14" ht="21.75" customHeight="1" x14ac:dyDescent="0.4">
      <c r="A373" s="249"/>
      <c r="B373" s="250"/>
      <c r="C373" s="250"/>
      <c r="D373" s="251"/>
      <c r="E373" s="75"/>
      <c r="F373" s="75"/>
      <c r="G373" s="266"/>
      <c r="H373" s="267" t="s">
        <v>15</v>
      </c>
      <c r="I373" s="48">
        <v>0</v>
      </c>
      <c r="J373" s="68">
        <v>0</v>
      </c>
      <c r="K373" s="49">
        <f t="shared" si="82"/>
        <v>0</v>
      </c>
      <c r="L373" s="61"/>
      <c r="M373" s="61"/>
      <c r="N373" s="61"/>
    </row>
    <row r="374" spans="1:14" ht="21.75" customHeight="1" x14ac:dyDescent="0.4">
      <c r="A374" s="249"/>
      <c r="B374" s="250"/>
      <c r="C374" s="250"/>
      <c r="D374" s="251"/>
      <c r="E374" s="75"/>
      <c r="F374" s="74" t="s">
        <v>155</v>
      </c>
      <c r="G374" s="266"/>
      <c r="H374" s="267" t="s">
        <v>103</v>
      </c>
      <c r="I374" s="48">
        <v>0</v>
      </c>
      <c r="J374" s="68">
        <v>0</v>
      </c>
      <c r="K374" s="49">
        <f t="shared" si="82"/>
        <v>0</v>
      </c>
      <c r="L374" s="61"/>
      <c r="M374" s="61"/>
      <c r="N374" s="61"/>
    </row>
    <row r="375" spans="1:14" ht="21.75" customHeight="1" x14ac:dyDescent="0.4">
      <c r="A375" s="249"/>
      <c r="B375" s="250"/>
      <c r="C375" s="250"/>
      <c r="D375" s="251"/>
      <c r="E375" s="75"/>
      <c r="F375" s="75"/>
      <c r="G375" s="76"/>
      <c r="H375" s="267" t="s">
        <v>15</v>
      </c>
      <c r="I375" s="48">
        <v>0</v>
      </c>
      <c r="J375" s="68">
        <v>0</v>
      </c>
      <c r="K375" s="49">
        <f t="shared" si="82"/>
        <v>0</v>
      </c>
      <c r="L375" s="61"/>
      <c r="M375" s="61"/>
      <c r="N375" s="61"/>
    </row>
    <row r="376" spans="1:14" ht="21.75" customHeight="1" x14ac:dyDescent="0.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39762</v>
      </c>
      <c r="J376" s="265">
        <f t="shared" ref="J376:J377" si="85">+J378+J380+J382+J388</f>
        <v>0</v>
      </c>
      <c r="K376" s="80">
        <f t="shared" ca="1" si="82"/>
        <v>0</v>
      </c>
      <c r="L376" s="275"/>
      <c r="M376" s="275"/>
      <c r="N376" s="275"/>
    </row>
    <row r="377" spans="1:14" ht="21.75" customHeight="1" x14ac:dyDescent="0.4">
      <c r="A377" s="249"/>
      <c r="B377" s="250"/>
      <c r="C377" s="250"/>
      <c r="D377" s="251"/>
      <c r="E377" s="75"/>
      <c r="F377" s="75"/>
      <c r="G377" s="76"/>
      <c r="H377" s="264" t="s">
        <v>15</v>
      </c>
      <c r="I377" s="265">
        <f ca="1">I361</f>
        <v>10122</v>
      </c>
      <c r="J377" s="265">
        <f t="shared" si="85"/>
        <v>0</v>
      </c>
      <c r="K377" s="80">
        <f t="shared" ca="1" si="82"/>
        <v>0</v>
      </c>
      <c r="L377" s="61"/>
      <c r="M377" s="61"/>
      <c r="N377" s="61"/>
    </row>
    <row r="378" spans="1:14" ht="21.75" customHeight="1" x14ac:dyDescent="0.4">
      <c r="A378" s="249"/>
      <c r="B378" s="250"/>
      <c r="C378" s="250"/>
      <c r="D378" s="251"/>
      <c r="E378" s="75"/>
      <c r="F378" s="74" t="s">
        <v>157</v>
      </c>
      <c r="G378" s="266"/>
      <c r="H378" s="267" t="s">
        <v>103</v>
      </c>
      <c r="I378" s="48">
        <v>0</v>
      </c>
      <c r="J378" s="68">
        <v>0</v>
      </c>
      <c r="K378" s="49">
        <f t="shared" si="82"/>
        <v>0</v>
      </c>
      <c r="L378" s="61"/>
      <c r="M378" s="61"/>
      <c r="N378" s="61"/>
    </row>
    <row r="379" spans="1:14" ht="21.75" customHeight="1" x14ac:dyDescent="0.4">
      <c r="A379" s="249"/>
      <c r="B379" s="250"/>
      <c r="C379" s="250"/>
      <c r="D379" s="251"/>
      <c r="E379" s="75"/>
      <c r="F379" s="75"/>
      <c r="G379" s="266"/>
      <c r="H379" s="267" t="s">
        <v>15</v>
      </c>
      <c r="I379" s="48">
        <v>0</v>
      </c>
      <c r="J379" s="68">
        <v>0</v>
      </c>
      <c r="K379" s="49">
        <f t="shared" si="82"/>
        <v>0</v>
      </c>
      <c r="L379" s="61"/>
      <c r="M379" s="61"/>
      <c r="N379" s="61"/>
    </row>
    <row r="380" spans="1:14" ht="21.75" customHeight="1" x14ac:dyDescent="0.4">
      <c r="A380" s="249"/>
      <c r="B380" s="250"/>
      <c r="C380" s="250"/>
      <c r="D380" s="251"/>
      <c r="E380" s="75"/>
      <c r="F380" s="74" t="s">
        <v>158</v>
      </c>
      <c r="G380" s="266"/>
      <c r="H380" s="267" t="s">
        <v>103</v>
      </c>
      <c r="I380" s="48">
        <v>0</v>
      </c>
      <c r="J380" s="68">
        <v>0</v>
      </c>
      <c r="K380" s="49">
        <f t="shared" si="82"/>
        <v>0</v>
      </c>
      <c r="L380" s="61"/>
      <c r="M380" s="61"/>
      <c r="N380" s="61"/>
    </row>
    <row r="381" spans="1:14" ht="21.75" customHeight="1" x14ac:dyDescent="0.4">
      <c r="A381" s="249"/>
      <c r="B381" s="250"/>
      <c r="C381" s="250"/>
      <c r="D381" s="251"/>
      <c r="E381" s="75"/>
      <c r="F381" s="75"/>
      <c r="G381" s="266"/>
      <c r="H381" s="267" t="s">
        <v>15</v>
      </c>
      <c r="I381" s="48">
        <v>0</v>
      </c>
      <c r="J381" s="68">
        <v>0</v>
      </c>
      <c r="K381" s="49">
        <f t="shared" si="82"/>
        <v>0</v>
      </c>
      <c r="L381" s="61"/>
      <c r="M381" s="61"/>
      <c r="N381" s="61"/>
    </row>
    <row r="382" spans="1:14" ht="21.75" customHeight="1" x14ac:dyDescent="0.4">
      <c r="A382" s="249"/>
      <c r="B382" s="250"/>
      <c r="C382" s="250"/>
      <c r="D382" s="251"/>
      <c r="E382" s="75"/>
      <c r="F382" s="74" t="s">
        <v>159</v>
      </c>
      <c r="G382" s="266"/>
      <c r="H382" s="267" t="s">
        <v>103</v>
      </c>
      <c r="I382" s="48">
        <v>0</v>
      </c>
      <c r="J382" s="265">
        <f t="shared" ref="J382:J383" si="86">J384+J386</f>
        <v>0</v>
      </c>
      <c r="K382" s="49">
        <f t="shared" si="82"/>
        <v>0</v>
      </c>
      <c r="L382" s="61"/>
      <c r="M382" s="61"/>
      <c r="N382" s="61"/>
    </row>
    <row r="383" spans="1:14" ht="21.75" customHeight="1" x14ac:dyDescent="0.4">
      <c r="A383" s="249"/>
      <c r="B383" s="250"/>
      <c r="C383" s="250"/>
      <c r="D383" s="251"/>
      <c r="E383" s="75"/>
      <c r="F383" s="75"/>
      <c r="G383" s="75"/>
      <c r="H383" s="267" t="s">
        <v>15</v>
      </c>
      <c r="I383" s="48">
        <v>0</v>
      </c>
      <c r="J383" s="265">
        <f t="shared" si="86"/>
        <v>0</v>
      </c>
      <c r="K383" s="49">
        <f t="shared" si="82"/>
        <v>0</v>
      </c>
      <c r="L383" s="61"/>
      <c r="M383" s="61"/>
      <c r="N383" s="61"/>
    </row>
    <row r="384" spans="1:14" ht="21.75" customHeight="1" x14ac:dyDescent="0.4">
      <c r="A384" s="249"/>
      <c r="B384" s="250"/>
      <c r="C384" s="250"/>
      <c r="D384" s="251"/>
      <c r="E384" s="75"/>
      <c r="F384" s="75"/>
      <c r="G384" s="74" t="s">
        <v>160</v>
      </c>
      <c r="H384" s="267" t="s">
        <v>103</v>
      </c>
      <c r="I384" s="48">
        <v>0</v>
      </c>
      <c r="J384" s="68">
        <v>0</v>
      </c>
      <c r="K384" s="49">
        <f t="shared" si="82"/>
        <v>0</v>
      </c>
      <c r="L384" s="61"/>
      <c r="M384" s="61"/>
      <c r="N384" s="61"/>
    </row>
    <row r="385" spans="1:14" ht="21.75" customHeight="1" x14ac:dyDescent="0.4">
      <c r="A385" s="249"/>
      <c r="B385" s="250"/>
      <c r="C385" s="250"/>
      <c r="D385" s="251"/>
      <c r="E385" s="75"/>
      <c r="F385" s="75"/>
      <c r="G385" s="75"/>
      <c r="H385" s="267" t="s">
        <v>15</v>
      </c>
      <c r="I385" s="48">
        <v>0</v>
      </c>
      <c r="J385" s="68">
        <v>0</v>
      </c>
      <c r="K385" s="49">
        <f t="shared" si="82"/>
        <v>0</v>
      </c>
      <c r="L385" s="61"/>
      <c r="M385" s="61"/>
      <c r="N385" s="61"/>
    </row>
    <row r="386" spans="1:14" ht="21.75" customHeight="1" x14ac:dyDescent="0.4">
      <c r="A386" s="249"/>
      <c r="B386" s="250"/>
      <c r="C386" s="250"/>
      <c r="D386" s="251"/>
      <c r="E386" s="75"/>
      <c r="F386" s="75"/>
      <c r="G386" s="74" t="s">
        <v>161</v>
      </c>
      <c r="H386" s="267" t="s">
        <v>103</v>
      </c>
      <c r="I386" s="48">
        <v>0</v>
      </c>
      <c r="J386" s="68">
        <v>0</v>
      </c>
      <c r="K386" s="49">
        <f t="shared" si="82"/>
        <v>0</v>
      </c>
      <c r="L386" s="61"/>
      <c r="M386" s="61"/>
      <c r="N386" s="61"/>
    </row>
    <row r="387" spans="1:14" ht="21.75" customHeight="1" x14ac:dyDescent="0.4">
      <c r="A387" s="249"/>
      <c r="B387" s="250"/>
      <c r="C387" s="250"/>
      <c r="D387" s="251"/>
      <c r="E387" s="75"/>
      <c r="F387" s="75"/>
      <c r="G387" s="76"/>
      <c r="H387" s="267" t="s">
        <v>15</v>
      </c>
      <c r="I387" s="48">
        <v>0</v>
      </c>
      <c r="J387" s="68">
        <v>0</v>
      </c>
      <c r="K387" s="49">
        <f t="shared" si="82"/>
        <v>0</v>
      </c>
      <c r="L387" s="61"/>
      <c r="M387" s="61"/>
      <c r="N387" s="61"/>
    </row>
    <row r="388" spans="1:14" ht="21.75" customHeight="1" x14ac:dyDescent="0.4">
      <c r="A388" s="249"/>
      <c r="B388" s="250"/>
      <c r="C388" s="250"/>
      <c r="D388" s="251"/>
      <c r="E388" s="75"/>
      <c r="F388" s="74" t="s">
        <v>162</v>
      </c>
      <c r="G388" s="266"/>
      <c r="H388" s="267" t="s">
        <v>103</v>
      </c>
      <c r="I388" s="48">
        <v>0</v>
      </c>
      <c r="J388" s="68">
        <v>0</v>
      </c>
      <c r="K388" s="49">
        <f t="shared" si="82"/>
        <v>0</v>
      </c>
      <c r="L388" s="61"/>
      <c r="M388" s="61"/>
      <c r="N388" s="61"/>
    </row>
    <row r="389" spans="1:14" ht="21.75" customHeight="1" x14ac:dyDescent="0.4">
      <c r="A389" s="276"/>
      <c r="B389" s="277"/>
      <c r="C389" s="277"/>
      <c r="D389" s="278"/>
      <c r="E389" s="204"/>
      <c r="F389" s="204"/>
      <c r="G389" s="204"/>
      <c r="H389" s="279" t="s">
        <v>15</v>
      </c>
      <c r="I389" s="48">
        <v>0</v>
      </c>
      <c r="J389" s="68">
        <v>0</v>
      </c>
      <c r="K389" s="49">
        <f t="shared" si="82"/>
        <v>0</v>
      </c>
      <c r="L389" s="115"/>
      <c r="M389" s="115"/>
      <c r="N389" s="115"/>
    </row>
    <row r="390" spans="1:14" ht="21.75" customHeight="1" x14ac:dyDescent="0.4">
      <c r="A390" s="55"/>
      <c r="B390" s="56"/>
      <c r="C390" s="261" t="s">
        <v>163</v>
      </c>
      <c r="D390" s="261"/>
      <c r="E390" s="262"/>
      <c r="F390" s="262"/>
      <c r="G390" s="263"/>
      <c r="H390" s="136" t="s">
        <v>103</v>
      </c>
      <c r="I390" s="137">
        <f ca="1">IFERROR(__xludf.DUMMYFUNCTION("IMPORTRANGE(""https://docs.google.com/spreadsheets/d/1C3CXT74ZlgGe6_JY_1olB1XN4rF0dxEuIIF-xsYjHgg/edit?usp=sharing"",""งบกองทุน!cd32"")"),2846)</f>
        <v>2846</v>
      </c>
      <c r="J390" s="137">
        <f>J391</f>
        <v>0</v>
      </c>
      <c r="K390" s="138">
        <f t="shared" ca="1" si="82"/>
        <v>0</v>
      </c>
      <c r="L390" s="140"/>
      <c r="M390" s="140"/>
      <c r="N390" s="140"/>
    </row>
    <row r="391" spans="1:14" ht="21.75" customHeight="1" x14ac:dyDescent="0.4">
      <c r="A391" s="55"/>
      <c r="B391" s="56"/>
      <c r="C391" s="56"/>
      <c r="D391" s="251"/>
      <c r="E391" s="280" t="s">
        <v>164</v>
      </c>
      <c r="F391" s="281"/>
      <c r="G391" s="282"/>
      <c r="H391" s="283" t="s">
        <v>103</v>
      </c>
      <c r="I391" s="79">
        <f ca="1">IFERROR(__xludf.DUMMYFUNCTION("IMPORTRANGE(""https://docs.google.com/spreadsheets/d/1C3CXT74ZlgGe6_JY_1olB1XN4rF0dxEuIIF-xsYjHgg/edit?usp=sharing"",""งบกองทุน!cd32"")"),2846)</f>
        <v>2846</v>
      </c>
      <c r="J391" s="265">
        <f t="shared" ref="J391:J392" si="87">J393+J401+J407</f>
        <v>0</v>
      </c>
      <c r="K391" s="362">
        <f t="shared" ca="1" si="82"/>
        <v>0</v>
      </c>
      <c r="L391" s="61"/>
      <c r="M391" s="61"/>
      <c r="N391" s="61"/>
    </row>
    <row r="392" spans="1:14" ht="21.75" customHeight="1" x14ac:dyDescent="0.4">
      <c r="A392" s="55"/>
      <c r="B392" s="56"/>
      <c r="C392" s="56"/>
      <c r="D392" s="73"/>
      <c r="E392" s="281"/>
      <c r="F392" s="281"/>
      <c r="G392" s="282"/>
      <c r="H392" s="283" t="s">
        <v>15</v>
      </c>
      <c r="I392" s="79">
        <f ca="1">IFERROR(__xludf.DUMMYFUNCTION("IMPORTRANGE(""https://docs.google.com/spreadsheets/d/1C3CXT74ZlgGe6_JY_1olB1XN4rF0dxEuIIF-xsYjHgg/edit?usp=sharing"",""งบกองทุน!cc32"")"),354)</f>
        <v>354</v>
      </c>
      <c r="J392" s="265">
        <f t="shared" si="87"/>
        <v>0</v>
      </c>
      <c r="K392" s="362">
        <f t="shared" ca="1" si="82"/>
        <v>0</v>
      </c>
      <c r="L392" s="61"/>
      <c r="M392" s="61"/>
      <c r="N392" s="61"/>
    </row>
    <row r="393" spans="1:14" ht="21.75" customHeight="1" x14ac:dyDescent="0.4">
      <c r="A393" s="55"/>
      <c r="B393" s="56"/>
      <c r="C393" s="56"/>
      <c r="D393" s="251"/>
      <c r="E393" s="251" t="s">
        <v>165</v>
      </c>
      <c r="F393" s="75"/>
      <c r="G393" s="76"/>
      <c r="H393" s="267" t="s">
        <v>103</v>
      </c>
      <c r="I393" s="48">
        <v>0</v>
      </c>
      <c r="J393" s="48">
        <f t="shared" ref="J393:J394" si="88">J395+J397+J399</f>
        <v>0</v>
      </c>
      <c r="K393" s="233">
        <f t="shared" si="82"/>
        <v>0</v>
      </c>
      <c r="L393" s="61"/>
      <c r="M393" s="61"/>
      <c r="N393" s="61"/>
    </row>
    <row r="394" spans="1:14" ht="21.75" customHeight="1" x14ac:dyDescent="0.4">
      <c r="A394" s="55"/>
      <c r="B394" s="56"/>
      <c r="C394" s="56"/>
      <c r="D394" s="73"/>
      <c r="E394" s="75"/>
      <c r="F394" s="75"/>
      <c r="G394" s="76"/>
      <c r="H394" s="267" t="s">
        <v>15</v>
      </c>
      <c r="I394" s="48">
        <v>0</v>
      </c>
      <c r="J394" s="48">
        <f t="shared" si="88"/>
        <v>0</v>
      </c>
      <c r="K394" s="233">
        <f t="shared" si="82"/>
        <v>0</v>
      </c>
      <c r="L394" s="61"/>
      <c r="M394" s="61"/>
      <c r="N394" s="61"/>
    </row>
    <row r="395" spans="1:14" ht="21.75" customHeight="1" x14ac:dyDescent="0.4">
      <c r="A395" s="55"/>
      <c r="B395" s="56"/>
      <c r="C395" s="56"/>
      <c r="D395" s="73"/>
      <c r="E395" s="75"/>
      <c r="F395" s="242" t="s">
        <v>166</v>
      </c>
      <c r="G395" s="266"/>
      <c r="H395" s="267" t="s">
        <v>103</v>
      </c>
      <c r="I395" s="48">
        <v>0</v>
      </c>
      <c r="J395" s="68">
        <v>0</v>
      </c>
      <c r="K395" s="233">
        <f t="shared" si="82"/>
        <v>0</v>
      </c>
      <c r="L395" s="61"/>
      <c r="M395" s="61"/>
      <c r="N395" s="61"/>
    </row>
    <row r="396" spans="1:14" ht="21.75" customHeight="1" x14ac:dyDescent="0.4">
      <c r="A396" s="55"/>
      <c r="B396" s="56"/>
      <c r="C396" s="56"/>
      <c r="D396" s="73"/>
      <c r="E396" s="75"/>
      <c r="F396" s="75"/>
      <c r="G396" s="266"/>
      <c r="H396" s="267" t="s">
        <v>15</v>
      </c>
      <c r="I396" s="48">
        <v>0</v>
      </c>
      <c r="J396" s="68">
        <v>0</v>
      </c>
      <c r="K396" s="233">
        <f t="shared" si="82"/>
        <v>0</v>
      </c>
      <c r="L396" s="61"/>
      <c r="M396" s="61"/>
      <c r="N396" s="61"/>
    </row>
    <row r="397" spans="1:14" ht="21.75" customHeight="1" x14ac:dyDescent="0.4">
      <c r="A397" s="55"/>
      <c r="B397" s="56"/>
      <c r="C397" s="56"/>
      <c r="D397" s="73"/>
      <c r="E397" s="75"/>
      <c r="F397" s="242" t="s">
        <v>167</v>
      </c>
      <c r="G397" s="266"/>
      <c r="H397" s="267" t="s">
        <v>103</v>
      </c>
      <c r="I397" s="48">
        <v>0</v>
      </c>
      <c r="J397" s="68">
        <v>0</v>
      </c>
      <c r="K397" s="233">
        <f t="shared" si="82"/>
        <v>0</v>
      </c>
      <c r="L397" s="61"/>
      <c r="M397" s="61"/>
      <c r="N397" s="61"/>
    </row>
    <row r="398" spans="1:14" ht="21.75" customHeight="1" x14ac:dyDescent="0.4">
      <c r="A398" s="55"/>
      <c r="B398" s="56"/>
      <c r="C398" s="56"/>
      <c r="D398" s="73"/>
      <c r="E398" s="75"/>
      <c r="F398" s="75"/>
      <c r="G398" s="266"/>
      <c r="H398" s="267" t="s">
        <v>15</v>
      </c>
      <c r="I398" s="48">
        <v>0</v>
      </c>
      <c r="J398" s="68">
        <v>0</v>
      </c>
      <c r="K398" s="233">
        <f t="shared" si="82"/>
        <v>0</v>
      </c>
      <c r="L398" s="61"/>
      <c r="M398" s="61"/>
      <c r="N398" s="61"/>
    </row>
    <row r="399" spans="1:14" ht="21.75" customHeight="1" x14ac:dyDescent="0.4">
      <c r="A399" s="55"/>
      <c r="B399" s="56"/>
      <c r="C399" s="56"/>
      <c r="D399" s="73"/>
      <c r="E399" s="75"/>
      <c r="F399" s="242" t="s">
        <v>168</v>
      </c>
      <c r="G399" s="266"/>
      <c r="H399" s="267" t="s">
        <v>103</v>
      </c>
      <c r="I399" s="48">
        <v>0</v>
      </c>
      <c r="J399" s="68">
        <v>0</v>
      </c>
      <c r="K399" s="233">
        <f t="shared" si="82"/>
        <v>0</v>
      </c>
      <c r="L399" s="61"/>
      <c r="M399" s="61"/>
      <c r="N399" s="61"/>
    </row>
    <row r="400" spans="1:14" ht="21.75" customHeight="1" x14ac:dyDescent="0.4">
      <c r="A400" s="55"/>
      <c r="B400" s="56"/>
      <c r="C400" s="56"/>
      <c r="D400" s="73"/>
      <c r="E400" s="75"/>
      <c r="F400" s="75"/>
      <c r="G400" s="75"/>
      <c r="H400" s="267" t="s">
        <v>15</v>
      </c>
      <c r="I400" s="48">
        <v>0</v>
      </c>
      <c r="J400" s="68">
        <v>0</v>
      </c>
      <c r="K400" s="233">
        <f t="shared" si="82"/>
        <v>0</v>
      </c>
      <c r="L400" s="61"/>
      <c r="M400" s="61"/>
      <c r="N400" s="61"/>
    </row>
    <row r="401" spans="1:14" ht="21.75" customHeight="1" x14ac:dyDescent="0.4">
      <c r="A401" s="55"/>
      <c r="B401" s="56"/>
      <c r="C401" s="56"/>
      <c r="D401" s="73"/>
      <c r="E401" s="74" t="s">
        <v>169</v>
      </c>
      <c r="F401" s="75"/>
      <c r="G401" s="266"/>
      <c r="H401" s="267" t="s">
        <v>103</v>
      </c>
      <c r="I401" s="48">
        <v>0</v>
      </c>
      <c r="J401" s="48">
        <f t="shared" ref="J401:J402" si="89">+J403+J405</f>
        <v>0</v>
      </c>
      <c r="K401" s="233">
        <f t="shared" si="82"/>
        <v>0</v>
      </c>
      <c r="L401" s="61"/>
      <c r="M401" s="61"/>
      <c r="N401" s="61"/>
    </row>
    <row r="402" spans="1:14" ht="21.75" customHeight="1" x14ac:dyDescent="0.4">
      <c r="A402" s="55"/>
      <c r="B402" s="56"/>
      <c r="C402" s="56"/>
      <c r="D402" s="73"/>
      <c r="E402" s="75"/>
      <c r="F402" s="75"/>
      <c r="G402" s="75"/>
      <c r="H402" s="267" t="s">
        <v>15</v>
      </c>
      <c r="I402" s="48">
        <v>0</v>
      </c>
      <c r="J402" s="48">
        <f t="shared" si="89"/>
        <v>0</v>
      </c>
      <c r="K402" s="233">
        <f t="shared" si="82"/>
        <v>0</v>
      </c>
      <c r="L402" s="61"/>
      <c r="M402" s="61"/>
      <c r="N402" s="61"/>
    </row>
    <row r="403" spans="1:14" ht="21.75" customHeight="1" x14ac:dyDescent="0.4">
      <c r="A403" s="55"/>
      <c r="B403" s="56"/>
      <c r="C403" s="56"/>
      <c r="D403" s="73"/>
      <c r="E403" s="75"/>
      <c r="F403" s="74" t="s">
        <v>170</v>
      </c>
      <c r="G403" s="75"/>
      <c r="H403" s="267" t="s">
        <v>103</v>
      </c>
      <c r="I403" s="48">
        <v>0</v>
      </c>
      <c r="J403" s="68">
        <v>0</v>
      </c>
      <c r="K403" s="233">
        <f t="shared" si="82"/>
        <v>0</v>
      </c>
      <c r="L403" s="61"/>
      <c r="M403" s="61"/>
      <c r="N403" s="61"/>
    </row>
    <row r="404" spans="1:14" ht="21.75" customHeight="1" x14ac:dyDescent="0.4">
      <c r="A404" s="55"/>
      <c r="B404" s="56"/>
      <c r="C404" s="56"/>
      <c r="D404" s="73"/>
      <c r="E404" s="75"/>
      <c r="F404" s="75"/>
      <c r="G404" s="75"/>
      <c r="H404" s="267" t="s">
        <v>15</v>
      </c>
      <c r="I404" s="48">
        <v>0</v>
      </c>
      <c r="J404" s="68">
        <v>0</v>
      </c>
      <c r="K404" s="233">
        <f t="shared" si="82"/>
        <v>0</v>
      </c>
      <c r="L404" s="61"/>
      <c r="M404" s="61"/>
      <c r="N404" s="61"/>
    </row>
    <row r="405" spans="1:14" ht="21.75" customHeight="1" x14ac:dyDescent="0.4">
      <c r="A405" s="55"/>
      <c r="B405" s="56"/>
      <c r="C405" s="56"/>
      <c r="D405" s="73"/>
      <c r="E405" s="75"/>
      <c r="F405" s="74" t="s">
        <v>171</v>
      </c>
      <c r="G405" s="75"/>
      <c r="H405" s="267" t="s">
        <v>103</v>
      </c>
      <c r="I405" s="48">
        <v>0</v>
      </c>
      <c r="J405" s="68">
        <v>0</v>
      </c>
      <c r="K405" s="233">
        <f t="shared" si="82"/>
        <v>0</v>
      </c>
      <c r="L405" s="61"/>
      <c r="M405" s="61"/>
      <c r="N405" s="61"/>
    </row>
    <row r="406" spans="1:14" ht="21.75" customHeight="1" x14ac:dyDescent="0.4">
      <c r="A406" s="55"/>
      <c r="B406" s="56"/>
      <c r="C406" s="56"/>
      <c r="D406" s="73"/>
      <c r="E406" s="75"/>
      <c r="F406" s="75"/>
      <c r="G406" s="76"/>
      <c r="H406" s="267" t="s">
        <v>15</v>
      </c>
      <c r="I406" s="48">
        <v>0</v>
      </c>
      <c r="J406" s="68">
        <v>0</v>
      </c>
      <c r="K406" s="233">
        <f t="shared" si="82"/>
        <v>0</v>
      </c>
      <c r="L406" s="61"/>
      <c r="M406" s="61"/>
      <c r="N406" s="61"/>
    </row>
    <row r="407" spans="1:14" ht="21.75" customHeight="1" x14ac:dyDescent="0.4">
      <c r="A407" s="55"/>
      <c r="B407" s="56"/>
      <c r="C407" s="56"/>
      <c r="D407" s="251"/>
      <c r="E407" s="251" t="s">
        <v>225</v>
      </c>
      <c r="F407" s="75"/>
      <c r="G407" s="76"/>
      <c r="H407" s="267" t="s">
        <v>103</v>
      </c>
      <c r="I407" s="48">
        <v>0</v>
      </c>
      <c r="J407" s="68">
        <v>0</v>
      </c>
      <c r="K407" s="233">
        <f t="shared" si="82"/>
        <v>0</v>
      </c>
      <c r="L407" s="61"/>
      <c r="M407" s="61"/>
      <c r="N407" s="61"/>
    </row>
    <row r="408" spans="1:14" ht="21.75" customHeight="1" x14ac:dyDescent="0.4">
      <c r="A408" s="55"/>
      <c r="B408" s="56"/>
      <c r="C408" s="56"/>
      <c r="D408" s="73"/>
      <c r="E408" s="75"/>
      <c r="F408" s="75"/>
      <c r="G408" s="76"/>
      <c r="H408" s="267" t="s">
        <v>15</v>
      </c>
      <c r="I408" s="48">
        <v>0</v>
      </c>
      <c r="J408" s="68">
        <v>0</v>
      </c>
      <c r="K408" s="233">
        <f t="shared" si="82"/>
        <v>0</v>
      </c>
      <c r="L408" s="61"/>
      <c r="M408" s="61"/>
      <c r="N408" s="61"/>
    </row>
    <row r="409" spans="1:14" ht="21.75" customHeight="1" x14ac:dyDescent="0.4">
      <c r="A409" s="55"/>
      <c r="B409" s="56"/>
      <c r="C409" s="261" t="s">
        <v>173</v>
      </c>
      <c r="D409" s="261"/>
      <c r="E409" s="285"/>
      <c r="F409" s="285"/>
      <c r="G409" s="286"/>
      <c r="H409" s="287" t="s">
        <v>103</v>
      </c>
      <c r="I409" s="137">
        <f ca="1">IFERROR(__xludf.DUMMYFUNCTION("IMPORTRANGE(""https://docs.google.com/spreadsheets/d/1C3CXT74ZlgGe6_JY_1olB1XN4rF0dxEuIIF-xsYjHgg/edit?usp=sharing"",""งบกองทุน!cz32"")"),0)</f>
        <v>0</v>
      </c>
      <c r="J409" s="137">
        <f ca="1">+J412+J414</f>
        <v>0</v>
      </c>
      <c r="K409" s="138">
        <f t="shared" ca="1" si="82"/>
        <v>0</v>
      </c>
      <c r="L409" s="61"/>
      <c r="M409" s="61"/>
      <c r="N409" s="61"/>
    </row>
    <row r="410" spans="1:14" ht="21.75" customHeight="1" x14ac:dyDescent="0.4">
      <c r="A410" s="55"/>
      <c r="B410" s="56"/>
      <c r="C410" s="288"/>
      <c r="D410" s="288"/>
      <c r="E410" s="288" t="s">
        <v>174</v>
      </c>
      <c r="F410" s="289"/>
      <c r="G410" s="290"/>
      <c r="H410" s="363" t="s">
        <v>103</v>
      </c>
      <c r="I410" s="150">
        <f ca="1">IFERROR(__xludf.DUMMYFUNCTION("IMPORTRANGE(""https://docs.google.com/spreadsheets/d/1C3CXT74ZlgGe6_JY_1olB1XN4rF0dxEuIIF-xsYjHgg/edit?usp=sharing"",""งบกองทุน!cz32"")"),0)</f>
        <v>0</v>
      </c>
      <c r="J410" s="150">
        <f t="shared" ref="J410:J411" ca="1" si="90">SUM(J412,J414)</f>
        <v>0</v>
      </c>
      <c r="K410" s="151">
        <f t="shared" ca="1" si="82"/>
        <v>0</v>
      </c>
      <c r="L410" s="61"/>
      <c r="M410" s="61"/>
      <c r="N410" s="61"/>
    </row>
    <row r="411" spans="1:14" ht="21.75" customHeight="1" x14ac:dyDescent="0.4">
      <c r="A411" s="55"/>
      <c r="B411" s="56"/>
      <c r="C411" s="288"/>
      <c r="D411" s="288"/>
      <c r="E411" s="288" t="s">
        <v>175</v>
      </c>
      <c r="F411" s="289"/>
      <c r="G411" s="290"/>
      <c r="H411" s="363" t="s">
        <v>15</v>
      </c>
      <c r="I411" s="150">
        <f ca="1">IFERROR(__xludf.DUMMYFUNCTION("IMPORTRANGE(""https://docs.google.com/spreadsheets/d/1C3CXT74ZlgGe6_JY_1olB1XN4rF0dxEuIIF-xsYjHgg/edit?usp=sharing"",""งบกองทุน!cy32"")"),0)</f>
        <v>0</v>
      </c>
      <c r="J411" s="150">
        <f t="shared" ca="1" si="90"/>
        <v>0</v>
      </c>
      <c r="K411" s="151">
        <f t="shared" ca="1" si="82"/>
        <v>0</v>
      </c>
      <c r="L411" s="61"/>
      <c r="M411" s="61"/>
      <c r="N411" s="61"/>
    </row>
    <row r="412" spans="1:14" ht="21.75" customHeight="1" x14ac:dyDescent="0.4">
      <c r="A412" s="55"/>
      <c r="B412" s="56"/>
      <c r="C412" s="56"/>
      <c r="D412" s="73"/>
      <c r="E412" s="75"/>
      <c r="F412" s="75"/>
      <c r="G412" s="99" t="s">
        <v>176</v>
      </c>
      <c r="H412" s="364" t="s">
        <v>103</v>
      </c>
      <c r="I412" s="365">
        <v>0</v>
      </c>
      <c r="J412" s="366">
        <f ca="1">IFERROR(__xludf.DUMMYFUNCTION("IMPORTRANGE(""https://docs.google.com/spreadsheets/d/1C3CXT74ZlgGe6_JY_1olB1XN4rF0dxEuIIF-xsYjHgg/edit?usp=sharing"",""งบกองทุน!db32"")"),0)</f>
        <v>0</v>
      </c>
      <c r="K412" s="367">
        <f t="shared" si="82"/>
        <v>0</v>
      </c>
      <c r="L412" s="61"/>
      <c r="M412" s="61"/>
      <c r="N412" s="61"/>
    </row>
    <row r="413" spans="1:14" ht="21.75" customHeight="1" x14ac:dyDescent="0.4">
      <c r="A413" s="55"/>
      <c r="B413" s="56"/>
      <c r="C413" s="56"/>
      <c r="D413" s="73"/>
      <c r="E413" s="75"/>
      <c r="F413" s="75"/>
      <c r="G413" s="76"/>
      <c r="H413" s="364" t="s">
        <v>15</v>
      </c>
      <c r="I413" s="365">
        <v>0</v>
      </c>
      <c r="J413" s="366">
        <f ca="1">IFERROR(__xludf.DUMMYFUNCTION("IMPORTRANGE(""https://docs.google.com/spreadsheets/d/1C3CXT74ZlgGe6_JY_1olB1XN4rF0dxEuIIF-xsYjHgg/edit?usp=sharing"",""งบกองทุน!da32"")"),0)</f>
        <v>0</v>
      </c>
      <c r="K413" s="367">
        <f t="shared" si="82"/>
        <v>0</v>
      </c>
      <c r="L413" s="61"/>
      <c r="M413" s="61"/>
      <c r="N413" s="61"/>
    </row>
    <row r="414" spans="1:14" ht="21.75" customHeight="1" x14ac:dyDescent="0.4">
      <c r="A414" s="55"/>
      <c r="B414" s="56"/>
      <c r="C414" s="56"/>
      <c r="D414" s="73"/>
      <c r="E414" s="75"/>
      <c r="F414" s="75"/>
      <c r="G414" s="99" t="s">
        <v>177</v>
      </c>
      <c r="H414" s="364" t="s">
        <v>103</v>
      </c>
      <c r="I414" s="365">
        <v>0</v>
      </c>
      <c r="J414" s="366">
        <f ca="1">IFERROR(__xludf.DUMMYFUNCTION("IMPORTRANGE(""https://docs.google.com/spreadsheets/d/1C3CXT74ZlgGe6_JY_1olB1XN4rF0dxEuIIF-xsYjHgg/edit?usp=sharing"",""งบกองทุน!dd32"")"),0)</f>
        <v>0</v>
      </c>
      <c r="K414" s="367">
        <f t="shared" si="82"/>
        <v>0</v>
      </c>
      <c r="L414" s="61"/>
      <c r="M414" s="61"/>
      <c r="N414" s="61"/>
    </row>
    <row r="415" spans="1:14" ht="21.75" customHeight="1" x14ac:dyDescent="0.4">
      <c r="A415" s="55"/>
      <c r="B415" s="56"/>
      <c r="C415" s="56"/>
      <c r="D415" s="73"/>
      <c r="E415" s="75"/>
      <c r="F415" s="75"/>
      <c r="G415" s="76"/>
      <c r="H415" s="364" t="s">
        <v>15</v>
      </c>
      <c r="I415" s="365">
        <v>0</v>
      </c>
      <c r="J415" s="366">
        <f ca="1">IFERROR(__xludf.DUMMYFUNCTION("IMPORTRANGE(""https://docs.google.com/spreadsheets/d/1C3CXT74ZlgGe6_JY_1olB1XN4rF0dxEuIIF-xsYjHgg/edit?usp=sharing"",""งบกองทุน!dc32"")"),0)</f>
        <v>0</v>
      </c>
      <c r="K415" s="367">
        <f t="shared" si="82"/>
        <v>0</v>
      </c>
      <c r="L415" s="61"/>
      <c r="M415" s="61"/>
      <c r="N415" s="61"/>
    </row>
    <row r="416" spans="1:14" ht="21.75" customHeight="1" x14ac:dyDescent="0.4">
      <c r="A416" s="55"/>
      <c r="B416" s="56"/>
      <c r="C416" s="56"/>
      <c r="D416" s="73"/>
      <c r="E416" s="75"/>
      <c r="F416" s="75"/>
      <c r="G416" s="99" t="s">
        <v>178</v>
      </c>
      <c r="H416" s="364" t="s">
        <v>103</v>
      </c>
      <c r="I416" s="365">
        <v>0</v>
      </c>
      <c r="J416" s="366">
        <f ca="1">IFERROR(__xludf.DUMMYFUNCTION("IMPORTRANGE(""https://docs.google.com/spreadsheets/d/1C3CXT74ZlgGe6_JY_1olB1XN4rF0dxEuIIF-xsYjHgg/edit?usp=sharing"",""งบกองทุน!df32"")"),0)</f>
        <v>0</v>
      </c>
      <c r="K416" s="367">
        <f t="shared" si="82"/>
        <v>0</v>
      </c>
      <c r="L416" s="61"/>
      <c r="M416" s="61"/>
      <c r="N416" s="61"/>
    </row>
    <row r="417" spans="1:14" ht="21.75" customHeight="1" x14ac:dyDescent="0.4">
      <c r="A417" s="55"/>
      <c r="B417" s="56"/>
      <c r="C417" s="56"/>
      <c r="D417" s="73"/>
      <c r="E417" s="75"/>
      <c r="F417" s="75"/>
      <c r="G417" s="76"/>
      <c r="H417" s="364" t="s">
        <v>15</v>
      </c>
      <c r="I417" s="365">
        <v>0</v>
      </c>
      <c r="J417" s="366">
        <f ca="1">IFERROR(__xludf.DUMMYFUNCTION("IMPORTRANGE(""https://docs.google.com/spreadsheets/d/1C3CXT74ZlgGe6_JY_1olB1XN4rF0dxEuIIF-xsYjHgg/edit?usp=sharing"",""งบกองทุน!de32"")"),0)</f>
        <v>0</v>
      </c>
      <c r="K417" s="367">
        <f t="shared" si="82"/>
        <v>0</v>
      </c>
      <c r="L417" s="61"/>
      <c r="M417" s="61"/>
      <c r="N417" s="61"/>
    </row>
    <row r="418" spans="1:14" ht="21.75" customHeight="1" x14ac:dyDescent="0.4">
      <c r="A418" s="55"/>
      <c r="B418" s="56"/>
      <c r="C418" s="288"/>
      <c r="D418" s="288"/>
      <c r="E418" s="288" t="s">
        <v>179</v>
      </c>
      <c r="F418" s="289"/>
      <c r="G418" s="290"/>
      <c r="H418" s="363" t="s">
        <v>103</v>
      </c>
      <c r="I418" s="368">
        <f t="shared" ref="I418:I419" ca="1" si="91">J416</f>
        <v>0</v>
      </c>
      <c r="J418" s="150">
        <f t="shared" ref="J418:J419" si="92">SUM(J420,J422,J424)</f>
        <v>0</v>
      </c>
      <c r="K418" s="369">
        <f t="shared" ca="1" si="82"/>
        <v>0</v>
      </c>
      <c r="L418" s="61"/>
      <c r="M418" s="61"/>
      <c r="N418" s="61"/>
    </row>
    <row r="419" spans="1:14" ht="21.75" customHeight="1" x14ac:dyDescent="0.4">
      <c r="A419" s="55"/>
      <c r="B419" s="56"/>
      <c r="C419" s="288"/>
      <c r="D419" s="288"/>
      <c r="E419" s="288" t="s">
        <v>180</v>
      </c>
      <c r="F419" s="289"/>
      <c r="G419" s="290"/>
      <c r="H419" s="363" t="s">
        <v>15</v>
      </c>
      <c r="I419" s="368">
        <f t="shared" ca="1" si="91"/>
        <v>0</v>
      </c>
      <c r="J419" s="150">
        <f t="shared" si="92"/>
        <v>0</v>
      </c>
      <c r="K419" s="369">
        <f t="shared" ca="1" si="82"/>
        <v>0</v>
      </c>
      <c r="L419" s="61"/>
      <c r="M419" s="61"/>
      <c r="N419" s="61"/>
    </row>
    <row r="420" spans="1:14" ht="21.75" customHeight="1" x14ac:dyDescent="0.4">
      <c r="A420" s="55"/>
      <c r="B420" s="56"/>
      <c r="C420" s="56"/>
      <c r="D420" s="73"/>
      <c r="E420" s="75"/>
      <c r="F420" s="75"/>
      <c r="G420" s="99" t="s">
        <v>176</v>
      </c>
      <c r="H420" s="364" t="s">
        <v>103</v>
      </c>
      <c r="I420" s="365">
        <v>0</v>
      </c>
      <c r="J420" s="68">
        <v>0</v>
      </c>
      <c r="K420" s="370">
        <f t="shared" si="82"/>
        <v>0</v>
      </c>
      <c r="L420" s="61"/>
      <c r="M420" s="61"/>
      <c r="N420" s="61"/>
    </row>
    <row r="421" spans="1:14" ht="21.75" customHeight="1" x14ac:dyDescent="0.4">
      <c r="A421" s="55"/>
      <c r="B421" s="56"/>
      <c r="C421" s="56"/>
      <c r="D421" s="73"/>
      <c r="E421" s="75"/>
      <c r="F421" s="75"/>
      <c r="G421" s="76"/>
      <c r="H421" s="364" t="s">
        <v>15</v>
      </c>
      <c r="I421" s="365">
        <v>0</v>
      </c>
      <c r="J421" s="68">
        <v>0</v>
      </c>
      <c r="K421" s="370">
        <f t="shared" si="82"/>
        <v>0</v>
      </c>
      <c r="L421" s="61"/>
      <c r="M421" s="61"/>
      <c r="N421" s="61"/>
    </row>
    <row r="422" spans="1:14" ht="21.75" customHeight="1" x14ac:dyDescent="0.4">
      <c r="A422" s="55"/>
      <c r="B422" s="56"/>
      <c r="C422" s="56"/>
      <c r="D422" s="73"/>
      <c r="E422" s="75"/>
      <c r="F422" s="75"/>
      <c r="G422" s="99" t="s">
        <v>177</v>
      </c>
      <c r="H422" s="364" t="s">
        <v>103</v>
      </c>
      <c r="I422" s="365">
        <v>0</v>
      </c>
      <c r="J422" s="68">
        <v>0</v>
      </c>
      <c r="K422" s="370">
        <f t="shared" si="82"/>
        <v>0</v>
      </c>
      <c r="L422" s="61"/>
      <c r="M422" s="61"/>
      <c r="N422" s="61"/>
    </row>
    <row r="423" spans="1:14" ht="21.75" customHeight="1" x14ac:dyDescent="0.4">
      <c r="A423" s="55"/>
      <c r="B423" s="56"/>
      <c r="C423" s="56"/>
      <c r="D423" s="73"/>
      <c r="E423" s="75"/>
      <c r="F423" s="75"/>
      <c r="G423" s="76"/>
      <c r="H423" s="364" t="s">
        <v>15</v>
      </c>
      <c r="I423" s="365">
        <v>0</v>
      </c>
      <c r="J423" s="68">
        <v>0</v>
      </c>
      <c r="K423" s="370">
        <f t="shared" si="82"/>
        <v>0</v>
      </c>
      <c r="L423" s="61"/>
      <c r="M423" s="61"/>
      <c r="N423" s="61"/>
    </row>
    <row r="424" spans="1:14" ht="21.75" customHeight="1" x14ac:dyDescent="0.4">
      <c r="A424" s="55"/>
      <c r="B424" s="56"/>
      <c r="C424" s="56"/>
      <c r="D424" s="73"/>
      <c r="E424" s="75"/>
      <c r="F424" s="75"/>
      <c r="G424" s="99" t="s">
        <v>181</v>
      </c>
      <c r="H424" s="364" t="s">
        <v>103</v>
      </c>
      <c r="I424" s="365">
        <v>0</v>
      </c>
      <c r="J424" s="68">
        <v>0</v>
      </c>
      <c r="K424" s="370">
        <f t="shared" si="82"/>
        <v>0</v>
      </c>
      <c r="L424" s="61"/>
      <c r="M424" s="61"/>
      <c r="N424" s="61"/>
    </row>
    <row r="425" spans="1:14" ht="21.75" customHeight="1" x14ac:dyDescent="0.4">
      <c r="A425" s="292"/>
      <c r="B425" s="293"/>
      <c r="C425" s="293"/>
      <c r="D425" s="294"/>
      <c r="E425" s="295"/>
      <c r="F425" s="295"/>
      <c r="G425" s="296"/>
      <c r="H425" s="371" t="s">
        <v>15</v>
      </c>
      <c r="I425" s="372">
        <v>0</v>
      </c>
      <c r="J425" s="247">
        <v>0</v>
      </c>
      <c r="K425" s="373">
        <f t="shared" si="82"/>
        <v>0</v>
      </c>
      <c r="L425" s="300"/>
      <c r="M425" s="300"/>
      <c r="N425" s="300"/>
    </row>
    <row r="426" spans="1:14" ht="21.75" customHeight="1" x14ac:dyDescent="0.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374" t="s">
        <v>16</v>
      </c>
      <c r="I426" s="375">
        <f t="shared" ref="I426:J426" ca="1" si="93">I440</f>
        <v>22</v>
      </c>
      <c r="J426" s="375">
        <f t="shared" si="93"/>
        <v>22</v>
      </c>
      <c r="K426" s="301">
        <f ca="1">IF(I426&gt;0,J426*100/I426,0)</f>
        <v>100</v>
      </c>
      <c r="L426" s="259">
        <f t="shared" ref="L426:M426" ca="1" si="94">SUM(L427:L428)</f>
        <v>34340</v>
      </c>
      <c r="M426" s="259">
        <f t="shared" si="94"/>
        <v>4180</v>
      </c>
      <c r="N426" s="259">
        <f t="shared" ref="N426:N430" ca="1" si="95">+IF(L426&gt;0,M426*100/L426,0)</f>
        <v>12.172393709959231</v>
      </c>
    </row>
    <row r="427" spans="1:14" ht="21.75" customHeight="1" x14ac:dyDescent="0.4">
      <c r="A427" s="42"/>
      <c r="B427" s="43"/>
      <c r="C427" s="43" t="s">
        <v>17</v>
      </c>
      <c r="D427" s="44" t="s">
        <v>18</v>
      </c>
      <c r="E427" s="45"/>
      <c r="F427" s="45"/>
      <c r="G427" s="46" t="s">
        <v>19</v>
      </c>
      <c r="H427" s="47" t="s">
        <v>20</v>
      </c>
      <c r="I427" s="48" t="s">
        <v>21</v>
      </c>
      <c r="J427" s="48"/>
      <c r="K427" s="49"/>
      <c r="L427" s="50">
        <v>0</v>
      </c>
      <c r="M427" s="53">
        <v>0</v>
      </c>
      <c r="N427" s="53">
        <f t="shared" si="95"/>
        <v>0</v>
      </c>
    </row>
    <row r="428" spans="1:14" ht="21.75" customHeight="1" x14ac:dyDescent="0.4">
      <c r="A428" s="42"/>
      <c r="B428" s="43"/>
      <c r="C428" s="43"/>
      <c r="D428" s="51"/>
      <c r="E428" s="45"/>
      <c r="F428" s="45" t="s">
        <v>21</v>
      </c>
      <c r="G428" s="46" t="s">
        <v>22</v>
      </c>
      <c r="H428" s="47" t="s">
        <v>20</v>
      </c>
      <c r="I428" s="48"/>
      <c r="J428" s="48"/>
      <c r="K428" s="49"/>
      <c r="L428" s="50">
        <f t="shared" ref="L428:M428" ca="1" si="96">SUM(L429:L430)</f>
        <v>34340</v>
      </c>
      <c r="M428" s="53">
        <f t="shared" si="96"/>
        <v>4180</v>
      </c>
      <c r="N428" s="53">
        <f t="shared" ca="1" si="95"/>
        <v>12.172393709959231</v>
      </c>
    </row>
    <row r="429" spans="1:14" ht="21.75" customHeight="1" x14ac:dyDescent="0.4">
      <c r="A429" s="42"/>
      <c r="B429" s="43"/>
      <c r="C429" s="43"/>
      <c r="D429" s="51"/>
      <c r="E429" s="45"/>
      <c r="F429" s="45"/>
      <c r="G429" s="52" t="s">
        <v>110</v>
      </c>
      <c r="H429" s="47" t="s">
        <v>20</v>
      </c>
      <c r="I429" s="48"/>
      <c r="J429" s="48"/>
      <c r="K429" s="49"/>
      <c r="L429" s="53">
        <f ca="1">IFERROR(__xludf.DUMMYFUNCTION("IMPORTRANGE(""https://docs.google.com/spreadsheets/d/1C3CXT74ZlgGe6_JY_1olB1XN4rF0dxEuIIF-xsYjHgg/edit?usp=sharing"",""งบกองทุน!dn32"")"),0)</f>
        <v>0</v>
      </c>
      <c r="M429" s="53">
        <v>0</v>
      </c>
      <c r="N429" s="53">
        <f t="shared" ca="1" si="95"/>
        <v>0</v>
      </c>
    </row>
    <row r="430" spans="1:14" ht="21.75" customHeight="1" x14ac:dyDescent="0.4">
      <c r="A430" s="42"/>
      <c r="B430" s="43"/>
      <c r="C430" s="43"/>
      <c r="D430" s="51"/>
      <c r="E430" s="45"/>
      <c r="F430" s="45"/>
      <c r="G430" s="52" t="s">
        <v>111</v>
      </c>
      <c r="H430" s="47" t="s">
        <v>20</v>
      </c>
      <c r="I430" s="48"/>
      <c r="J430" s="48"/>
      <c r="K430" s="49"/>
      <c r="L430" s="53">
        <f ca="1">IFERROR(__xludf.DUMMYFUNCTION("IMPORTRANGE(""https://docs.google.com/spreadsheets/d/1C3CXT74ZlgGe6_JY_1olB1XN4rF0dxEuIIF-xsYjHgg/edit?usp=sharing"",""งบกองทุน!do32"")"),34340)</f>
        <v>34340</v>
      </c>
      <c r="M430" s="53">
        <f>SUM(M431:M434)</f>
        <v>4180</v>
      </c>
      <c r="N430" s="53">
        <f t="shared" ca="1" si="95"/>
        <v>12.172393709959231</v>
      </c>
    </row>
    <row r="431" spans="1:14" ht="21.75" customHeight="1" x14ac:dyDescent="0.4">
      <c r="A431" s="230"/>
      <c r="B431" s="231"/>
      <c r="C431" s="43"/>
      <c r="D431" s="232"/>
      <c r="E431" s="45"/>
      <c r="F431" s="45"/>
      <c r="G431" s="46" t="s">
        <v>112</v>
      </c>
      <c r="H431" s="47" t="s">
        <v>20</v>
      </c>
      <c r="I431" s="67"/>
      <c r="J431" s="67"/>
      <c r="K431" s="233"/>
      <c r="L431" s="53"/>
      <c r="M431" s="54">
        <v>4180</v>
      </c>
      <c r="N431" s="53"/>
    </row>
    <row r="432" spans="1:14" ht="21.75" customHeight="1" x14ac:dyDescent="0.4">
      <c r="A432" s="230"/>
      <c r="B432" s="231"/>
      <c r="C432" s="43"/>
      <c r="D432" s="232"/>
      <c r="E432" s="45"/>
      <c r="F432" s="45"/>
      <c r="G432" s="46" t="s">
        <v>113</v>
      </c>
      <c r="H432" s="47" t="s">
        <v>20</v>
      </c>
      <c r="I432" s="67"/>
      <c r="J432" s="67"/>
      <c r="K432" s="233"/>
      <c r="L432" s="53"/>
      <c r="M432" s="54">
        <v>0</v>
      </c>
      <c r="N432" s="53"/>
    </row>
    <row r="433" spans="1:14" ht="21.75" customHeight="1" x14ac:dyDescent="0.4">
      <c r="A433" s="230"/>
      <c r="B433" s="231"/>
      <c r="C433" s="43"/>
      <c r="D433" s="232"/>
      <c r="E433" s="45"/>
      <c r="F433" s="45"/>
      <c r="G433" s="46" t="s">
        <v>114</v>
      </c>
      <c r="H433" s="47" t="s">
        <v>20</v>
      </c>
      <c r="I433" s="67"/>
      <c r="J433" s="67"/>
      <c r="K433" s="233"/>
      <c r="L433" s="53"/>
      <c r="M433" s="54">
        <v>0</v>
      </c>
      <c r="N433" s="53"/>
    </row>
    <row r="434" spans="1:14" ht="21.75" customHeight="1" x14ac:dyDescent="0.4">
      <c r="A434" s="230"/>
      <c r="B434" s="231"/>
      <c r="C434" s="43"/>
      <c r="D434" s="232"/>
      <c r="E434" s="45"/>
      <c r="F434" s="45"/>
      <c r="G434" s="46" t="s">
        <v>115</v>
      </c>
      <c r="H434" s="47" t="s">
        <v>20</v>
      </c>
      <c r="I434" s="67"/>
      <c r="J434" s="67"/>
      <c r="K434" s="233"/>
      <c r="L434" s="53"/>
      <c r="M434" s="54">
        <v>0</v>
      </c>
      <c r="N434" s="53"/>
    </row>
    <row r="435" spans="1:14" ht="21.75" customHeight="1" x14ac:dyDescent="0.4">
      <c r="A435" s="55"/>
      <c r="B435" s="56"/>
      <c r="C435" s="43" t="s">
        <v>17</v>
      </c>
      <c r="D435" s="57" t="s">
        <v>25</v>
      </c>
      <c r="E435" s="58"/>
      <c r="F435" s="58"/>
      <c r="G435" s="59"/>
      <c r="H435" s="60"/>
      <c r="I435" s="48"/>
      <c r="J435" s="48"/>
      <c r="K435" s="49"/>
      <c r="L435" s="61"/>
      <c r="M435" s="61"/>
      <c r="N435" s="61"/>
    </row>
    <row r="436" spans="1:14" ht="21.75" customHeight="1" x14ac:dyDescent="0.4">
      <c r="A436" s="55"/>
      <c r="B436" s="56"/>
      <c r="C436" s="56"/>
      <c r="D436" s="62">
        <v>1</v>
      </c>
      <c r="E436" s="63" t="s">
        <v>26</v>
      </c>
      <c r="F436" s="64"/>
      <c r="G436" s="65"/>
      <c r="H436" s="66"/>
      <c r="I436" s="67"/>
      <c r="J436" s="68">
        <v>0</v>
      </c>
      <c r="K436" s="49"/>
      <c r="L436" s="61"/>
      <c r="M436" s="61"/>
      <c r="N436" s="61"/>
    </row>
    <row r="437" spans="1:14" ht="21.75" customHeight="1" x14ac:dyDescent="0.4">
      <c r="A437" s="55"/>
      <c r="B437" s="56"/>
      <c r="C437" s="56"/>
      <c r="D437" s="69">
        <v>2</v>
      </c>
      <c r="E437" s="70" t="s">
        <v>27</v>
      </c>
      <c r="F437" s="71"/>
      <c r="G437" s="72"/>
      <c r="H437" s="66"/>
      <c r="I437" s="67"/>
      <c r="J437" s="68">
        <v>1</v>
      </c>
      <c r="K437" s="49"/>
      <c r="L437" s="61" t="s">
        <v>21</v>
      </c>
      <c r="M437" s="61" t="s">
        <v>21</v>
      </c>
      <c r="N437" s="61"/>
    </row>
    <row r="438" spans="1:14" ht="21.75" customHeight="1" x14ac:dyDescent="0.4">
      <c r="A438" s="55"/>
      <c r="B438" s="56"/>
      <c r="C438" s="56"/>
      <c r="D438" s="73"/>
      <c r="E438" s="74" t="s">
        <v>28</v>
      </c>
      <c r="F438" s="75"/>
      <c r="G438" s="76"/>
      <c r="H438" s="66"/>
      <c r="I438" s="67"/>
      <c r="J438" s="68">
        <v>1</v>
      </c>
      <c r="K438" s="49"/>
      <c r="L438" s="61"/>
      <c r="M438" s="61"/>
      <c r="N438" s="61"/>
    </row>
    <row r="439" spans="1:14" ht="21.75" customHeight="1" x14ac:dyDescent="0.4">
      <c r="A439" s="55"/>
      <c r="B439" s="56"/>
      <c r="C439" s="56"/>
      <c r="D439" s="73"/>
      <c r="E439" s="74" t="s">
        <v>29</v>
      </c>
      <c r="F439" s="75"/>
      <c r="G439" s="76"/>
      <c r="H439" s="66"/>
      <c r="I439" s="67"/>
      <c r="J439" s="68">
        <v>1</v>
      </c>
      <c r="K439" s="49"/>
      <c r="L439" s="61"/>
      <c r="M439" s="61"/>
      <c r="N439" s="61"/>
    </row>
    <row r="440" spans="1:14" ht="21.75" customHeight="1" x14ac:dyDescent="0.4">
      <c r="A440" s="55"/>
      <c r="B440" s="56"/>
      <c r="C440" s="56"/>
      <c r="D440" s="73"/>
      <c r="E440" s="77"/>
      <c r="F440" s="75"/>
      <c r="G440" s="99" t="s">
        <v>183</v>
      </c>
      <c r="H440" s="66" t="s">
        <v>16</v>
      </c>
      <c r="I440" s="200">
        <f ca="1">IFERROR(__xludf.DUMMYFUNCTION("IMPORTRANGE(""https://docs.google.com/spreadsheets/d/1C3CXT74ZlgGe6_JY_1olB1XN4rF0dxEuIIF-xsYjHgg/edit?usp=sharing"",""งบกองทุน!dq32"")"),22)</f>
        <v>22</v>
      </c>
      <c r="J440" s="68">
        <v>22</v>
      </c>
      <c r="K440" s="49">
        <f t="shared" ref="K440:K441" ca="1" si="97">IF(I440&gt;0,J440*100/I440,0)</f>
        <v>100</v>
      </c>
      <c r="L440" s="61"/>
      <c r="M440" s="61"/>
      <c r="N440" s="61"/>
    </row>
    <row r="441" spans="1:14" ht="21.75" hidden="1" customHeight="1" x14ac:dyDescent="0.4">
      <c r="A441" s="55"/>
      <c r="B441" s="56"/>
      <c r="C441" s="56"/>
      <c r="D441" s="73"/>
      <c r="E441" s="77"/>
      <c r="F441" s="75"/>
      <c r="G441" s="99" t="s">
        <v>184</v>
      </c>
      <c r="H441" s="66" t="s">
        <v>16</v>
      </c>
      <c r="I441" s="200">
        <f ca="1">IFERROR(__xludf.DUMMYFUNCTION("IMPORTRANGE(""https://docs.google.com/spreadsheets/d/1C3CXT74ZlgGe6_JY_1olB1XN4rF0dxEuIIF-xsYjHgg/edit?usp=sharing"",""งบกองทุน!dr32"")"),22)</f>
        <v>22</v>
      </c>
      <c r="J441" s="68">
        <v>0</v>
      </c>
      <c r="K441" s="49">
        <f t="shared" ca="1" si="97"/>
        <v>0</v>
      </c>
      <c r="L441" s="61"/>
      <c r="M441" s="61"/>
      <c r="N441" s="61"/>
    </row>
    <row r="442" spans="1:14" ht="21.75" customHeight="1" x14ac:dyDescent="0.4">
      <c r="A442" s="55"/>
      <c r="B442" s="56"/>
      <c r="C442" s="56"/>
      <c r="D442" s="73"/>
      <c r="E442" s="74" t="s">
        <v>35</v>
      </c>
      <c r="F442" s="75"/>
      <c r="G442" s="76"/>
      <c r="H442" s="66"/>
      <c r="I442" s="67"/>
      <c r="J442" s="68">
        <v>0</v>
      </c>
      <c r="K442" s="49"/>
      <c r="L442" s="61"/>
      <c r="M442" s="61"/>
      <c r="N442" s="61"/>
    </row>
    <row r="443" spans="1:14" ht="21.75" customHeight="1" x14ac:dyDescent="0.4">
      <c r="A443" s="292"/>
      <c r="B443" s="293"/>
      <c r="C443" s="293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309"/>
      <c r="L443" s="300"/>
      <c r="M443" s="300"/>
      <c r="N443" s="300"/>
    </row>
    <row r="444" spans="1:14" ht="21.75" customHeight="1" x14ac:dyDescent="0.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8">SUM(I453,I455)</f>
        <v>3000</v>
      </c>
      <c r="J444" s="257">
        <f t="shared" si="98"/>
        <v>0</v>
      </c>
      <c r="K444" s="258">
        <f ca="1">IF(I444&gt;0,J444*100/I444,0)</f>
        <v>0</v>
      </c>
      <c r="L444" s="259">
        <f t="shared" ref="L444:M444" ca="1" si="99">SUM(L445:L446)</f>
        <v>188000</v>
      </c>
      <c r="M444" s="259">
        <f t="shared" si="99"/>
        <v>0</v>
      </c>
      <c r="N444" s="259">
        <f t="shared" ref="N444:N448" ca="1" si="100">+IF(L444&gt;0,M444*100/L444,0)</f>
        <v>0</v>
      </c>
    </row>
    <row r="445" spans="1:14" ht="21.75" customHeight="1" x14ac:dyDescent="0.4">
      <c r="A445" s="42"/>
      <c r="B445" s="43"/>
      <c r="C445" s="43" t="s">
        <v>17</v>
      </c>
      <c r="D445" s="44" t="s">
        <v>18</v>
      </c>
      <c r="E445" s="45"/>
      <c r="F445" s="45"/>
      <c r="G445" s="46" t="s">
        <v>19</v>
      </c>
      <c r="H445" s="47" t="s">
        <v>20</v>
      </c>
      <c r="I445" s="48" t="s">
        <v>21</v>
      </c>
      <c r="J445" s="48"/>
      <c r="K445" s="49"/>
      <c r="L445" s="50">
        <v>0</v>
      </c>
      <c r="M445" s="53">
        <v>0</v>
      </c>
      <c r="N445" s="53">
        <f t="shared" si="100"/>
        <v>0</v>
      </c>
    </row>
    <row r="446" spans="1:14" ht="21.75" customHeight="1" x14ac:dyDescent="0.4">
      <c r="A446" s="42"/>
      <c r="B446" s="43"/>
      <c r="C446" s="43"/>
      <c r="D446" s="51"/>
      <c r="E446" s="45"/>
      <c r="F446" s="45" t="s">
        <v>21</v>
      </c>
      <c r="G446" s="46" t="s">
        <v>22</v>
      </c>
      <c r="H446" s="47" t="s">
        <v>20</v>
      </c>
      <c r="I446" s="48"/>
      <c r="J446" s="48"/>
      <c r="K446" s="49"/>
      <c r="L446" s="50">
        <f t="shared" ref="L446:M446" ca="1" si="101">SUM(L447:L448)</f>
        <v>188000</v>
      </c>
      <c r="M446" s="53">
        <f t="shared" si="101"/>
        <v>0</v>
      </c>
      <c r="N446" s="53">
        <f t="shared" ca="1" si="100"/>
        <v>0</v>
      </c>
    </row>
    <row r="447" spans="1:14" ht="21.75" customHeight="1" x14ac:dyDescent="0.4">
      <c r="A447" s="42"/>
      <c r="B447" s="43"/>
      <c r="C447" s="43"/>
      <c r="D447" s="51"/>
      <c r="E447" s="45"/>
      <c r="F447" s="45"/>
      <c r="G447" s="52" t="s">
        <v>110</v>
      </c>
      <c r="H447" s="47" t="s">
        <v>20</v>
      </c>
      <c r="I447" s="48"/>
      <c r="J447" s="48"/>
      <c r="K447" s="49"/>
      <c r="L447" s="53">
        <f ca="1">IFERROR(__xludf.DUMMYFUNCTION("IMPORTRANGE(""https://docs.google.com/spreadsheets/d/1C3CXT74ZlgGe6_JY_1olB1XN4rF0dxEuIIF-xsYjHgg/edit?usp=sharing"",""งบกองทุน!dt32"")"),0)</f>
        <v>0</v>
      </c>
      <c r="M447" s="53">
        <v>0</v>
      </c>
      <c r="N447" s="53">
        <f t="shared" ca="1" si="100"/>
        <v>0</v>
      </c>
    </row>
    <row r="448" spans="1:14" ht="21.75" customHeight="1" x14ac:dyDescent="0.4">
      <c r="A448" s="42"/>
      <c r="B448" s="43"/>
      <c r="C448" s="43"/>
      <c r="D448" s="51"/>
      <c r="E448" s="45"/>
      <c r="F448" s="45"/>
      <c r="G448" s="52" t="s">
        <v>111</v>
      </c>
      <c r="H448" s="47" t="s">
        <v>20</v>
      </c>
      <c r="I448" s="48"/>
      <c r="J448" s="48"/>
      <c r="K448" s="49"/>
      <c r="L448" s="53">
        <f ca="1">IFERROR(__xludf.DUMMYFUNCTION("IMPORTRANGE(""https://docs.google.com/spreadsheets/d/1C3CXT74ZlgGe6_JY_1olB1XN4rF0dxEuIIF-xsYjHgg/edit?usp=sharing"",""งบกองทุน!du32"")"),188000)</f>
        <v>188000</v>
      </c>
      <c r="M448" s="53">
        <f>SUM(M449:M452)</f>
        <v>0</v>
      </c>
      <c r="N448" s="53">
        <f t="shared" ca="1" si="100"/>
        <v>0</v>
      </c>
    </row>
    <row r="449" spans="1:14" ht="21.75" customHeight="1" x14ac:dyDescent="0.4">
      <c r="A449" s="230"/>
      <c r="B449" s="231"/>
      <c r="C449" s="43"/>
      <c r="D449" s="232"/>
      <c r="E449" s="45"/>
      <c r="F449" s="45"/>
      <c r="G449" s="46" t="s">
        <v>112</v>
      </c>
      <c r="H449" s="47" t="s">
        <v>20</v>
      </c>
      <c r="I449" s="67"/>
      <c r="J449" s="67"/>
      <c r="K449" s="233"/>
      <c r="L449" s="53"/>
      <c r="M449" s="54">
        <v>0</v>
      </c>
      <c r="N449" s="53"/>
    </row>
    <row r="450" spans="1:14" ht="21.75" customHeight="1" x14ac:dyDescent="0.4">
      <c r="A450" s="230"/>
      <c r="B450" s="231"/>
      <c r="C450" s="43"/>
      <c r="D450" s="232"/>
      <c r="E450" s="45"/>
      <c r="F450" s="45"/>
      <c r="G450" s="46" t="s">
        <v>113</v>
      </c>
      <c r="H450" s="47" t="s">
        <v>20</v>
      </c>
      <c r="I450" s="67"/>
      <c r="J450" s="67"/>
      <c r="K450" s="233"/>
      <c r="L450" s="53"/>
      <c r="M450" s="54">
        <v>0</v>
      </c>
      <c r="N450" s="53"/>
    </row>
    <row r="451" spans="1:14" ht="21.75" customHeight="1" x14ac:dyDescent="0.4">
      <c r="A451" s="230"/>
      <c r="B451" s="231"/>
      <c r="C451" s="43"/>
      <c r="D451" s="232"/>
      <c r="E451" s="45"/>
      <c r="F451" s="45"/>
      <c r="G451" s="46" t="s">
        <v>114</v>
      </c>
      <c r="H451" s="47" t="s">
        <v>20</v>
      </c>
      <c r="I451" s="67"/>
      <c r="J451" s="67"/>
      <c r="K451" s="233"/>
      <c r="L451" s="53"/>
      <c r="M451" s="54">
        <v>0</v>
      </c>
      <c r="N451" s="53"/>
    </row>
    <row r="452" spans="1:14" ht="21.75" customHeight="1" x14ac:dyDescent="0.4">
      <c r="A452" s="230"/>
      <c r="B452" s="231"/>
      <c r="C452" s="43"/>
      <c r="D452" s="232"/>
      <c r="E452" s="45"/>
      <c r="F452" s="45"/>
      <c r="G452" s="46" t="s">
        <v>115</v>
      </c>
      <c r="H452" s="47" t="s">
        <v>20</v>
      </c>
      <c r="I452" s="67"/>
      <c r="J452" s="67"/>
      <c r="K452" s="233"/>
      <c r="L452" s="53"/>
      <c r="M452" s="54">
        <v>0</v>
      </c>
      <c r="N452" s="53"/>
    </row>
    <row r="453" spans="1:14" ht="21.75" customHeight="1" x14ac:dyDescent="0.4">
      <c r="A453" s="230"/>
      <c r="B453" s="231"/>
      <c r="C453" s="231"/>
      <c r="D453" s="310"/>
      <c r="E453" s="311"/>
      <c r="F453" s="311" t="s">
        <v>186</v>
      </c>
      <c r="G453" s="312"/>
      <c r="H453" s="313" t="s">
        <v>103</v>
      </c>
      <c r="I453" s="67">
        <f ca="1">IFERROR(__xludf.DUMMYFUNCTION("IMPORTRANGE(""https://docs.google.com/spreadsheets/d/1C3CXT74ZlgGe6_JY_1olB1XN4rF0dxEuIIF-xsYjHgg/edit?usp=sharing"",""งบกองทุน!dw32"")"),3000)</f>
        <v>3000</v>
      </c>
      <c r="J453" s="67">
        <v>0</v>
      </c>
      <c r="K453" s="233">
        <f t="shared" ref="K453:K457" ca="1" si="102">IF(I453&gt;0,J453*100/I453,0)</f>
        <v>0</v>
      </c>
      <c r="L453" s="53"/>
      <c r="M453" s="53"/>
      <c r="N453" s="53"/>
    </row>
    <row r="454" spans="1:14" ht="21.75" customHeight="1" x14ac:dyDescent="0.4">
      <c r="A454" s="230"/>
      <c r="B454" s="231"/>
      <c r="C454" s="231"/>
      <c r="D454" s="310"/>
      <c r="E454" s="311"/>
      <c r="F454" s="311"/>
      <c r="G454" s="312"/>
      <c r="H454" s="313" t="s">
        <v>15</v>
      </c>
      <c r="I454" s="67">
        <f ca="1">IFERROR(__xludf.DUMMYFUNCTION("IMPORTRANGE(""https://docs.google.com/spreadsheets/d/1C3CXT74ZlgGe6_JY_1olB1XN4rF0dxEuIIF-xsYjHgg/edit?usp=sharing"",""งบกองทุน!dx32"")"),0)</f>
        <v>0</v>
      </c>
      <c r="J454" s="67">
        <v>0</v>
      </c>
      <c r="K454" s="233">
        <f t="shared" ca="1" si="102"/>
        <v>0</v>
      </c>
      <c r="L454" s="53"/>
      <c r="M454" s="53"/>
      <c r="N454" s="53"/>
    </row>
    <row r="455" spans="1:14" ht="21.75" customHeight="1" x14ac:dyDescent="0.4">
      <c r="A455" s="230"/>
      <c r="B455" s="231"/>
      <c r="C455" s="231"/>
      <c r="D455" s="310"/>
      <c r="E455" s="311"/>
      <c r="F455" s="311" t="s">
        <v>187</v>
      </c>
      <c r="G455" s="312"/>
      <c r="H455" s="313" t="s">
        <v>103</v>
      </c>
      <c r="I455" s="67">
        <f ca="1">IFERROR(__xludf.DUMMYFUNCTION("IMPORTRANGE(""https://docs.google.com/spreadsheets/d/1C3CXT74ZlgGe6_JY_1olB1XN4rF0dxEuIIF-xsYjHgg/edit?usp=sharing"",""งบกองทุน!dy32"")"),0)</f>
        <v>0</v>
      </c>
      <c r="J455" s="67">
        <v>0</v>
      </c>
      <c r="K455" s="233">
        <f t="shared" ca="1" si="102"/>
        <v>0</v>
      </c>
      <c r="L455" s="53"/>
      <c r="M455" s="53"/>
      <c r="N455" s="53"/>
    </row>
    <row r="456" spans="1:14" ht="21.75" customHeight="1" x14ac:dyDescent="0.4">
      <c r="A456" s="230"/>
      <c r="B456" s="231"/>
      <c r="C456" s="231"/>
      <c r="D456" s="310"/>
      <c r="E456" s="311"/>
      <c r="F456" s="311"/>
      <c r="G456" s="312"/>
      <c r="H456" s="313" t="s">
        <v>15</v>
      </c>
      <c r="I456" s="67">
        <f ca="1">IFERROR(__xludf.DUMMYFUNCTION("IMPORTRANGE(""https://docs.google.com/spreadsheets/d/1C3CXT74ZlgGe6_JY_1olB1XN4rF0dxEuIIF-xsYjHgg/edit?usp=sharing"",""งบกองทุน!dz32"")"),0)</f>
        <v>0</v>
      </c>
      <c r="J456" s="67">
        <v>0</v>
      </c>
      <c r="K456" s="233">
        <f t="shared" ca="1" si="102"/>
        <v>0</v>
      </c>
      <c r="L456" s="53"/>
      <c r="M456" s="53"/>
      <c r="N456" s="53"/>
    </row>
    <row r="457" spans="1:14" ht="21.75" customHeight="1" x14ac:dyDescent="0.4">
      <c r="A457" s="222"/>
      <c r="B457" s="223">
        <v>8</v>
      </c>
      <c r="C457" s="224" t="s">
        <v>188</v>
      </c>
      <c r="D457" s="224"/>
      <c r="E457" s="224"/>
      <c r="F457" s="224"/>
      <c r="G457" s="225"/>
      <c r="H457" s="226" t="s">
        <v>16</v>
      </c>
      <c r="I457" s="227">
        <f ca="1">I466</f>
        <v>1800</v>
      </c>
      <c r="J457" s="227">
        <f>+J466</f>
        <v>0</v>
      </c>
      <c r="K457" s="228">
        <f t="shared" ca="1" si="102"/>
        <v>0</v>
      </c>
      <c r="L457" s="229">
        <f t="shared" ref="L457:M457" ca="1" si="103">SUM(L458:L459)</f>
        <v>145040</v>
      </c>
      <c r="M457" s="229">
        <f t="shared" si="103"/>
        <v>0</v>
      </c>
      <c r="N457" s="229">
        <f t="shared" ref="N457:N461" ca="1" si="104">+IF(L457&gt;0,M457*100/L457,0)</f>
        <v>0</v>
      </c>
    </row>
    <row r="458" spans="1:14" ht="21.75" customHeight="1" x14ac:dyDescent="0.4">
      <c r="A458" s="42"/>
      <c r="B458" s="43"/>
      <c r="C458" s="43" t="s">
        <v>17</v>
      </c>
      <c r="D458" s="44" t="s">
        <v>18</v>
      </c>
      <c r="E458" s="45"/>
      <c r="F458" s="45"/>
      <c r="G458" s="46" t="s">
        <v>19</v>
      </c>
      <c r="H458" s="47" t="s">
        <v>20</v>
      </c>
      <c r="I458" s="48" t="s">
        <v>21</v>
      </c>
      <c r="J458" s="48"/>
      <c r="K458" s="49"/>
      <c r="L458" s="50">
        <v>0</v>
      </c>
      <c r="M458" s="53">
        <v>0</v>
      </c>
      <c r="N458" s="53">
        <f t="shared" si="104"/>
        <v>0</v>
      </c>
    </row>
    <row r="459" spans="1:14" ht="21.75" customHeight="1" x14ac:dyDescent="0.4">
      <c r="A459" s="42"/>
      <c r="B459" s="43"/>
      <c r="C459" s="43"/>
      <c r="D459" s="51"/>
      <c r="E459" s="45"/>
      <c r="F459" s="45" t="s">
        <v>21</v>
      </c>
      <c r="G459" s="46" t="s">
        <v>22</v>
      </c>
      <c r="H459" s="47" t="s">
        <v>20</v>
      </c>
      <c r="I459" s="48"/>
      <c r="J459" s="48"/>
      <c r="K459" s="49"/>
      <c r="L459" s="50">
        <f t="shared" ref="L459:M459" ca="1" si="105">SUM(L460:L461)</f>
        <v>145040</v>
      </c>
      <c r="M459" s="53">
        <f t="shared" si="105"/>
        <v>0</v>
      </c>
      <c r="N459" s="53">
        <f t="shared" ca="1" si="104"/>
        <v>0</v>
      </c>
    </row>
    <row r="460" spans="1:14" ht="21.75" customHeight="1" x14ac:dyDescent="0.4">
      <c r="A460" s="42"/>
      <c r="B460" s="43"/>
      <c r="C460" s="43"/>
      <c r="D460" s="51"/>
      <c r="E460" s="45"/>
      <c r="F460" s="45"/>
      <c r="G460" s="52" t="s">
        <v>110</v>
      </c>
      <c r="H460" s="47" t="s">
        <v>20</v>
      </c>
      <c r="I460" s="48"/>
      <c r="J460" s="48"/>
      <c r="K460" s="49"/>
      <c r="L460" s="53">
        <f ca="1">IFERROR(__xludf.DUMMYFUNCTION("IMPORTRANGE(""https://docs.google.com/spreadsheets/d/1C3CXT74ZlgGe6_JY_1olB1XN4rF0dxEuIIF-xsYjHgg/edit?usp=sharing"",""งบกองทุน!Eb32"")"),0)</f>
        <v>0</v>
      </c>
      <c r="M460" s="53">
        <v>0</v>
      </c>
      <c r="N460" s="53">
        <f t="shared" ca="1" si="104"/>
        <v>0</v>
      </c>
    </row>
    <row r="461" spans="1:14" ht="21.75" customHeight="1" x14ac:dyDescent="0.4">
      <c r="A461" s="42"/>
      <c r="B461" s="43"/>
      <c r="C461" s="43"/>
      <c r="D461" s="51"/>
      <c r="E461" s="45"/>
      <c r="F461" s="45"/>
      <c r="G461" s="52" t="s">
        <v>111</v>
      </c>
      <c r="H461" s="47" t="s">
        <v>20</v>
      </c>
      <c r="I461" s="48"/>
      <c r="J461" s="48"/>
      <c r="K461" s="49"/>
      <c r="L461" s="53">
        <f ca="1">IFERROR(__xludf.DUMMYFUNCTION("IMPORTRANGE(""https://docs.google.com/spreadsheets/d/1C3CXT74ZlgGe6_JY_1olB1XN4rF0dxEuIIF-xsYjHgg/edit?usp=sharing"",""งบกองทุน!Ec32"")"),145040)</f>
        <v>145040</v>
      </c>
      <c r="M461" s="53">
        <f>SUM(M462:M465)</f>
        <v>0</v>
      </c>
      <c r="N461" s="53">
        <f t="shared" ca="1" si="104"/>
        <v>0</v>
      </c>
    </row>
    <row r="462" spans="1:14" ht="21.75" customHeight="1" x14ac:dyDescent="0.4">
      <c r="A462" s="230"/>
      <c r="B462" s="231"/>
      <c r="C462" s="43"/>
      <c r="D462" s="232"/>
      <c r="E462" s="45"/>
      <c r="F462" s="45"/>
      <c r="G462" s="46" t="s">
        <v>112</v>
      </c>
      <c r="H462" s="47" t="s">
        <v>20</v>
      </c>
      <c r="I462" s="67"/>
      <c r="J462" s="67"/>
      <c r="K462" s="233"/>
      <c r="L462" s="53"/>
      <c r="M462" s="53">
        <v>0</v>
      </c>
      <c r="N462" s="53"/>
    </row>
    <row r="463" spans="1:14" ht="21.75" customHeight="1" x14ac:dyDescent="0.4">
      <c r="A463" s="230"/>
      <c r="B463" s="231"/>
      <c r="C463" s="43"/>
      <c r="D463" s="232"/>
      <c r="E463" s="45"/>
      <c r="F463" s="45"/>
      <c r="G463" s="46" t="s">
        <v>113</v>
      </c>
      <c r="H463" s="47" t="s">
        <v>20</v>
      </c>
      <c r="I463" s="67"/>
      <c r="J463" s="67"/>
      <c r="K463" s="233"/>
      <c r="L463" s="53"/>
      <c r="M463" s="53">
        <v>0</v>
      </c>
      <c r="N463" s="53"/>
    </row>
    <row r="464" spans="1:14" ht="21.75" customHeight="1" x14ac:dyDescent="0.4">
      <c r="A464" s="230"/>
      <c r="B464" s="231"/>
      <c r="C464" s="43"/>
      <c r="D464" s="232"/>
      <c r="E464" s="45"/>
      <c r="F464" s="45"/>
      <c r="G464" s="46" t="s">
        <v>114</v>
      </c>
      <c r="H464" s="47" t="s">
        <v>20</v>
      </c>
      <c r="I464" s="67"/>
      <c r="J464" s="67"/>
      <c r="K464" s="233"/>
      <c r="L464" s="53"/>
      <c r="M464" s="54">
        <v>0</v>
      </c>
      <c r="N464" s="53"/>
    </row>
    <row r="465" spans="1:14" ht="21.75" customHeight="1" x14ac:dyDescent="0.4">
      <c r="A465" s="230"/>
      <c r="B465" s="231"/>
      <c r="C465" s="43"/>
      <c r="D465" s="232"/>
      <c r="E465" s="45"/>
      <c r="F465" s="45"/>
      <c r="G465" s="46" t="s">
        <v>115</v>
      </c>
      <c r="H465" s="47" t="s">
        <v>20</v>
      </c>
      <c r="I465" s="67"/>
      <c r="J465" s="67"/>
      <c r="K465" s="233"/>
      <c r="L465" s="53"/>
      <c r="M465" s="54">
        <v>0</v>
      </c>
      <c r="N465" s="53"/>
    </row>
    <row r="466" spans="1:14" ht="21.75" customHeight="1" x14ac:dyDescent="0.4">
      <c r="A466" s="55"/>
      <c r="B466" s="56"/>
      <c r="C466" s="56"/>
      <c r="D466" s="75"/>
      <c r="E466" s="74" t="s">
        <v>21</v>
      </c>
      <c r="F466" s="260" t="s">
        <v>189</v>
      </c>
      <c r="G466" s="240"/>
      <c r="H466" s="314" t="s">
        <v>16</v>
      </c>
      <c r="I466" s="265">
        <f ca="1">IFERROR(__xludf.DUMMYFUNCTION("IMPORTRANGE(""https://docs.google.com/spreadsheets/d/1C3CXT74ZlgGe6_JY_1olB1XN4rF0dxEuIIF-xsYjHgg/edit?usp=sharing"",""งบกองทุน!Ed32"")"),1800)</f>
        <v>1800</v>
      </c>
      <c r="J466" s="265">
        <f>+J469+J470+J471+J472</f>
        <v>0</v>
      </c>
      <c r="K466" s="80">
        <f ca="1">IF(I466&gt;0,J466*100/I466,0)</f>
        <v>0</v>
      </c>
      <c r="L466" s="61"/>
      <c r="M466" s="61"/>
      <c r="N466" s="61"/>
    </row>
    <row r="467" spans="1:14" ht="21.75" customHeight="1" x14ac:dyDescent="0.4">
      <c r="A467" s="55"/>
      <c r="B467" s="56"/>
      <c r="C467" s="56"/>
      <c r="D467" s="75"/>
      <c r="E467" s="75"/>
      <c r="F467" s="74" t="s">
        <v>190</v>
      </c>
      <c r="G467" s="76"/>
      <c r="H467" s="315"/>
      <c r="I467" s="48"/>
      <c r="J467" s="48"/>
      <c r="K467" s="49"/>
      <c r="L467" s="61"/>
      <c r="M467" s="61"/>
      <c r="N467" s="61"/>
    </row>
    <row r="468" spans="1:14" ht="21.75" customHeight="1" x14ac:dyDescent="0.4">
      <c r="A468" s="55"/>
      <c r="B468" s="56"/>
      <c r="C468" s="56"/>
      <c r="D468" s="75"/>
      <c r="E468" s="74" t="s">
        <v>21</v>
      </c>
      <c r="F468" s="74" t="s">
        <v>191</v>
      </c>
      <c r="G468" s="76"/>
      <c r="H468" s="315" t="s">
        <v>57</v>
      </c>
      <c r="I468" s="48">
        <v>0</v>
      </c>
      <c r="J468" s="68">
        <v>0</v>
      </c>
      <c r="K468" s="49">
        <f t="shared" ref="K468:K472" si="106">IF(I468&gt;0,J468*100/I468,0)</f>
        <v>0</v>
      </c>
      <c r="L468" s="61"/>
      <c r="M468" s="61"/>
      <c r="N468" s="61"/>
    </row>
    <row r="469" spans="1:14" ht="21.75" customHeight="1" x14ac:dyDescent="0.4">
      <c r="A469" s="55"/>
      <c r="B469" s="56"/>
      <c r="C469" s="56"/>
      <c r="D469" s="75"/>
      <c r="E469" s="75"/>
      <c r="F469" s="74" t="s">
        <v>192</v>
      </c>
      <c r="G469" s="76"/>
      <c r="H469" s="315" t="s">
        <v>16</v>
      </c>
      <c r="I469" s="48">
        <v>0</v>
      </c>
      <c r="J469" s="68">
        <v>0</v>
      </c>
      <c r="K469" s="49">
        <f t="shared" si="106"/>
        <v>0</v>
      </c>
      <c r="L469" s="61"/>
      <c r="M469" s="61"/>
      <c r="N469" s="61"/>
    </row>
    <row r="470" spans="1:14" ht="21.75" customHeight="1" x14ac:dyDescent="0.4">
      <c r="A470" s="55"/>
      <c r="B470" s="56"/>
      <c r="C470" s="56"/>
      <c r="D470" s="75"/>
      <c r="E470" s="75"/>
      <c r="F470" s="74" t="s">
        <v>193</v>
      </c>
      <c r="G470" s="76"/>
      <c r="H470" s="315" t="s">
        <v>16</v>
      </c>
      <c r="I470" s="48">
        <v>0</v>
      </c>
      <c r="J470" s="68">
        <v>0</v>
      </c>
      <c r="K470" s="49">
        <f t="shared" si="106"/>
        <v>0</v>
      </c>
      <c r="L470" s="61"/>
      <c r="M470" s="61"/>
      <c r="N470" s="61"/>
    </row>
    <row r="471" spans="1:14" ht="21.75" customHeight="1" x14ac:dyDescent="0.4">
      <c r="A471" s="55"/>
      <c r="B471" s="56"/>
      <c r="C471" s="56"/>
      <c r="D471" s="75"/>
      <c r="E471" s="75"/>
      <c r="F471" s="74" t="s">
        <v>194</v>
      </c>
      <c r="G471" s="266"/>
      <c r="H471" s="315" t="s">
        <v>16</v>
      </c>
      <c r="I471" s="48">
        <v>0</v>
      </c>
      <c r="J471" s="68">
        <v>0</v>
      </c>
      <c r="K471" s="49">
        <f t="shared" si="106"/>
        <v>0</v>
      </c>
      <c r="L471" s="61"/>
      <c r="M471" s="61"/>
      <c r="N471" s="61"/>
    </row>
    <row r="472" spans="1:14" ht="21.75" customHeight="1" x14ac:dyDescent="0.4">
      <c r="A472" s="55"/>
      <c r="B472" s="56"/>
      <c r="C472" s="56"/>
      <c r="D472" s="75"/>
      <c r="E472" s="75"/>
      <c r="F472" s="74" t="s">
        <v>195</v>
      </c>
      <c r="G472" s="266"/>
      <c r="H472" s="315" t="s">
        <v>16</v>
      </c>
      <c r="I472" s="48">
        <v>0</v>
      </c>
      <c r="J472" s="68">
        <v>0</v>
      </c>
      <c r="K472" s="49">
        <f t="shared" si="106"/>
        <v>0</v>
      </c>
      <c r="L472" s="61"/>
      <c r="M472" s="61"/>
      <c r="N472" s="61"/>
    </row>
    <row r="473" spans="1:14" ht="21.75" customHeight="1" x14ac:dyDescent="0.4">
      <c r="A473" s="222"/>
      <c r="B473" s="223">
        <v>9</v>
      </c>
      <c r="C473" s="224" t="s">
        <v>196</v>
      </c>
      <c r="D473" s="224"/>
      <c r="E473" s="224"/>
      <c r="F473" s="224"/>
      <c r="G473" s="225"/>
      <c r="H473" s="226" t="s">
        <v>16</v>
      </c>
      <c r="I473" s="227">
        <f ca="1">I484</f>
        <v>5</v>
      </c>
      <c r="J473" s="227">
        <f ca="1">J488</f>
        <v>0</v>
      </c>
      <c r="K473" s="228">
        <f ca="1">IF(I473&gt;0,J473*100/I473,0)</f>
        <v>0</v>
      </c>
      <c r="L473" s="229">
        <f ca="1">SUM(L474,L475)</f>
        <v>130655</v>
      </c>
      <c r="M473" s="229">
        <f>SUM(M474:M475)</f>
        <v>0</v>
      </c>
      <c r="N473" s="229">
        <f t="shared" ref="N473:N477" ca="1" si="107">+IF(L473&gt;0,M473*100/L473,0)</f>
        <v>0</v>
      </c>
    </row>
    <row r="474" spans="1:14" ht="21.75" customHeight="1" x14ac:dyDescent="0.4">
      <c r="A474" s="42"/>
      <c r="B474" s="43"/>
      <c r="C474" s="43" t="s">
        <v>17</v>
      </c>
      <c r="D474" s="44" t="s">
        <v>18</v>
      </c>
      <c r="E474" s="45"/>
      <c r="F474" s="45"/>
      <c r="G474" s="46" t="s">
        <v>19</v>
      </c>
      <c r="H474" s="47" t="s">
        <v>20</v>
      </c>
      <c r="I474" s="48" t="s">
        <v>21</v>
      </c>
      <c r="J474" s="48"/>
      <c r="K474" s="49"/>
      <c r="L474" s="50">
        <v>0</v>
      </c>
      <c r="M474" s="53">
        <v>0</v>
      </c>
      <c r="N474" s="53">
        <f t="shared" si="107"/>
        <v>0</v>
      </c>
    </row>
    <row r="475" spans="1:14" ht="21.75" customHeight="1" x14ac:dyDescent="0.4">
      <c r="A475" s="42"/>
      <c r="B475" s="43"/>
      <c r="C475" s="43"/>
      <c r="D475" s="51"/>
      <c r="E475" s="45"/>
      <c r="F475" s="45" t="s">
        <v>21</v>
      </c>
      <c r="G475" s="46" t="s">
        <v>22</v>
      </c>
      <c r="H475" s="47" t="s">
        <v>20</v>
      </c>
      <c r="I475" s="48"/>
      <c r="J475" s="48"/>
      <c r="K475" s="49"/>
      <c r="L475" s="50">
        <f t="shared" ref="L475:M475" ca="1" si="108">SUM(L476:L477)</f>
        <v>130655</v>
      </c>
      <c r="M475" s="53">
        <f t="shared" si="108"/>
        <v>0</v>
      </c>
      <c r="N475" s="53">
        <f t="shared" ca="1" si="107"/>
        <v>0</v>
      </c>
    </row>
    <row r="476" spans="1:14" ht="21.75" customHeight="1" x14ac:dyDescent="0.4">
      <c r="A476" s="42"/>
      <c r="B476" s="43"/>
      <c r="C476" s="43"/>
      <c r="D476" s="51"/>
      <c r="E476" s="45"/>
      <c r="F476" s="45"/>
      <c r="G476" s="52" t="s">
        <v>110</v>
      </c>
      <c r="H476" s="47" t="s">
        <v>20</v>
      </c>
      <c r="I476" s="48"/>
      <c r="J476" s="48"/>
      <c r="K476" s="49"/>
      <c r="L476" s="53">
        <f ca="1">IFERROR(__xludf.DUMMYFUNCTION("IMPORTRANGE(""https://docs.google.com/spreadsheets/d/1C3CXT74ZlgGe6_JY_1olB1XN4rF0dxEuIIF-xsYjHgg/edit?usp=sharing"",""งบกองทุน!Ek32"")"),0)</f>
        <v>0</v>
      </c>
      <c r="M476" s="53">
        <v>0</v>
      </c>
      <c r="N476" s="53">
        <f t="shared" ca="1" si="107"/>
        <v>0</v>
      </c>
    </row>
    <row r="477" spans="1:14" ht="21.75" customHeight="1" x14ac:dyDescent="0.4">
      <c r="A477" s="42"/>
      <c r="B477" s="43"/>
      <c r="C477" s="43"/>
      <c r="D477" s="51"/>
      <c r="E477" s="45"/>
      <c r="F477" s="45"/>
      <c r="G477" s="52" t="s">
        <v>111</v>
      </c>
      <c r="H477" s="47" t="s">
        <v>20</v>
      </c>
      <c r="I477" s="48"/>
      <c r="J477" s="48"/>
      <c r="K477" s="49"/>
      <c r="L477" s="53">
        <f ca="1">IFERROR(__xludf.DUMMYFUNCTION("IMPORTRANGE(""https://docs.google.com/spreadsheets/d/1C3CXT74ZlgGe6_JY_1olB1XN4rF0dxEuIIF-xsYjHgg/edit?usp=sharing"",""งบกองทุน!El32"")"),130655)</f>
        <v>130655</v>
      </c>
      <c r="M477" s="53">
        <f>SUM(M478:M481)</f>
        <v>0</v>
      </c>
      <c r="N477" s="53">
        <f t="shared" ca="1" si="107"/>
        <v>0</v>
      </c>
    </row>
    <row r="478" spans="1:14" ht="21.75" customHeight="1" x14ac:dyDescent="0.4">
      <c r="A478" s="230"/>
      <c r="B478" s="231"/>
      <c r="C478" s="43"/>
      <c r="D478" s="232"/>
      <c r="E478" s="45"/>
      <c r="F478" s="45"/>
      <c r="G478" s="46" t="s">
        <v>112</v>
      </c>
      <c r="H478" s="47" t="s">
        <v>20</v>
      </c>
      <c r="I478" s="67"/>
      <c r="J478" s="67"/>
      <c r="K478" s="233"/>
      <c r="L478" s="53"/>
      <c r="M478" s="53">
        <v>0</v>
      </c>
      <c r="N478" s="53"/>
    </row>
    <row r="479" spans="1:14" ht="21.75" customHeight="1" x14ac:dyDescent="0.4">
      <c r="A479" s="230"/>
      <c r="B479" s="231"/>
      <c r="C479" s="43"/>
      <c r="D479" s="232"/>
      <c r="E479" s="45"/>
      <c r="F479" s="45"/>
      <c r="G479" s="46" t="s">
        <v>113</v>
      </c>
      <c r="H479" s="47" t="s">
        <v>20</v>
      </c>
      <c r="I479" s="67"/>
      <c r="J479" s="67"/>
      <c r="K479" s="233"/>
      <c r="L479" s="53"/>
      <c r="M479" s="53">
        <v>0</v>
      </c>
      <c r="N479" s="53"/>
    </row>
    <row r="480" spans="1:14" ht="21.75" customHeight="1" x14ac:dyDescent="0.4">
      <c r="A480" s="230"/>
      <c r="B480" s="231"/>
      <c r="C480" s="43"/>
      <c r="D480" s="232"/>
      <c r="E480" s="45"/>
      <c r="F480" s="45"/>
      <c r="G480" s="46" t="s">
        <v>114</v>
      </c>
      <c r="H480" s="47" t="s">
        <v>20</v>
      </c>
      <c r="I480" s="67"/>
      <c r="J480" s="67"/>
      <c r="K480" s="233"/>
      <c r="L480" s="53"/>
      <c r="M480" s="54">
        <v>0</v>
      </c>
      <c r="N480" s="53"/>
    </row>
    <row r="481" spans="1:14" ht="21.75" customHeight="1" x14ac:dyDescent="0.4">
      <c r="A481" s="230"/>
      <c r="B481" s="231"/>
      <c r="C481" s="43"/>
      <c r="D481" s="232"/>
      <c r="E481" s="45"/>
      <c r="F481" s="45"/>
      <c r="G481" s="46" t="s">
        <v>115</v>
      </c>
      <c r="H481" s="47" t="s">
        <v>20</v>
      </c>
      <c r="I481" s="67"/>
      <c r="J481" s="67"/>
      <c r="K481" s="233"/>
      <c r="L481" s="53"/>
      <c r="M481" s="54">
        <v>0</v>
      </c>
      <c r="N481" s="53"/>
    </row>
    <row r="482" spans="1:14" ht="21.75" customHeight="1" x14ac:dyDescent="0.4">
      <c r="A482" s="316"/>
      <c r="B482" s="51"/>
      <c r="C482" s="43"/>
      <c r="D482" s="155"/>
      <c r="E482" s="74" t="s">
        <v>197</v>
      </c>
      <c r="F482" s="75"/>
      <c r="G482" s="76"/>
      <c r="H482" s="60" t="s">
        <v>15</v>
      </c>
      <c r="I482" s="200">
        <f ca="1">IFERROR(__xludf.DUMMYFUNCTION("IMPORTRANGE(""https://docs.google.com/spreadsheets/d/1C3CXT74ZlgGe6_JY_1olB1XN4rF0dxEuIIF-xsYjHgg/edit?usp=sharing"",""งบกองทุน!Em32"")"),5)</f>
        <v>5</v>
      </c>
      <c r="J482" s="67">
        <f ca="1">IFERROR(__xludf.DUMMYFUNCTION("IMPORTRANGE(""https://docs.google.com/spreadsheets/d/1AGHcLOeeYFL3K4b9R1dSzyJy00PE_ra89DNTVfnxSWM/edit?usp=sharing"",""รวมที่ชุมชน!G21"")"),0)</f>
        <v>0</v>
      </c>
      <c r="K482" s="49">
        <f t="shared" ref="K482:K489" ca="1" si="109">IF(I482&gt;0,J482*100/I482,0)</f>
        <v>0</v>
      </c>
      <c r="L482" s="61"/>
      <c r="M482" s="61"/>
      <c r="N482" s="61"/>
    </row>
    <row r="483" spans="1:14" ht="21.75" customHeight="1" x14ac:dyDescent="0.4">
      <c r="A483" s="316"/>
      <c r="B483" s="51"/>
      <c r="C483" s="43"/>
      <c r="D483" s="155"/>
      <c r="E483" s="75"/>
      <c r="F483" s="75"/>
      <c r="G483" s="76"/>
      <c r="H483" s="60" t="s">
        <v>103</v>
      </c>
      <c r="I483" s="200">
        <f ca="1">IFERROR(__xludf.DUMMYFUNCTION("IMPORTRANGE(""https://docs.google.com/spreadsheets/d/1C3CXT74ZlgGe6_JY_1olB1XN4rF0dxEuIIF-xsYjHgg/edit?usp=sharing"",""งบกองทุน!En32"")"),0)</f>
        <v>0</v>
      </c>
      <c r="J483" s="67">
        <f ca="1">IFERROR(__xludf.DUMMYFUNCTION("IMPORTRANGE(""https://docs.google.com/spreadsheets/d/1AGHcLOeeYFL3K4b9R1dSzyJy00PE_ra89DNTVfnxSWM/edit?usp=sharing"",""รวมที่ชุมชน!H21"")"),0)</f>
        <v>0</v>
      </c>
      <c r="K483" s="49">
        <f t="shared" ca="1" si="109"/>
        <v>0</v>
      </c>
      <c r="L483" s="61"/>
      <c r="M483" s="61"/>
      <c r="N483" s="61"/>
    </row>
    <row r="484" spans="1:14" ht="21.75" customHeight="1" x14ac:dyDescent="0.4">
      <c r="A484" s="316"/>
      <c r="B484" s="51"/>
      <c r="C484" s="43"/>
      <c r="D484" s="155"/>
      <c r="E484" s="74" t="s">
        <v>104</v>
      </c>
      <c r="F484" s="75"/>
      <c r="G484" s="76"/>
      <c r="H484" s="60" t="s">
        <v>16</v>
      </c>
      <c r="I484" s="200">
        <f ca="1">IFERROR(__xludf.DUMMYFUNCTION("IMPORTRANGE(""https://docs.google.com/spreadsheets/d/1C3CXT74ZlgGe6_JY_1olB1XN4rF0dxEuIIF-xsYjHgg/edit?usp=sharing"",""งบกองทุน!Eo32"")"),5)</f>
        <v>5</v>
      </c>
      <c r="J484" s="67">
        <f ca="1">IFERROR(__xludf.DUMMYFUNCTION("IMPORTRANGE(""https://docs.google.com/spreadsheets/d/1AGHcLOeeYFL3K4b9R1dSzyJy00PE_ra89DNTVfnxSWM/edit?usp=sharing"",""รวมที่ชุมชน!J21"")"),0)</f>
        <v>0</v>
      </c>
      <c r="K484" s="49">
        <f t="shared" ca="1" si="109"/>
        <v>0</v>
      </c>
      <c r="L484" s="61"/>
      <c r="M484" s="61"/>
      <c r="N484" s="61"/>
    </row>
    <row r="485" spans="1:14" ht="21.75" customHeight="1" x14ac:dyDescent="0.4">
      <c r="A485" s="316"/>
      <c r="B485" s="51"/>
      <c r="C485" s="43"/>
      <c r="D485" s="155"/>
      <c r="E485" s="75"/>
      <c r="F485" s="75"/>
      <c r="G485" s="76"/>
      <c r="H485" s="60" t="s">
        <v>103</v>
      </c>
      <c r="I485" s="200">
        <f ca="1">IFERROR(__xludf.DUMMYFUNCTION("IMPORTRANGE(""https://docs.google.com/spreadsheets/d/1C3CXT74ZlgGe6_JY_1olB1XN4rF0dxEuIIF-xsYjHgg/edit?usp=sharing"",""งบกองทุน!Ep32"")"),0)</f>
        <v>0</v>
      </c>
      <c r="J485" s="67">
        <f ca="1">IFERROR(__xludf.DUMMYFUNCTION("IMPORTRANGE(""https://docs.google.com/spreadsheets/d/1AGHcLOeeYFL3K4b9R1dSzyJy00PE_ra89DNTVfnxSWM/edit?usp=sharing"",""รวมที่ชุมชน!L21"")"),0)</f>
        <v>0</v>
      </c>
      <c r="K485" s="49">
        <f t="shared" ca="1" si="109"/>
        <v>0</v>
      </c>
      <c r="L485" s="61"/>
      <c r="M485" s="61"/>
      <c r="N485" s="61"/>
    </row>
    <row r="486" spans="1:14" ht="21.75" customHeight="1" x14ac:dyDescent="0.4">
      <c r="A486" s="316"/>
      <c r="B486" s="51"/>
      <c r="C486" s="43"/>
      <c r="D486" s="155"/>
      <c r="E486" s="74" t="s">
        <v>105</v>
      </c>
      <c r="F486" s="75"/>
      <c r="G486" s="76"/>
      <c r="H486" s="60" t="s">
        <v>16</v>
      </c>
      <c r="I486" s="200">
        <f ca="1">IFERROR(__xludf.DUMMYFUNCTION("IMPORTRANGE(""https://docs.google.com/spreadsheets/d/1C3CXT74ZlgGe6_JY_1olB1XN4rF0dxEuIIF-xsYjHgg/edit?usp=sharing"",""งบกองทุน!Eq32"")"),5)</f>
        <v>5</v>
      </c>
      <c r="J486" s="67">
        <f ca="1">IFERROR(__xludf.DUMMYFUNCTION("IMPORTRANGE(""https://docs.google.com/spreadsheets/d/1AGHcLOeeYFL3K4b9R1dSzyJy00PE_ra89DNTVfnxSWM/edit?usp=sharing"",""รวมที่ชุมชน!S21"")"),0)</f>
        <v>0</v>
      </c>
      <c r="K486" s="49">
        <f t="shared" ca="1" si="109"/>
        <v>0</v>
      </c>
      <c r="L486" s="61"/>
      <c r="M486" s="61"/>
      <c r="N486" s="61"/>
    </row>
    <row r="487" spans="1:14" ht="21.75" customHeight="1" x14ac:dyDescent="0.4">
      <c r="A487" s="316"/>
      <c r="B487" s="51"/>
      <c r="C487" s="43"/>
      <c r="D487" s="155"/>
      <c r="E487" s="75"/>
      <c r="F487" s="75"/>
      <c r="G487" s="76"/>
      <c r="H487" s="60" t="s">
        <v>103</v>
      </c>
      <c r="I487" s="200">
        <f ca="1">IFERROR(__xludf.DUMMYFUNCTION("IMPORTRANGE(""https://docs.google.com/spreadsheets/d/1C3CXT74ZlgGe6_JY_1olB1XN4rF0dxEuIIF-xsYjHgg/edit?usp=sharing"",""งบกองทุน!Er32"")"),0)</f>
        <v>0</v>
      </c>
      <c r="J487" s="67">
        <f ca="1">IFERROR(__xludf.DUMMYFUNCTION("IMPORTRANGE(""https://docs.google.com/spreadsheets/d/1AGHcLOeeYFL3K4b9R1dSzyJy00PE_ra89DNTVfnxSWM/edit?usp=sharing"",""รวมที่ชุมชน!U21"")"),0)</f>
        <v>0</v>
      </c>
      <c r="K487" s="49">
        <f t="shared" ca="1" si="109"/>
        <v>0</v>
      </c>
      <c r="L487" s="61"/>
      <c r="M487" s="61"/>
      <c r="N487" s="61"/>
    </row>
    <row r="488" spans="1:14" ht="21.75" customHeight="1" x14ac:dyDescent="0.4">
      <c r="A488" s="316"/>
      <c r="B488" s="51"/>
      <c r="C488" s="43"/>
      <c r="D488" s="155"/>
      <c r="E488" s="74" t="s">
        <v>106</v>
      </c>
      <c r="F488" s="75"/>
      <c r="G488" s="76"/>
      <c r="H488" s="60" t="s">
        <v>16</v>
      </c>
      <c r="I488" s="200">
        <f ca="1">IFERROR(__xludf.DUMMYFUNCTION("IMPORTRANGE(""https://docs.google.com/spreadsheets/d/1C3CXT74ZlgGe6_JY_1olB1XN4rF0dxEuIIF-xsYjHgg/edit?usp=sharing"",""งบกองทุน!Es32"")"),5)</f>
        <v>5</v>
      </c>
      <c r="J488" s="67">
        <f ca="1">IFERROR(__xludf.DUMMYFUNCTION("IMPORTRANGE(""https://docs.google.com/spreadsheets/d/1AGHcLOeeYFL3K4b9R1dSzyJy00PE_ra89DNTVfnxSWM/edit?usp=sharing"",""รวมที่ชุมชน!V21"")"),0)</f>
        <v>0</v>
      </c>
      <c r="K488" s="49">
        <f t="shared" ca="1" si="109"/>
        <v>0</v>
      </c>
      <c r="L488" s="61"/>
      <c r="M488" s="61"/>
      <c r="N488" s="61"/>
    </row>
    <row r="489" spans="1:14" ht="21.75" customHeight="1" x14ac:dyDescent="0.4">
      <c r="A489" s="317"/>
      <c r="B489" s="318"/>
      <c r="C489" s="319"/>
      <c r="D489" s="320"/>
      <c r="E489" s="295"/>
      <c r="F489" s="295"/>
      <c r="G489" s="296"/>
      <c r="H489" s="321" t="s">
        <v>103</v>
      </c>
      <c r="I489" s="322">
        <f ca="1">IFERROR(__xludf.DUMMYFUNCTION("IMPORTRANGE(""https://docs.google.com/spreadsheets/d/1C3CXT74ZlgGe6_JY_1olB1XN4rF0dxEuIIF-xsYjHgg/edit?usp=sharing"",""งบกองทุน!Et32"")"),0)</f>
        <v>0</v>
      </c>
      <c r="J489" s="112">
        <f ca="1">IFERROR(__xludf.DUMMYFUNCTION("IMPORTRANGE(""https://docs.google.com/spreadsheets/d/1AGHcLOeeYFL3K4b9R1dSzyJy00PE_ra89DNTVfnxSWM/edit?usp=sharing"",""รวมที่ชุมชน!X21"")"),0)</f>
        <v>0</v>
      </c>
      <c r="K489" s="114">
        <f t="shared" ca="1" si="109"/>
        <v>0</v>
      </c>
      <c r="L489" s="300"/>
      <c r="M489" s="300"/>
      <c r="N489" s="300"/>
    </row>
    <row r="490" spans="1:14" ht="21.75" customHeight="1" x14ac:dyDescent="0.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10">I504</f>
        <v>100</v>
      </c>
      <c r="J490" s="375">
        <f t="shared" si="110"/>
        <v>0</v>
      </c>
      <c r="K490" s="301">
        <f ca="1">IF(I490&gt;0,J490*100/I490,0)</f>
        <v>0</v>
      </c>
      <c r="L490" s="259">
        <f ca="1">SUM(L491,L492)</f>
        <v>8900</v>
      </c>
      <c r="M490" s="259">
        <f>SUM(M491:M492)</f>
        <v>1155.5999999999999</v>
      </c>
      <c r="N490" s="259">
        <f t="shared" ref="N490:N494" ca="1" si="111">+IF(L490&gt;0,M490*100/L490,0)</f>
        <v>12.984269662921347</v>
      </c>
    </row>
    <row r="491" spans="1:14" ht="21.75" customHeight="1" x14ac:dyDescent="0.4">
      <c r="A491" s="42"/>
      <c r="B491" s="43"/>
      <c r="C491" s="43" t="s">
        <v>17</v>
      </c>
      <c r="D491" s="44" t="s">
        <v>18</v>
      </c>
      <c r="E491" s="45"/>
      <c r="F491" s="45"/>
      <c r="G491" s="46" t="s">
        <v>19</v>
      </c>
      <c r="H491" s="47" t="s">
        <v>20</v>
      </c>
      <c r="I491" s="48" t="s">
        <v>21</v>
      </c>
      <c r="J491" s="48"/>
      <c r="K491" s="49"/>
      <c r="L491" s="50">
        <v>0</v>
      </c>
      <c r="M491" s="53">
        <v>0</v>
      </c>
      <c r="N491" s="53">
        <f t="shared" si="111"/>
        <v>0</v>
      </c>
    </row>
    <row r="492" spans="1:14" ht="21.75" customHeight="1" x14ac:dyDescent="0.4">
      <c r="A492" s="42"/>
      <c r="B492" s="43"/>
      <c r="C492" s="43"/>
      <c r="D492" s="51"/>
      <c r="E492" s="45"/>
      <c r="F492" s="45" t="s">
        <v>21</v>
      </c>
      <c r="G492" s="46" t="s">
        <v>22</v>
      </c>
      <c r="H492" s="47" t="s">
        <v>20</v>
      </c>
      <c r="I492" s="48"/>
      <c r="J492" s="48"/>
      <c r="K492" s="49"/>
      <c r="L492" s="50">
        <f t="shared" ref="L492:M492" ca="1" si="112">SUM(L493:L494)</f>
        <v>8900</v>
      </c>
      <c r="M492" s="53">
        <f t="shared" si="112"/>
        <v>1155.5999999999999</v>
      </c>
      <c r="N492" s="53">
        <f t="shared" ca="1" si="111"/>
        <v>12.984269662921347</v>
      </c>
    </row>
    <row r="493" spans="1:14" ht="21.75" customHeight="1" x14ac:dyDescent="0.4">
      <c r="A493" s="42"/>
      <c r="B493" s="43"/>
      <c r="C493" s="43"/>
      <c r="D493" s="51"/>
      <c r="E493" s="45"/>
      <c r="F493" s="45"/>
      <c r="G493" s="52" t="s">
        <v>110</v>
      </c>
      <c r="H493" s="47" t="s">
        <v>20</v>
      </c>
      <c r="I493" s="48"/>
      <c r="J493" s="48"/>
      <c r="K493" s="49"/>
      <c r="L493" s="53">
        <f ca="1">IFERROR(__xludf.DUMMYFUNCTION("IMPORTRANGE(""https://docs.google.com/spreadsheets/d/1C3CXT74ZlgGe6_JY_1olB1XN4rF0dxEuIIF-xsYjHgg/edit?usp=sharing"",""งบกองทุน!Ev32"")"),0)</f>
        <v>0</v>
      </c>
      <c r="M493" s="53">
        <v>0</v>
      </c>
      <c r="N493" s="53">
        <f t="shared" ca="1" si="111"/>
        <v>0</v>
      </c>
    </row>
    <row r="494" spans="1:14" ht="21.75" customHeight="1" x14ac:dyDescent="0.4">
      <c r="A494" s="42"/>
      <c r="B494" s="43"/>
      <c r="C494" s="43"/>
      <c r="D494" s="51"/>
      <c r="E494" s="45"/>
      <c r="F494" s="45"/>
      <c r="G494" s="52" t="s">
        <v>111</v>
      </c>
      <c r="H494" s="47" t="s">
        <v>20</v>
      </c>
      <c r="I494" s="48"/>
      <c r="J494" s="48"/>
      <c r="K494" s="49"/>
      <c r="L494" s="53">
        <f ca="1">IFERROR(__xludf.DUMMYFUNCTION("IMPORTRANGE(""https://docs.google.com/spreadsheets/d/1C3CXT74ZlgGe6_JY_1olB1XN4rF0dxEuIIF-xsYjHgg/edit?usp=sharing"",""งบกองทุน!Ew32"")"),8900)</f>
        <v>8900</v>
      </c>
      <c r="M494" s="53">
        <f>SUM(M495:M498)</f>
        <v>1155.5999999999999</v>
      </c>
      <c r="N494" s="53">
        <f t="shared" ca="1" si="111"/>
        <v>12.984269662921347</v>
      </c>
    </row>
    <row r="495" spans="1:14" ht="21.75" customHeight="1" x14ac:dyDescent="0.4">
      <c r="A495" s="230"/>
      <c r="B495" s="231"/>
      <c r="C495" s="43"/>
      <c r="D495" s="232"/>
      <c r="E495" s="45"/>
      <c r="F495" s="45"/>
      <c r="G495" s="46" t="s">
        <v>112</v>
      </c>
      <c r="H495" s="47" t="s">
        <v>20</v>
      </c>
      <c r="I495" s="67"/>
      <c r="J495" s="67"/>
      <c r="K495" s="233"/>
      <c r="L495" s="53"/>
      <c r="M495" s="53">
        <v>0</v>
      </c>
      <c r="N495" s="53"/>
    </row>
    <row r="496" spans="1:14" ht="21.75" customHeight="1" x14ac:dyDescent="0.4">
      <c r="A496" s="230"/>
      <c r="B496" s="231"/>
      <c r="C496" s="43"/>
      <c r="D496" s="232"/>
      <c r="E496" s="45"/>
      <c r="F496" s="45"/>
      <c r="G496" s="46" t="s">
        <v>113</v>
      </c>
      <c r="H496" s="47" t="s">
        <v>20</v>
      </c>
      <c r="I496" s="67"/>
      <c r="J496" s="67"/>
      <c r="K496" s="233"/>
      <c r="L496" s="53"/>
      <c r="M496" s="53">
        <v>0</v>
      </c>
      <c r="N496" s="53"/>
    </row>
    <row r="497" spans="1:14" ht="21.75" customHeight="1" x14ac:dyDescent="0.4">
      <c r="A497" s="230"/>
      <c r="B497" s="231"/>
      <c r="C497" s="43"/>
      <c r="D497" s="232"/>
      <c r="E497" s="45"/>
      <c r="F497" s="45"/>
      <c r="G497" s="46" t="s">
        <v>114</v>
      </c>
      <c r="H497" s="47" t="s">
        <v>20</v>
      </c>
      <c r="I497" s="67"/>
      <c r="J497" s="67"/>
      <c r="K497" s="233"/>
      <c r="L497" s="53"/>
      <c r="M497" s="54">
        <v>0</v>
      </c>
      <c r="N497" s="53"/>
    </row>
    <row r="498" spans="1:14" ht="21.75" customHeight="1" x14ac:dyDescent="0.4">
      <c r="A498" s="230"/>
      <c r="B498" s="231"/>
      <c r="C498" s="43"/>
      <c r="D498" s="232"/>
      <c r="E498" s="45"/>
      <c r="F498" s="45"/>
      <c r="G498" s="46" t="s">
        <v>115</v>
      </c>
      <c r="H498" s="47" t="s">
        <v>20</v>
      </c>
      <c r="I498" s="67"/>
      <c r="J498" s="67"/>
      <c r="K498" s="233"/>
      <c r="L498" s="53"/>
      <c r="M498" s="54">
        <v>1155.5999999999999</v>
      </c>
      <c r="N498" s="53"/>
    </row>
    <row r="499" spans="1:14" ht="21.75" customHeight="1" x14ac:dyDescent="0.4">
      <c r="A499" s="55"/>
      <c r="B499" s="56"/>
      <c r="C499" s="43" t="s">
        <v>17</v>
      </c>
      <c r="D499" s="57" t="s">
        <v>25</v>
      </c>
      <c r="E499" s="58"/>
      <c r="F499" s="58"/>
      <c r="G499" s="59"/>
      <c r="H499" s="60"/>
      <c r="I499" s="48"/>
      <c r="J499" s="48"/>
      <c r="K499" s="49"/>
      <c r="L499" s="61"/>
      <c r="M499" s="61"/>
      <c r="N499" s="61"/>
    </row>
    <row r="500" spans="1:14" ht="21.75" customHeight="1" x14ac:dyDescent="0.4">
      <c r="A500" s="55"/>
      <c r="B500" s="56"/>
      <c r="C500" s="56"/>
      <c r="D500" s="62">
        <v>1</v>
      </c>
      <c r="E500" s="63" t="s">
        <v>26</v>
      </c>
      <c r="F500" s="64"/>
      <c r="G500" s="65"/>
      <c r="H500" s="66"/>
      <c r="I500" s="67"/>
      <c r="J500" s="68">
        <v>0</v>
      </c>
      <c r="K500" s="49"/>
      <c r="L500" s="61"/>
      <c r="M500" s="61"/>
      <c r="N500" s="61"/>
    </row>
    <row r="501" spans="1:14" ht="21.75" customHeight="1" x14ac:dyDescent="0.4">
      <c r="A501" s="55"/>
      <c r="B501" s="56"/>
      <c r="C501" s="56"/>
      <c r="D501" s="69">
        <v>2</v>
      </c>
      <c r="E501" s="70" t="s">
        <v>27</v>
      </c>
      <c r="F501" s="71"/>
      <c r="G501" s="72"/>
      <c r="H501" s="66"/>
      <c r="I501" s="67"/>
      <c r="J501" s="68">
        <v>1</v>
      </c>
      <c r="K501" s="49"/>
      <c r="L501" s="61" t="s">
        <v>21</v>
      </c>
      <c r="M501" s="61" t="s">
        <v>21</v>
      </c>
      <c r="N501" s="61"/>
    </row>
    <row r="502" spans="1:14" ht="21.75" hidden="1" customHeight="1" x14ac:dyDescent="0.4">
      <c r="A502" s="376"/>
      <c r="B502" s="377"/>
      <c r="C502" s="377"/>
      <c r="D502" s="378"/>
      <c r="E502" s="379" t="s">
        <v>28</v>
      </c>
      <c r="F502" s="380"/>
      <c r="G502" s="381"/>
      <c r="H502" s="330"/>
      <c r="I502" s="331"/>
      <c r="J502" s="331">
        <v>0</v>
      </c>
      <c r="K502" s="382"/>
      <c r="L502" s="383"/>
      <c r="M502" s="383"/>
      <c r="N502" s="383"/>
    </row>
    <row r="503" spans="1:14" ht="21.75" hidden="1" customHeight="1" x14ac:dyDescent="0.4">
      <c r="A503" s="376"/>
      <c r="B503" s="377"/>
      <c r="C503" s="377"/>
      <c r="D503" s="378"/>
      <c r="E503" s="379" t="s">
        <v>29</v>
      </c>
      <c r="F503" s="380"/>
      <c r="G503" s="381"/>
      <c r="H503" s="330"/>
      <c r="I503" s="331"/>
      <c r="J503" s="331">
        <v>0</v>
      </c>
      <c r="K503" s="382"/>
      <c r="L503" s="383"/>
      <c r="M503" s="383"/>
      <c r="N503" s="383"/>
    </row>
    <row r="504" spans="1:14" ht="21.75" customHeight="1" x14ac:dyDescent="0.4">
      <c r="A504" s="55"/>
      <c r="B504" s="56"/>
      <c r="C504" s="56"/>
      <c r="D504" s="73"/>
      <c r="E504" s="75"/>
      <c r="F504" s="75" t="s">
        <v>199</v>
      </c>
      <c r="G504" s="76"/>
      <c r="H504" s="60" t="s">
        <v>103</v>
      </c>
      <c r="I504" s="67">
        <f ca="1">IFERROR(__xludf.DUMMYFUNCTION("IMPORTRANGE(""https://docs.google.com/spreadsheets/d/1C3CXT74ZlgGe6_JY_1olB1XN4rF0dxEuIIF-xsYjHgg/edit?usp=sharing"",""งบกองทุน!EZ32"")"),100)</f>
        <v>100</v>
      </c>
      <c r="J504" s="48">
        <f>+J510</f>
        <v>0</v>
      </c>
      <c r="K504" s="49">
        <f t="shared" ref="K504:K512" ca="1" si="113">IF(I$504&gt;0,J504*100/I$504,0)</f>
        <v>0</v>
      </c>
      <c r="L504" s="61"/>
      <c r="M504" s="61"/>
      <c r="N504" s="61"/>
    </row>
    <row r="505" spans="1:14" ht="21.75" customHeight="1" x14ac:dyDescent="0.4">
      <c r="A505" s="55"/>
      <c r="B505" s="56"/>
      <c r="C505" s="56"/>
      <c r="D505" s="73"/>
      <c r="E505" s="77"/>
      <c r="F505" s="75"/>
      <c r="G505" s="99" t="s">
        <v>200</v>
      </c>
      <c r="H505" s="60" t="s">
        <v>103</v>
      </c>
      <c r="I505" s="67">
        <v>0</v>
      </c>
      <c r="J505" s="68">
        <v>0</v>
      </c>
      <c r="K505" s="49">
        <f t="shared" ca="1" si="113"/>
        <v>0</v>
      </c>
      <c r="L505" s="61"/>
      <c r="M505" s="61"/>
      <c r="N505" s="61"/>
    </row>
    <row r="506" spans="1:14" ht="21.75" customHeight="1" x14ac:dyDescent="0.4">
      <c r="A506" s="55"/>
      <c r="B506" s="56"/>
      <c r="C506" s="56"/>
      <c r="D506" s="73"/>
      <c r="E506" s="77"/>
      <c r="F506" s="75"/>
      <c r="G506" s="99" t="s">
        <v>201</v>
      </c>
      <c r="H506" s="60" t="s">
        <v>103</v>
      </c>
      <c r="I506" s="67">
        <v>0</v>
      </c>
      <c r="J506" s="68">
        <v>0</v>
      </c>
      <c r="K506" s="49">
        <f t="shared" ca="1" si="113"/>
        <v>0</v>
      </c>
      <c r="L506" s="61"/>
      <c r="M506" s="61"/>
      <c r="N506" s="61"/>
    </row>
    <row r="507" spans="1:14" ht="21.75" customHeight="1" x14ac:dyDescent="0.4">
      <c r="A507" s="55"/>
      <c r="B507" s="56"/>
      <c r="C507" s="56"/>
      <c r="D507" s="73"/>
      <c r="E507" s="77"/>
      <c r="F507" s="75"/>
      <c r="G507" s="99" t="s">
        <v>202</v>
      </c>
      <c r="H507" s="60" t="s">
        <v>103</v>
      </c>
      <c r="I507" s="67">
        <v>0</v>
      </c>
      <c r="J507" s="68">
        <v>0</v>
      </c>
      <c r="K507" s="49">
        <f t="shared" ca="1" si="113"/>
        <v>0</v>
      </c>
      <c r="L507" s="61"/>
      <c r="M507" s="61"/>
      <c r="N507" s="61"/>
    </row>
    <row r="508" spans="1:14" ht="21.75" customHeight="1" x14ac:dyDescent="0.4">
      <c r="A508" s="55"/>
      <c r="B508" s="56"/>
      <c r="C508" s="56"/>
      <c r="D508" s="73"/>
      <c r="E508" s="77"/>
      <c r="F508" s="75"/>
      <c r="G508" s="99" t="s">
        <v>203</v>
      </c>
      <c r="H508" s="60" t="s">
        <v>103</v>
      </c>
      <c r="I508" s="67">
        <v>0</v>
      </c>
      <c r="J508" s="68">
        <v>0</v>
      </c>
      <c r="K508" s="49">
        <f t="shared" ca="1" si="113"/>
        <v>0</v>
      </c>
      <c r="L508" s="61"/>
      <c r="M508" s="61"/>
      <c r="N508" s="61"/>
    </row>
    <row r="509" spans="1:14" ht="21.75" customHeight="1" x14ac:dyDescent="0.4">
      <c r="A509" s="55"/>
      <c r="B509" s="56"/>
      <c r="C509" s="56"/>
      <c r="D509" s="73"/>
      <c r="E509" s="77"/>
      <c r="F509" s="75"/>
      <c r="G509" s="74" t="s">
        <v>204</v>
      </c>
      <c r="H509" s="60" t="s">
        <v>103</v>
      </c>
      <c r="I509" s="67">
        <v>0</v>
      </c>
      <c r="J509" s="68">
        <v>0</v>
      </c>
      <c r="K509" s="49">
        <f t="shared" ca="1" si="113"/>
        <v>0</v>
      </c>
      <c r="L509" s="61"/>
      <c r="M509" s="61"/>
      <c r="N509" s="61"/>
    </row>
    <row r="510" spans="1:14" ht="21.75" customHeight="1" x14ac:dyDescent="0.4">
      <c r="A510" s="55"/>
      <c r="B510" s="56"/>
      <c r="C510" s="56"/>
      <c r="D510" s="73"/>
      <c r="E510" s="77"/>
      <c r="F510" s="75"/>
      <c r="G510" s="74" t="s">
        <v>205</v>
      </c>
      <c r="H510" s="60" t="s">
        <v>103</v>
      </c>
      <c r="I510" s="67">
        <f t="shared" ref="I510:J510" si="114">I511+I512</f>
        <v>0</v>
      </c>
      <c r="J510" s="67">
        <f t="shared" si="114"/>
        <v>0</v>
      </c>
      <c r="K510" s="49">
        <f t="shared" ca="1" si="113"/>
        <v>0</v>
      </c>
      <c r="L510" s="61"/>
      <c r="M510" s="61"/>
      <c r="N510" s="61"/>
    </row>
    <row r="511" spans="1:14" ht="21.75" customHeight="1" x14ac:dyDescent="0.4">
      <c r="A511" s="55"/>
      <c r="B511" s="56"/>
      <c r="C511" s="56"/>
      <c r="D511" s="73"/>
      <c r="E511" s="77"/>
      <c r="F511" s="75"/>
      <c r="G511" s="334" t="s">
        <v>206</v>
      </c>
      <c r="H511" s="60" t="s">
        <v>103</v>
      </c>
      <c r="I511" s="67">
        <v>0</v>
      </c>
      <c r="J511" s="68">
        <v>0</v>
      </c>
      <c r="K511" s="49">
        <f t="shared" ca="1" si="113"/>
        <v>0</v>
      </c>
      <c r="L511" s="61"/>
      <c r="M511" s="61"/>
      <c r="N511" s="61"/>
    </row>
    <row r="512" spans="1:14" ht="21.75" customHeight="1" x14ac:dyDescent="0.4">
      <c r="A512" s="55"/>
      <c r="B512" s="56"/>
      <c r="C512" s="56"/>
      <c r="D512" s="73"/>
      <c r="E512" s="77"/>
      <c r="F512" s="75"/>
      <c r="G512" s="334" t="s">
        <v>207</v>
      </c>
      <c r="H512" s="60" t="s">
        <v>103</v>
      </c>
      <c r="I512" s="67">
        <v>0</v>
      </c>
      <c r="J512" s="68">
        <v>0</v>
      </c>
      <c r="K512" s="49">
        <f t="shared" ca="1" si="113"/>
        <v>0</v>
      </c>
      <c r="L512" s="61"/>
      <c r="M512" s="61"/>
      <c r="N512" s="61"/>
    </row>
    <row r="513" spans="1:14" ht="21.75" customHeight="1" x14ac:dyDescent="0.4">
      <c r="A513" s="55"/>
      <c r="B513" s="56"/>
      <c r="C513" s="56"/>
      <c r="D513" s="73"/>
      <c r="E513" s="75"/>
      <c r="F513" s="74" t="s">
        <v>208</v>
      </c>
      <c r="G513" s="76"/>
      <c r="H513" s="60" t="s">
        <v>103</v>
      </c>
      <c r="I513" s="67">
        <f ca="1">IFERROR(__xludf.DUMMYFUNCTION("IMPORTRANGE(""https://docs.google.com/spreadsheets/d/1C3CXT74ZlgGe6_JY_1olB1XN4rF0dxEuIIF-xsYjHgg/edit?usp=sharing"",""งบกองทุน!ff32"")"),0)</f>
        <v>0</v>
      </c>
      <c r="J513" s="48">
        <f>J514</f>
        <v>0</v>
      </c>
      <c r="K513" s="49">
        <f t="shared" ref="K513:K519" ca="1" si="115">IF(I$513&gt;0,J513*100/I$513,0)</f>
        <v>0</v>
      </c>
      <c r="L513" s="61"/>
      <c r="M513" s="61"/>
      <c r="N513" s="61"/>
    </row>
    <row r="514" spans="1:14" ht="21.75" customHeight="1" x14ac:dyDescent="0.4">
      <c r="A514" s="55"/>
      <c r="B514" s="56"/>
      <c r="C514" s="56"/>
      <c r="D514" s="73"/>
      <c r="E514" s="77"/>
      <c r="F514" s="75"/>
      <c r="G514" s="99" t="s">
        <v>205</v>
      </c>
      <c r="H514" s="60" t="s">
        <v>103</v>
      </c>
      <c r="I514" s="48">
        <f t="shared" ref="I514:J514" si="116">I515+I516</f>
        <v>0</v>
      </c>
      <c r="J514" s="48">
        <f t="shared" si="116"/>
        <v>0</v>
      </c>
      <c r="K514" s="49">
        <f t="shared" ca="1" si="115"/>
        <v>0</v>
      </c>
      <c r="L514" s="61"/>
      <c r="M514" s="61"/>
      <c r="N514" s="61"/>
    </row>
    <row r="515" spans="1:14" ht="21.75" customHeight="1" x14ac:dyDescent="0.4">
      <c r="A515" s="55"/>
      <c r="B515" s="56"/>
      <c r="C515" s="56"/>
      <c r="D515" s="73"/>
      <c r="E515" s="77"/>
      <c r="F515" s="75"/>
      <c r="G515" s="334" t="s">
        <v>206</v>
      </c>
      <c r="H515" s="60" t="s">
        <v>103</v>
      </c>
      <c r="I515" s="67">
        <v>0</v>
      </c>
      <c r="J515" s="68">
        <v>0</v>
      </c>
      <c r="K515" s="49">
        <f t="shared" ca="1" si="115"/>
        <v>0</v>
      </c>
      <c r="L515" s="61"/>
      <c r="M515" s="61"/>
      <c r="N515" s="61"/>
    </row>
    <row r="516" spans="1:14" ht="21.75" customHeight="1" x14ac:dyDescent="0.4">
      <c r="A516" s="55"/>
      <c r="B516" s="56"/>
      <c r="C516" s="56"/>
      <c r="D516" s="73"/>
      <c r="E516" s="77"/>
      <c r="F516" s="75"/>
      <c r="G516" s="334" t="s">
        <v>207</v>
      </c>
      <c r="H516" s="60" t="s">
        <v>103</v>
      </c>
      <c r="I516" s="67">
        <v>0</v>
      </c>
      <c r="J516" s="68">
        <v>0</v>
      </c>
      <c r="K516" s="49">
        <f t="shared" ca="1" si="115"/>
        <v>0</v>
      </c>
      <c r="L516" s="61"/>
      <c r="M516" s="61"/>
      <c r="N516" s="61"/>
    </row>
    <row r="517" spans="1:14" ht="21.75" customHeight="1" x14ac:dyDescent="0.4">
      <c r="A517" s="55"/>
      <c r="B517" s="56"/>
      <c r="C517" s="56"/>
      <c r="D517" s="73"/>
      <c r="E517" s="77"/>
      <c r="F517" s="75"/>
      <c r="G517" s="99" t="s">
        <v>209</v>
      </c>
      <c r="H517" s="60" t="s">
        <v>103</v>
      </c>
      <c r="I517" s="67">
        <f t="shared" ref="I517:J517" si="117">SUM(I518:I519)</f>
        <v>0</v>
      </c>
      <c r="J517" s="67">
        <f t="shared" si="117"/>
        <v>0</v>
      </c>
      <c r="K517" s="49">
        <f t="shared" ca="1" si="115"/>
        <v>0</v>
      </c>
      <c r="L517" s="61"/>
      <c r="M517" s="61"/>
      <c r="N517" s="61"/>
    </row>
    <row r="518" spans="1:14" ht="21.75" customHeight="1" x14ac:dyDescent="0.4">
      <c r="A518" s="55"/>
      <c r="B518" s="56"/>
      <c r="C518" s="56"/>
      <c r="D518" s="73"/>
      <c r="E518" s="77"/>
      <c r="F518" s="75"/>
      <c r="G518" s="334" t="s">
        <v>210</v>
      </c>
      <c r="H518" s="60" t="s">
        <v>103</v>
      </c>
      <c r="I518" s="67">
        <v>0</v>
      </c>
      <c r="J518" s="68">
        <v>0</v>
      </c>
      <c r="K518" s="49">
        <f t="shared" ca="1" si="115"/>
        <v>0</v>
      </c>
      <c r="L518" s="61"/>
      <c r="M518" s="61"/>
      <c r="N518" s="61"/>
    </row>
    <row r="519" spans="1:14" ht="21.75" customHeight="1" x14ac:dyDescent="0.4">
      <c r="A519" s="55"/>
      <c r="B519" s="56"/>
      <c r="C519" s="56"/>
      <c r="D519" s="73"/>
      <c r="E519" s="77"/>
      <c r="F519" s="75"/>
      <c r="G519" s="334" t="s">
        <v>211</v>
      </c>
      <c r="H519" s="60" t="s">
        <v>103</v>
      </c>
      <c r="I519" s="67">
        <v>0</v>
      </c>
      <c r="J519" s="68">
        <v>0</v>
      </c>
      <c r="K519" s="49">
        <f t="shared" ca="1" si="115"/>
        <v>0</v>
      </c>
      <c r="L519" s="61"/>
      <c r="M519" s="61"/>
      <c r="N519" s="61"/>
    </row>
    <row r="520" spans="1:14" ht="21.75" customHeight="1" x14ac:dyDescent="0.4">
      <c r="A520" s="335" t="s">
        <v>212</v>
      </c>
      <c r="B520" s="336"/>
      <c r="C520" s="336"/>
      <c r="D520" s="336"/>
      <c r="E520" s="336"/>
      <c r="F520" s="336"/>
      <c r="G520" s="337"/>
      <c r="H520" s="338"/>
      <c r="I520" s="339"/>
      <c r="J520" s="339"/>
      <c r="K520" s="340"/>
      <c r="L520" s="340"/>
      <c r="M520" s="340"/>
      <c r="N520" s="341"/>
    </row>
    <row r="521" spans="1:14" ht="21.75" customHeight="1" x14ac:dyDescent="0.4">
      <c r="A521" s="316"/>
      <c r="B521" s="45" t="s">
        <v>213</v>
      </c>
      <c r="C521" s="43"/>
      <c r="D521" s="51"/>
      <c r="E521" s="45"/>
      <c r="F521" s="45"/>
      <c r="G521" s="46"/>
      <c r="H521" s="342" t="s">
        <v>20</v>
      </c>
      <c r="I521" s="200">
        <f ca="1">IFERROR(__xludf.DUMMYFUNCTION("IMPORTRANGE(""https://docs.google.com/spreadsheets/d/1muirlRDkqiswvy_NRZ3Yh955hx-PF6_HhssUYiSJj8o/edit?usp=sharing"",""กองทุน!D32"")"),8040578.33)</f>
        <v>8040578.3300000001</v>
      </c>
      <c r="J521" s="200">
        <f ca="1">IFERROR(__xludf.DUMMYFUNCTION("IMPORTRANGE(""https://docs.google.com/spreadsheets/d/1muirlRDkqiswvy_NRZ3Yh955hx-PF6_HhssUYiSJj8o/edit?usp=sharing"",""กองทุน!F32"")"),0)</f>
        <v>0</v>
      </c>
      <c r="K521" s="201">
        <f t="shared" ref="K521:K528" ca="1" si="118">IF(I521&gt;0,J521*100/I521,0)</f>
        <v>0</v>
      </c>
      <c r="L521" s="201"/>
      <c r="M521" s="201"/>
      <c r="N521" s="53"/>
    </row>
    <row r="522" spans="1:14" ht="21.75" customHeight="1" x14ac:dyDescent="0.4">
      <c r="A522" s="316"/>
      <c r="B522" s="43"/>
      <c r="C522" s="43"/>
      <c r="D522" s="51"/>
      <c r="E522" s="45"/>
      <c r="F522" s="45"/>
      <c r="G522" s="46"/>
      <c r="H522" s="342" t="s">
        <v>16</v>
      </c>
      <c r="I522" s="200">
        <f ca="1">IFERROR(__xludf.DUMMYFUNCTION("IMPORTRANGE(""https://docs.google.com/spreadsheets/d/1muirlRDkqiswvy_NRZ3Yh955hx-PF6_HhssUYiSJj8o/edit?usp=sharing"",""กองทุน!C32"")"),318)</f>
        <v>318</v>
      </c>
      <c r="J522" s="200">
        <f ca="1">IFERROR(__xludf.DUMMYFUNCTION("IMPORTRANGE(""https://docs.google.com/spreadsheets/d/1muirlRDkqiswvy_NRZ3Yh955hx-PF6_HhssUYiSJj8o/edit?usp=sharing"",""กองทุน!E32"")"),0)</f>
        <v>0</v>
      </c>
      <c r="K522" s="201">
        <f t="shared" ca="1" si="118"/>
        <v>0</v>
      </c>
      <c r="L522" s="201"/>
      <c r="M522" s="201"/>
      <c r="N522" s="53"/>
    </row>
    <row r="523" spans="1:14" ht="21.75" customHeight="1" x14ac:dyDescent="0.4">
      <c r="A523" s="316"/>
      <c r="B523" s="45" t="s">
        <v>214</v>
      </c>
      <c r="C523" s="43"/>
      <c r="D523" s="51"/>
      <c r="E523" s="45"/>
      <c r="F523" s="45"/>
      <c r="G523" s="46"/>
      <c r="H523" s="342" t="s">
        <v>20</v>
      </c>
      <c r="I523" s="200">
        <f ca="1">IFERROR(__xludf.DUMMYFUNCTION("IMPORTRANGE(""https://docs.google.com/spreadsheets/d/1muirlRDkqiswvy_NRZ3Yh955hx-PF6_HhssUYiSJj8o/edit?usp=sharing"",""กองทุน!I32"")"),17310.57)</f>
        <v>17310.57</v>
      </c>
      <c r="J523" s="200">
        <f ca="1">IFERROR(__xludf.DUMMYFUNCTION("IMPORTRANGE(""https://docs.google.com/spreadsheets/d/1muirlRDkqiswvy_NRZ3Yh955hx-PF6_HhssUYiSJj8o/edit?usp=sharing"",""กองทุน!K32"")"),0)</f>
        <v>0</v>
      </c>
      <c r="K523" s="201">
        <f t="shared" ca="1" si="118"/>
        <v>0</v>
      </c>
      <c r="L523" s="201"/>
      <c r="M523" s="201"/>
      <c r="N523" s="53"/>
    </row>
    <row r="524" spans="1:14" ht="21.75" customHeight="1" x14ac:dyDescent="0.4">
      <c r="A524" s="316"/>
      <c r="B524" s="43"/>
      <c r="C524" s="43"/>
      <c r="D524" s="51"/>
      <c r="E524" s="45"/>
      <c r="F524" s="45"/>
      <c r="G524" s="46"/>
      <c r="H524" s="342" t="s">
        <v>16</v>
      </c>
      <c r="I524" s="200">
        <f ca="1">IFERROR(__xludf.DUMMYFUNCTION("IMPORTRANGE(""https://docs.google.com/spreadsheets/d/1muirlRDkqiswvy_NRZ3Yh955hx-PF6_HhssUYiSJj8o/edit?usp=sharing"",""กองทุน!H32"")"),1)</f>
        <v>1</v>
      </c>
      <c r="J524" s="200">
        <f ca="1">IFERROR(__xludf.DUMMYFUNCTION("IMPORTRANGE(""https://docs.google.com/spreadsheets/d/1muirlRDkqiswvy_NRZ3Yh955hx-PF6_HhssUYiSJj8o/edit?usp=sharing"",""กองทุน!J32"")"),0)</f>
        <v>0</v>
      </c>
      <c r="K524" s="201">
        <f t="shared" ca="1" si="118"/>
        <v>0</v>
      </c>
      <c r="L524" s="201"/>
      <c r="M524" s="201"/>
      <c r="N524" s="53"/>
    </row>
    <row r="525" spans="1:14" ht="21.75" customHeight="1" x14ac:dyDescent="0.4">
      <c r="A525" s="316"/>
      <c r="B525" s="45" t="s">
        <v>215</v>
      </c>
      <c r="C525" s="43"/>
      <c r="D525" s="51"/>
      <c r="E525" s="45"/>
      <c r="F525" s="45"/>
      <c r="G525" s="46"/>
      <c r="H525" s="342" t="s">
        <v>20</v>
      </c>
      <c r="I525" s="200">
        <f ca="1">IFERROR(__xludf.DUMMYFUNCTION("IMPORTRANGE(""https://docs.google.com/spreadsheets/d/1muirlRDkqiswvy_NRZ3Yh955hx-PF6_HhssUYiSJj8o/edit?usp=sharing"",""กองทุน!N32"")"),0)</f>
        <v>0</v>
      </c>
      <c r="J525" s="200">
        <f ca="1">IFERROR(__xludf.DUMMYFUNCTION("IMPORTRANGE(""https://docs.google.com/spreadsheets/d/1muirlRDkqiswvy_NRZ3Yh955hx-PF6_HhssUYiSJj8o/edit?usp=sharing"",""กองทุน!P32"")"),0)</f>
        <v>0</v>
      </c>
      <c r="K525" s="201">
        <f t="shared" ca="1" si="118"/>
        <v>0</v>
      </c>
      <c r="L525" s="201"/>
      <c r="M525" s="201"/>
      <c r="N525" s="53"/>
    </row>
    <row r="526" spans="1:14" ht="21.75" customHeight="1" x14ac:dyDescent="0.4">
      <c r="A526" s="316"/>
      <c r="B526" s="45"/>
      <c r="C526" s="43"/>
      <c r="D526" s="51"/>
      <c r="E526" s="45"/>
      <c r="F526" s="45"/>
      <c r="G526" s="46"/>
      <c r="H526" s="342" t="s">
        <v>16</v>
      </c>
      <c r="I526" s="200">
        <f ca="1">IFERROR(__xludf.DUMMYFUNCTION("IMPORTRANGE(""https://docs.google.com/spreadsheets/d/1muirlRDkqiswvy_NRZ3Yh955hx-PF6_HhssUYiSJj8o/edit?usp=sharing"",""กองทุน!M32"")"),0)</f>
        <v>0</v>
      </c>
      <c r="J526" s="200">
        <f ca="1">IFERROR(__xludf.DUMMYFUNCTION("IMPORTRANGE(""https://docs.google.com/spreadsheets/d/1muirlRDkqiswvy_NRZ3Yh955hx-PF6_HhssUYiSJj8o/edit?usp=sharing"",""กองทุน!O32"")"),0)</f>
        <v>0</v>
      </c>
      <c r="K526" s="201">
        <f t="shared" ca="1" si="118"/>
        <v>0</v>
      </c>
      <c r="L526" s="201"/>
      <c r="M526" s="201"/>
      <c r="N526" s="53"/>
    </row>
    <row r="527" spans="1:14" ht="21.75" customHeight="1" x14ac:dyDescent="0.4">
      <c r="A527" s="316"/>
      <c r="B527" s="45" t="s">
        <v>216</v>
      </c>
      <c r="C527" s="43"/>
      <c r="D527" s="51"/>
      <c r="E527" s="45"/>
      <c r="F527" s="45"/>
      <c r="G527" s="46"/>
      <c r="H527" s="342" t="s">
        <v>20</v>
      </c>
      <c r="I527" s="200">
        <f ca="1">IFERROR(__xludf.DUMMYFUNCTION("IMPORTRANGE(""https://docs.google.com/spreadsheets/d/1muirlRDkqiswvy_NRZ3Yh955hx-PF6_HhssUYiSJj8o/edit?usp=sharing"",""กองทุน!S32"")"),6665000)</f>
        <v>6665000</v>
      </c>
      <c r="J527" s="200">
        <f ca="1">IFERROR(__xludf.DUMMYFUNCTION("IMPORTRANGE(""https://docs.google.com/spreadsheets/d/1muirlRDkqiswvy_NRZ3Yh955hx-PF6_HhssUYiSJj8o/edit?usp=sharing"",""กองทุน!U32"")"),0)</f>
        <v>0</v>
      </c>
      <c r="K527" s="201">
        <f t="shared" ca="1" si="118"/>
        <v>0</v>
      </c>
      <c r="L527" s="201"/>
      <c r="M527" s="201"/>
      <c r="N527" s="53"/>
    </row>
    <row r="528" spans="1:14" ht="21.75" customHeight="1" x14ac:dyDescent="0.4">
      <c r="A528" s="317"/>
      <c r="B528" s="319"/>
      <c r="C528" s="319"/>
      <c r="D528" s="318"/>
      <c r="E528" s="343"/>
      <c r="F528" s="343"/>
      <c r="G528" s="344"/>
      <c r="H528" s="345" t="s">
        <v>16</v>
      </c>
      <c r="I528" s="322">
        <f ca="1">IFERROR(__xludf.DUMMYFUNCTION("IMPORTRANGE(""https://docs.google.com/spreadsheets/d/1muirlRDkqiswvy_NRZ3Yh955hx-PF6_HhssUYiSJj8o/edit?usp=sharing"",""กองทุน!R32"")"),173)</f>
        <v>173</v>
      </c>
      <c r="J528" s="322">
        <f ca="1">IFERROR(__xludf.DUMMYFUNCTION("IMPORTRANGE(""https://docs.google.com/spreadsheets/d/1muirlRDkqiswvy_NRZ3Yh955hx-PF6_HhssUYiSJj8o/edit?usp=sharing"",""กองทุน!T32"")"),0)</f>
        <v>0</v>
      </c>
      <c r="K528" s="323">
        <f t="shared" ca="1" si="118"/>
        <v>0</v>
      </c>
      <c r="L528" s="323"/>
      <c r="M528" s="323"/>
      <c r="N528" s="346"/>
    </row>
    <row r="529" spans="1:14" ht="21.75" customHeight="1" x14ac:dyDescent="0.4">
      <c r="A529" s="347"/>
      <c r="B529" s="347"/>
      <c r="C529" s="347"/>
      <c r="D529" s="347"/>
      <c r="E529" s="348" t="s">
        <v>217</v>
      </c>
      <c r="F529" s="348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&amp;P/&amp;N&amp;R&amp;F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L18" sqref="L18"/>
      <selection pane="bottomLeft" activeCell="L18" sqref="L18"/>
    </sheetView>
  </sheetViews>
  <sheetFormatPr defaultColWidth="12.625" defaultRowHeight="15" customHeight="1" x14ac:dyDescent="0.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4">
      <c r="A1" s="403" t="s">
        <v>0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</row>
    <row r="2" spans="1:14" ht="18" customHeight="1" x14ac:dyDescent="0.4">
      <c r="A2" s="403" t="s">
        <v>244</v>
      </c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404"/>
    </row>
    <row r="3" spans="1:14" ht="18" customHeight="1" x14ac:dyDescent="0.4">
      <c r="A3" s="403" t="s">
        <v>249</v>
      </c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04"/>
    </row>
    <row r="4" spans="1:14" ht="33.75" customHeight="1" x14ac:dyDescent="0.4">
      <c r="A4" s="2"/>
      <c r="B4" s="2"/>
      <c r="C4" s="2"/>
      <c r="D4" s="2"/>
      <c r="E4" s="2"/>
      <c r="F4" s="2"/>
      <c r="G4" s="2"/>
      <c r="H4" s="2"/>
      <c r="I4" s="2"/>
      <c r="J4" s="354" t="s">
        <v>2</v>
      </c>
      <c r="K4" s="4"/>
      <c r="L4" s="5"/>
      <c r="M4" s="355" t="s">
        <v>3</v>
      </c>
      <c r="N4" s="2"/>
    </row>
    <row r="5" spans="1:14" ht="21.75" customHeight="1" x14ac:dyDescent="0.55000000000000004">
      <c r="A5" s="405" t="s">
        <v>4</v>
      </c>
      <c r="B5" s="406"/>
      <c r="C5" s="406"/>
      <c r="D5" s="406"/>
      <c r="E5" s="406"/>
      <c r="F5" s="406"/>
      <c r="G5" s="407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2587445</v>
      </c>
      <c r="M6" s="16">
        <f t="shared" si="0"/>
        <v>0</v>
      </c>
      <c r="N6" s="17">
        <f ca="1">IF(L6&gt;0,M6*100/L6,0)</f>
        <v>0</v>
      </c>
    </row>
    <row r="7" spans="1:14" ht="21.75" customHeight="1" x14ac:dyDescent="0.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1</v>
      </c>
      <c r="J9" s="38">
        <f t="shared" si="1"/>
        <v>0</v>
      </c>
      <c r="K9" s="41">
        <f t="shared" ref="K9:K10" ca="1" si="2">IF(I9&gt;0,J9*100/I9,0)</f>
        <v>0</v>
      </c>
      <c r="L9" s="40">
        <f ca="1">L11+L12</f>
        <v>591400</v>
      </c>
      <c r="M9" s="40">
        <f>SUM(M11:M12)</f>
        <v>0</v>
      </c>
      <c r="N9" s="41">
        <f ca="1">IF(L9&gt;0,M9*100/L9,0)</f>
        <v>0</v>
      </c>
    </row>
    <row r="10" spans="1:14" ht="21.75" customHeight="1" x14ac:dyDescent="0.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35</v>
      </c>
      <c r="J10" s="38">
        <f t="shared" si="3"/>
        <v>0</v>
      </c>
      <c r="K10" s="41">
        <f t="shared" ca="1" si="2"/>
        <v>0</v>
      </c>
      <c r="L10" s="40"/>
      <c r="M10" s="40"/>
      <c r="N10" s="41"/>
    </row>
    <row r="11" spans="1:14" ht="21.75" customHeight="1" x14ac:dyDescent="0.4">
      <c r="A11" s="42"/>
      <c r="B11" s="43"/>
      <c r="C11" s="43" t="s">
        <v>17</v>
      </c>
      <c r="D11" s="44" t="s">
        <v>18</v>
      </c>
      <c r="E11" s="45"/>
      <c r="F11" s="45"/>
      <c r="G11" s="46" t="s">
        <v>19</v>
      </c>
      <c r="H11" s="47" t="s">
        <v>20</v>
      </c>
      <c r="I11" s="48" t="s">
        <v>21</v>
      </c>
      <c r="J11" s="48"/>
      <c r="K11" s="49"/>
      <c r="L11" s="50">
        <v>0</v>
      </c>
      <c r="M11" s="50">
        <v>0</v>
      </c>
      <c r="N11" s="50">
        <f t="shared" ref="N11:N14" si="4">+IF(L11&gt;0,M11*100/L11,0)</f>
        <v>0</v>
      </c>
    </row>
    <row r="12" spans="1:14" ht="21.75" customHeight="1" x14ac:dyDescent="0.4">
      <c r="A12" s="42"/>
      <c r="B12" s="43"/>
      <c r="C12" s="43"/>
      <c r="D12" s="51"/>
      <c r="E12" s="45"/>
      <c r="F12" s="45" t="s">
        <v>21</v>
      </c>
      <c r="G12" s="46" t="s">
        <v>22</v>
      </c>
      <c r="H12" s="47" t="s">
        <v>20</v>
      </c>
      <c r="I12" s="48"/>
      <c r="J12" s="48"/>
      <c r="K12" s="49"/>
      <c r="L12" s="53">
        <f ca="1">IFERROR(__xludf.DUMMYFUNCTION("IMPORTRANGE(""https://docs.google.com/spreadsheets/d/1C3CXT74ZlgGe6_JY_1olB1XN4rF0dxEuIIF-xsYjHgg/edit?usp=sharing"",""พรบ!C33"")"),591400)</f>
        <v>591400</v>
      </c>
      <c r="M12" s="50">
        <f>SUM(M13:M14)</f>
        <v>0</v>
      </c>
      <c r="N12" s="50">
        <f t="shared" ca="1" si="4"/>
        <v>0</v>
      </c>
    </row>
    <row r="13" spans="1:14" ht="21.75" customHeight="1" x14ac:dyDescent="0.4">
      <c r="A13" s="42"/>
      <c r="B13" s="43"/>
      <c r="C13" s="43"/>
      <c r="D13" s="51"/>
      <c r="E13" s="45"/>
      <c r="F13" s="45"/>
      <c r="G13" s="52" t="s">
        <v>23</v>
      </c>
      <c r="H13" s="47" t="s">
        <v>20</v>
      </c>
      <c r="I13" s="48"/>
      <c r="J13" s="48"/>
      <c r="K13" s="49"/>
      <c r="L13" s="53">
        <f ca="1">IFERROR(__xludf.DUMMYFUNCTION("IMPORTRANGE(""https://docs.google.com/spreadsheets/d/1C3CXT74ZlgGe6_JY_1olB1XN4rF0dxEuIIF-xsYjHgg/edit?usp=sharing"",""พรบ!D33"")"),193400)</f>
        <v>193400</v>
      </c>
      <c r="M13" s="54">
        <v>0</v>
      </c>
      <c r="N13" s="53">
        <f t="shared" ca="1" si="4"/>
        <v>0</v>
      </c>
    </row>
    <row r="14" spans="1:14" ht="21.75" customHeight="1" x14ac:dyDescent="0.4">
      <c r="A14" s="42"/>
      <c r="B14" s="43"/>
      <c r="C14" s="43"/>
      <c r="D14" s="51"/>
      <c r="E14" s="45"/>
      <c r="F14" s="45"/>
      <c r="G14" s="52" t="s">
        <v>24</v>
      </c>
      <c r="H14" s="47" t="s">
        <v>20</v>
      </c>
      <c r="I14" s="48"/>
      <c r="J14" s="48"/>
      <c r="K14" s="49"/>
      <c r="L14" s="53">
        <f ca="1">IFERROR(__xludf.DUMMYFUNCTION("IMPORTRANGE(""https://docs.google.com/spreadsheets/d/1C3CXT74ZlgGe6_JY_1olB1XN4rF0dxEuIIF-xsYjHgg/edit?usp=sharing"",""พรบ!E33"")"),398000)</f>
        <v>398000</v>
      </c>
      <c r="M14" s="54">
        <v>0</v>
      </c>
      <c r="N14" s="53">
        <f t="shared" ca="1" si="4"/>
        <v>0</v>
      </c>
    </row>
    <row r="15" spans="1:14" ht="21.75" customHeight="1" x14ac:dyDescent="0.4">
      <c r="A15" s="55"/>
      <c r="B15" s="56"/>
      <c r="C15" s="43" t="s">
        <v>17</v>
      </c>
      <c r="D15" s="57" t="s">
        <v>25</v>
      </c>
      <c r="E15" s="58"/>
      <c r="F15" s="58"/>
      <c r="G15" s="59"/>
      <c r="H15" s="60"/>
      <c r="I15" s="48"/>
      <c r="J15" s="48"/>
      <c r="K15" s="49"/>
      <c r="L15" s="61"/>
      <c r="M15" s="61"/>
      <c r="N15" s="61"/>
    </row>
    <row r="16" spans="1:14" ht="21.75" customHeight="1" x14ac:dyDescent="0.4">
      <c r="A16" s="55"/>
      <c r="B16" s="56"/>
      <c r="C16" s="56"/>
      <c r="D16" s="62">
        <v>1</v>
      </c>
      <c r="E16" s="63" t="s">
        <v>26</v>
      </c>
      <c r="F16" s="64"/>
      <c r="G16" s="65"/>
      <c r="H16" s="66"/>
      <c r="I16" s="67"/>
      <c r="J16" s="68">
        <v>0</v>
      </c>
      <c r="K16" s="49"/>
      <c r="L16" s="61"/>
      <c r="M16" s="61"/>
      <c r="N16" s="61"/>
    </row>
    <row r="17" spans="1:14" ht="21.75" customHeight="1" x14ac:dyDescent="0.4">
      <c r="A17" s="55"/>
      <c r="B17" s="56"/>
      <c r="C17" s="56"/>
      <c r="D17" s="69">
        <v>2</v>
      </c>
      <c r="E17" s="70" t="s">
        <v>27</v>
      </c>
      <c r="F17" s="71"/>
      <c r="G17" s="72"/>
      <c r="H17" s="66"/>
      <c r="I17" s="67"/>
      <c r="J17" s="68">
        <v>1</v>
      </c>
      <c r="K17" s="49"/>
      <c r="L17" s="61" t="s">
        <v>21</v>
      </c>
      <c r="M17" s="61" t="s">
        <v>21</v>
      </c>
      <c r="N17" s="61"/>
    </row>
    <row r="18" spans="1:14" ht="21.75" customHeight="1" x14ac:dyDescent="0.4">
      <c r="A18" s="55"/>
      <c r="B18" s="56"/>
      <c r="C18" s="56"/>
      <c r="D18" s="73"/>
      <c r="E18" s="74" t="s">
        <v>28</v>
      </c>
      <c r="F18" s="75"/>
      <c r="G18" s="76"/>
      <c r="H18" s="66"/>
      <c r="I18" s="67"/>
      <c r="J18" s="68">
        <v>0</v>
      </c>
      <c r="K18" s="49"/>
      <c r="L18" s="61"/>
      <c r="M18" s="61"/>
      <c r="N18" s="61"/>
    </row>
    <row r="19" spans="1:14" ht="21.75" customHeight="1" x14ac:dyDescent="0.4">
      <c r="A19" s="55"/>
      <c r="B19" s="56"/>
      <c r="C19" s="56"/>
      <c r="D19" s="73"/>
      <c r="E19" s="74" t="s">
        <v>29</v>
      </c>
      <c r="F19" s="75"/>
      <c r="G19" s="76"/>
      <c r="H19" s="66"/>
      <c r="I19" s="67"/>
      <c r="J19" s="68">
        <v>0</v>
      </c>
      <c r="K19" s="49"/>
      <c r="L19" s="61"/>
      <c r="M19" s="61"/>
      <c r="N19" s="61"/>
    </row>
    <row r="20" spans="1:14" ht="21.75" customHeight="1" x14ac:dyDescent="0.4">
      <c r="A20" s="55"/>
      <c r="B20" s="56"/>
      <c r="C20" s="56"/>
      <c r="D20" s="73"/>
      <c r="E20" s="77"/>
      <c r="F20" s="74" t="s">
        <v>30</v>
      </c>
      <c r="G20" s="75"/>
      <c r="H20" s="78" t="s">
        <v>15</v>
      </c>
      <c r="I20" s="79">
        <f t="shared" ref="I20:J20" ca="1" si="5">+I22+I24+I26</f>
        <v>1</v>
      </c>
      <c r="J20" s="79">
        <f t="shared" si="5"/>
        <v>0</v>
      </c>
      <c r="K20" s="80">
        <f t="shared" ref="K20:K28" ca="1" si="6">IF(I20&gt;0,J20*100/I20,0)</f>
        <v>0</v>
      </c>
      <c r="L20" s="61"/>
      <c r="M20" s="61"/>
      <c r="N20" s="61"/>
    </row>
    <row r="21" spans="1:14" ht="21.75" customHeight="1" x14ac:dyDescent="0.4">
      <c r="A21" s="55"/>
      <c r="B21" s="56"/>
      <c r="C21" s="56"/>
      <c r="D21" s="73"/>
      <c r="E21" s="77"/>
      <c r="F21" s="75"/>
      <c r="G21" s="76"/>
      <c r="H21" s="78" t="s">
        <v>16</v>
      </c>
      <c r="I21" s="79">
        <f t="shared" ref="I21:J21" ca="1" si="7">+I23+I25+I27</f>
        <v>35</v>
      </c>
      <c r="J21" s="79">
        <f t="shared" si="7"/>
        <v>0</v>
      </c>
      <c r="K21" s="80">
        <f t="shared" ca="1" si="6"/>
        <v>0</v>
      </c>
      <c r="L21" s="61"/>
      <c r="M21" s="61"/>
      <c r="N21" s="61"/>
    </row>
    <row r="22" spans="1:14" ht="21.75" customHeight="1" x14ac:dyDescent="0.4">
      <c r="A22" s="55"/>
      <c r="B22" s="56"/>
      <c r="C22" s="56"/>
      <c r="D22" s="73"/>
      <c r="E22" s="77"/>
      <c r="F22" s="75"/>
      <c r="G22" s="75" t="s">
        <v>31</v>
      </c>
      <c r="H22" s="60" t="s">
        <v>15</v>
      </c>
      <c r="I22" s="48">
        <f ca="1">IFERROR(__xludf.DUMMYFUNCTION("IMPORTRANGE(""https://docs.google.com/spreadsheets/d/1C3CXT74ZlgGe6_JY_1olB1XN4rF0dxEuIIF-xsYjHgg/edit?usp=sharing"",""พรบ!H33"")"),1)</f>
        <v>1</v>
      </c>
      <c r="J22" s="68">
        <v>0</v>
      </c>
      <c r="K22" s="49">
        <f t="shared" ca="1" si="6"/>
        <v>0</v>
      </c>
      <c r="L22" s="61"/>
      <c r="M22" s="61"/>
      <c r="N22" s="61"/>
    </row>
    <row r="23" spans="1:14" ht="21.75" customHeight="1" x14ac:dyDescent="0.4">
      <c r="A23" s="55"/>
      <c r="B23" s="56"/>
      <c r="C23" s="56"/>
      <c r="D23" s="73"/>
      <c r="E23" s="77"/>
      <c r="F23" s="75"/>
      <c r="G23" s="76"/>
      <c r="H23" s="60" t="s">
        <v>16</v>
      </c>
      <c r="I23" s="48">
        <f ca="1">IFERROR(__xludf.DUMMYFUNCTION("IMPORTRANGE(""https://docs.google.com/spreadsheets/d/1C3CXT74ZlgGe6_JY_1olB1XN4rF0dxEuIIF-xsYjHgg/edit?usp=sharing"",""พรบ!I33"")"),35)</f>
        <v>35</v>
      </c>
      <c r="J23" s="68">
        <v>0</v>
      </c>
      <c r="K23" s="49">
        <f t="shared" ca="1" si="6"/>
        <v>0</v>
      </c>
      <c r="L23" s="61"/>
      <c r="M23" s="61"/>
      <c r="N23" s="61"/>
    </row>
    <row r="24" spans="1:14" ht="21.75" customHeight="1" x14ac:dyDescent="0.4">
      <c r="A24" s="55"/>
      <c r="B24" s="56"/>
      <c r="C24" s="56"/>
      <c r="D24" s="73"/>
      <c r="E24" s="77"/>
      <c r="F24" s="75"/>
      <c r="G24" s="75" t="s">
        <v>32</v>
      </c>
      <c r="H24" s="60" t="s">
        <v>15</v>
      </c>
      <c r="I24" s="48">
        <f ca="1">IFERROR(__xludf.DUMMYFUNCTION("IMPORTRANGE(""https://docs.google.com/spreadsheets/d/1C3CXT74ZlgGe6_JY_1olB1XN4rF0dxEuIIF-xsYjHgg/edit?usp=sharing"",""พรบ!J33"")"),0)</f>
        <v>0</v>
      </c>
      <c r="J24" s="68">
        <v>0</v>
      </c>
      <c r="K24" s="49">
        <f t="shared" ca="1" si="6"/>
        <v>0</v>
      </c>
      <c r="L24" s="61"/>
      <c r="M24" s="61"/>
      <c r="N24" s="61"/>
    </row>
    <row r="25" spans="1:14" ht="21.75" customHeight="1" x14ac:dyDescent="0.4">
      <c r="A25" s="55"/>
      <c r="B25" s="56"/>
      <c r="C25" s="56"/>
      <c r="D25" s="73"/>
      <c r="E25" s="77"/>
      <c r="F25" s="75"/>
      <c r="G25" s="76"/>
      <c r="H25" s="60" t="s">
        <v>16</v>
      </c>
      <c r="I25" s="48">
        <f ca="1">IFERROR(__xludf.DUMMYFUNCTION("IMPORTRANGE(""https://docs.google.com/spreadsheets/d/1C3CXT74ZlgGe6_JY_1olB1XN4rF0dxEuIIF-xsYjHgg/edit?usp=sharing"",""พรบ!K33"")"),0)</f>
        <v>0</v>
      </c>
      <c r="J25" s="68">
        <v>0</v>
      </c>
      <c r="K25" s="49">
        <f t="shared" ca="1" si="6"/>
        <v>0</v>
      </c>
      <c r="L25" s="61"/>
      <c r="M25" s="61"/>
      <c r="N25" s="61"/>
    </row>
    <row r="26" spans="1:14" ht="21.75" customHeight="1" x14ac:dyDescent="0.4">
      <c r="A26" s="55"/>
      <c r="B26" s="56"/>
      <c r="C26" s="56"/>
      <c r="D26" s="73"/>
      <c r="E26" s="77"/>
      <c r="F26" s="75"/>
      <c r="G26" s="75" t="s">
        <v>33</v>
      </c>
      <c r="H26" s="60" t="s">
        <v>15</v>
      </c>
      <c r="I26" s="48">
        <f ca="1">IFERROR(__xludf.DUMMYFUNCTION("IMPORTRANGE(""https://docs.google.com/spreadsheets/d/1C3CXT74ZlgGe6_JY_1olB1XN4rF0dxEuIIF-xsYjHgg/edit?usp=sharing"",""พรบ!L33"")"),0)</f>
        <v>0</v>
      </c>
      <c r="J26" s="68">
        <v>0</v>
      </c>
      <c r="K26" s="49">
        <f t="shared" ca="1" si="6"/>
        <v>0</v>
      </c>
      <c r="L26" s="61"/>
      <c r="M26" s="61"/>
      <c r="N26" s="61"/>
    </row>
    <row r="27" spans="1:14" ht="21.75" customHeight="1" x14ac:dyDescent="0.4">
      <c r="A27" s="55"/>
      <c r="B27" s="56"/>
      <c r="C27" s="56"/>
      <c r="D27" s="73"/>
      <c r="E27" s="77"/>
      <c r="F27" s="75"/>
      <c r="G27" s="76"/>
      <c r="H27" s="60" t="s">
        <v>16</v>
      </c>
      <c r="I27" s="48">
        <f ca="1">IFERROR(__xludf.DUMMYFUNCTION("IMPORTRANGE(""https://docs.google.com/spreadsheets/d/1C3CXT74ZlgGe6_JY_1olB1XN4rF0dxEuIIF-xsYjHgg/edit?usp=sharing"",""พรบ!M33"")"),0)</f>
        <v>0</v>
      </c>
      <c r="J27" s="68">
        <v>0</v>
      </c>
      <c r="K27" s="49">
        <f t="shared" ca="1" si="6"/>
        <v>0</v>
      </c>
      <c r="L27" s="61"/>
      <c r="M27" s="61"/>
      <c r="N27" s="61"/>
    </row>
    <row r="28" spans="1:14" ht="21.75" customHeight="1" x14ac:dyDescent="0.4">
      <c r="A28" s="55"/>
      <c r="B28" s="56"/>
      <c r="C28" s="56"/>
      <c r="D28" s="73"/>
      <c r="E28" s="77"/>
      <c r="F28" s="74" t="s">
        <v>34</v>
      </c>
      <c r="G28" s="75"/>
      <c r="H28" s="60" t="s">
        <v>16</v>
      </c>
      <c r="I28" s="48">
        <v>0</v>
      </c>
      <c r="J28" s="68">
        <v>0</v>
      </c>
      <c r="K28" s="49">
        <f t="shared" si="6"/>
        <v>0</v>
      </c>
      <c r="L28" s="61"/>
      <c r="M28" s="61"/>
      <c r="N28" s="61"/>
    </row>
    <row r="29" spans="1:14" ht="21.75" customHeight="1" x14ac:dyDescent="0.4">
      <c r="A29" s="55"/>
      <c r="B29" s="56"/>
      <c r="C29" s="56"/>
      <c r="D29" s="73"/>
      <c r="E29" s="74" t="s">
        <v>35</v>
      </c>
      <c r="F29" s="75"/>
      <c r="G29" s="76"/>
      <c r="H29" s="66"/>
      <c r="I29" s="67"/>
      <c r="J29" s="68">
        <v>0</v>
      </c>
      <c r="K29" s="49"/>
      <c r="L29" s="61"/>
      <c r="M29" s="61"/>
      <c r="N29" s="61"/>
    </row>
    <row r="30" spans="1:14" ht="21.75" customHeight="1" x14ac:dyDescent="0.4">
      <c r="A30" s="55"/>
      <c r="B30" s="56"/>
      <c r="C30" s="56"/>
      <c r="D30" s="81">
        <v>3</v>
      </c>
      <c r="E30" s="82" t="s">
        <v>36</v>
      </c>
      <c r="F30" s="83"/>
      <c r="G30" s="84"/>
      <c r="H30" s="66"/>
      <c r="I30" s="67"/>
      <c r="J30" s="85">
        <v>0</v>
      </c>
      <c r="K30" s="49"/>
      <c r="L30" s="61"/>
      <c r="M30" s="61"/>
      <c r="N30" s="61"/>
    </row>
    <row r="31" spans="1:14" ht="21.75" customHeight="1" x14ac:dyDescent="0.4">
      <c r="A31" s="86" t="s">
        <v>37</v>
      </c>
      <c r="B31" s="87"/>
      <c r="C31" s="88"/>
      <c r="D31" s="87"/>
      <c r="E31" s="89"/>
      <c r="F31" s="89"/>
      <c r="G31" s="90"/>
      <c r="H31" s="91"/>
      <c r="I31" s="92"/>
      <c r="J31" s="92"/>
      <c r="K31" s="93"/>
      <c r="L31" s="94"/>
      <c r="M31" s="94"/>
      <c r="N31" s="95"/>
    </row>
    <row r="32" spans="1:14" ht="21.75" customHeight="1" x14ac:dyDescent="0.4">
      <c r="A32" s="34"/>
      <c r="B32" s="35" t="s">
        <v>38</v>
      </c>
      <c r="C32" s="35"/>
      <c r="D32" s="36"/>
      <c r="E32" s="35"/>
      <c r="F32" s="35"/>
      <c r="G32" s="96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41">
        <f t="shared" ref="K32:K33" ca="1" si="9">IF(I32&gt;0,J32*100/I32,0)</f>
        <v>0</v>
      </c>
      <c r="L32" s="97">
        <f ca="1">L34+L35</f>
        <v>0</v>
      </c>
      <c r="M32" s="97">
        <f>SUM(M34:M35)</f>
        <v>0</v>
      </c>
      <c r="N32" s="41">
        <f ca="1">IF(L32&gt;0,M32*100/L32,0)</f>
        <v>0</v>
      </c>
    </row>
    <row r="33" spans="1:14" ht="21.75" customHeight="1" x14ac:dyDescent="0.4">
      <c r="A33" s="34"/>
      <c r="B33" s="35"/>
      <c r="C33" s="35"/>
      <c r="D33" s="36" t="s">
        <v>39</v>
      </c>
      <c r="E33" s="35"/>
      <c r="F33" s="35"/>
      <c r="G33" s="96"/>
      <c r="H33" s="37" t="s">
        <v>40</v>
      </c>
      <c r="I33" s="38">
        <f ca="1">I48</f>
        <v>0</v>
      </c>
      <c r="J33" s="38">
        <f>+J48</f>
        <v>0</v>
      </c>
      <c r="K33" s="41">
        <f t="shared" ca="1" si="9"/>
        <v>0</v>
      </c>
      <c r="L33" s="97"/>
      <c r="M33" s="97"/>
      <c r="N33" s="41"/>
    </row>
    <row r="34" spans="1:14" ht="21.75" customHeight="1" x14ac:dyDescent="0.4">
      <c r="A34" s="42"/>
      <c r="B34" s="43"/>
      <c r="C34" s="43" t="s">
        <v>17</v>
      </c>
      <c r="D34" s="44" t="s">
        <v>18</v>
      </c>
      <c r="E34" s="45"/>
      <c r="F34" s="45"/>
      <c r="G34" s="46" t="s">
        <v>19</v>
      </c>
      <c r="H34" s="47" t="s">
        <v>20</v>
      </c>
      <c r="I34" s="48" t="s">
        <v>21</v>
      </c>
      <c r="J34" s="48"/>
      <c r="K34" s="49"/>
      <c r="L34" s="53">
        <v>0</v>
      </c>
      <c r="M34" s="50">
        <v>0</v>
      </c>
      <c r="N34" s="50">
        <f t="shared" ref="N34:N37" si="10">+IF(L34&gt;0,M34*100/L34,0)</f>
        <v>0</v>
      </c>
    </row>
    <row r="35" spans="1:14" ht="21.75" customHeight="1" x14ac:dyDescent="0.4">
      <c r="A35" s="42"/>
      <c r="B35" s="43"/>
      <c r="C35" s="43"/>
      <c r="D35" s="51"/>
      <c r="E35" s="45"/>
      <c r="F35" s="45" t="s">
        <v>21</v>
      </c>
      <c r="G35" s="46" t="s">
        <v>22</v>
      </c>
      <c r="H35" s="47" t="s">
        <v>20</v>
      </c>
      <c r="I35" s="48"/>
      <c r="J35" s="48"/>
      <c r="K35" s="49"/>
      <c r="L35" s="53">
        <f ca="1">IFERROR(__xludf.DUMMYFUNCTION("IMPORTRANGE(""https://docs.google.com/spreadsheets/d/1C3CXT74ZlgGe6_JY_1olB1XN4rF0dxEuIIF-xsYjHgg/edit?usp=sharing"",""พรบ!O33"")"),0)</f>
        <v>0</v>
      </c>
      <c r="M35" s="50">
        <f>SUM(M36:M37)</f>
        <v>0</v>
      </c>
      <c r="N35" s="50">
        <f t="shared" ca="1" si="10"/>
        <v>0</v>
      </c>
    </row>
    <row r="36" spans="1:14" ht="21.75" customHeight="1" x14ac:dyDescent="0.4">
      <c r="A36" s="42"/>
      <c r="B36" s="43"/>
      <c r="C36" s="43"/>
      <c r="D36" s="51"/>
      <c r="E36" s="45"/>
      <c r="F36" s="45"/>
      <c r="G36" s="52" t="s">
        <v>23</v>
      </c>
      <c r="H36" s="47" t="s">
        <v>20</v>
      </c>
      <c r="I36" s="48"/>
      <c r="J36" s="48"/>
      <c r="K36" s="49"/>
      <c r="L36" s="53">
        <f ca="1">IFERROR(__xludf.DUMMYFUNCTION("IMPORTRANGE(""https://docs.google.com/spreadsheets/d/1C3CXT74ZlgGe6_JY_1olB1XN4rF0dxEuIIF-xsYjHgg/edit?usp=sharing"",""พรบ!P33"")"),0)</f>
        <v>0</v>
      </c>
      <c r="M36" s="53">
        <v>0</v>
      </c>
      <c r="N36" s="53">
        <f t="shared" ca="1" si="10"/>
        <v>0</v>
      </c>
    </row>
    <row r="37" spans="1:14" ht="21.75" customHeight="1" x14ac:dyDescent="0.4">
      <c r="A37" s="42"/>
      <c r="B37" s="43"/>
      <c r="C37" s="43"/>
      <c r="D37" s="51"/>
      <c r="E37" s="45"/>
      <c r="F37" s="45"/>
      <c r="G37" s="52" t="s">
        <v>24</v>
      </c>
      <c r="H37" s="47" t="s">
        <v>20</v>
      </c>
      <c r="I37" s="48"/>
      <c r="J37" s="48"/>
      <c r="K37" s="49"/>
      <c r="L37" s="53">
        <f ca="1">IFERROR(__xludf.DUMMYFUNCTION("IMPORTRANGE(""https://docs.google.com/spreadsheets/d/1C3CXT74ZlgGe6_JY_1olB1XN4rF0dxEuIIF-xsYjHgg/edit?usp=sharing"",""พรบ!Q33"")"),0)</f>
        <v>0</v>
      </c>
      <c r="M37" s="54">
        <v>0</v>
      </c>
      <c r="N37" s="53">
        <f t="shared" ca="1" si="10"/>
        <v>0</v>
      </c>
    </row>
    <row r="38" spans="1:14" ht="21.75" customHeight="1" x14ac:dyDescent="0.4">
      <c r="A38" s="55"/>
      <c r="B38" s="56"/>
      <c r="C38" s="43" t="s">
        <v>17</v>
      </c>
      <c r="D38" s="57" t="s">
        <v>25</v>
      </c>
      <c r="E38" s="58"/>
      <c r="F38" s="58"/>
      <c r="G38" s="59"/>
      <c r="H38" s="60"/>
      <c r="I38" s="48"/>
      <c r="J38" s="48"/>
      <c r="K38" s="49"/>
      <c r="L38" s="61"/>
      <c r="M38" s="61"/>
      <c r="N38" s="61"/>
    </row>
    <row r="39" spans="1:14" ht="21.75" customHeight="1" x14ac:dyDescent="0.4">
      <c r="A39" s="55"/>
      <c r="B39" s="56"/>
      <c r="C39" s="56"/>
      <c r="D39" s="62">
        <v>1</v>
      </c>
      <c r="E39" s="63" t="s">
        <v>26</v>
      </c>
      <c r="F39" s="64"/>
      <c r="G39" s="65"/>
      <c r="H39" s="66"/>
      <c r="I39" s="67"/>
      <c r="J39" s="68">
        <v>0</v>
      </c>
      <c r="K39" s="49"/>
      <c r="L39" s="61"/>
      <c r="M39" s="61"/>
      <c r="N39" s="61"/>
    </row>
    <row r="40" spans="1:14" ht="21.75" customHeight="1" x14ac:dyDescent="0.4">
      <c r="A40" s="55"/>
      <c r="B40" s="56"/>
      <c r="C40" s="56"/>
      <c r="D40" s="69">
        <v>2</v>
      </c>
      <c r="E40" s="70" t="s">
        <v>27</v>
      </c>
      <c r="F40" s="71"/>
      <c r="G40" s="72"/>
      <c r="H40" s="66"/>
      <c r="I40" s="67"/>
      <c r="J40" s="68">
        <v>0</v>
      </c>
      <c r="K40" s="49"/>
      <c r="L40" s="61" t="s">
        <v>21</v>
      </c>
      <c r="M40" s="61" t="s">
        <v>21</v>
      </c>
      <c r="N40" s="61"/>
    </row>
    <row r="41" spans="1:14" ht="21.75" customHeight="1" x14ac:dyDescent="0.4">
      <c r="A41" s="55"/>
      <c r="B41" s="56"/>
      <c r="C41" s="56"/>
      <c r="D41" s="73"/>
      <c r="E41" s="74" t="s">
        <v>28</v>
      </c>
      <c r="F41" s="75"/>
      <c r="G41" s="76"/>
      <c r="H41" s="66"/>
      <c r="I41" s="67"/>
      <c r="J41" s="68">
        <v>0</v>
      </c>
      <c r="K41" s="49"/>
      <c r="L41" s="61"/>
      <c r="M41" s="61"/>
      <c r="N41" s="61"/>
    </row>
    <row r="42" spans="1:14" ht="21.75" customHeight="1" x14ac:dyDescent="0.4">
      <c r="A42" s="55"/>
      <c r="B42" s="56"/>
      <c r="C42" s="56"/>
      <c r="D42" s="73"/>
      <c r="E42" s="74" t="s">
        <v>29</v>
      </c>
      <c r="F42" s="75"/>
      <c r="G42" s="76"/>
      <c r="H42" s="66"/>
      <c r="I42" s="67"/>
      <c r="J42" s="68">
        <v>0</v>
      </c>
      <c r="K42" s="49"/>
      <c r="L42" s="61"/>
      <c r="M42" s="61"/>
      <c r="N42" s="61"/>
    </row>
    <row r="43" spans="1:14" ht="21.75" customHeight="1" x14ac:dyDescent="0.4">
      <c r="A43" s="55"/>
      <c r="B43" s="56"/>
      <c r="C43" s="56"/>
      <c r="D43" s="73"/>
      <c r="E43" s="75"/>
      <c r="F43" s="75" t="s">
        <v>41</v>
      </c>
      <c r="G43" s="75"/>
      <c r="H43" s="60" t="s">
        <v>42</v>
      </c>
      <c r="I43" s="48">
        <f ca="1">IFERROR(__xludf.DUMMYFUNCTION("IMPORTRANGE(""https://docs.google.com/spreadsheets/d/1C3CXT74ZlgGe6_JY_1olB1XN4rF0dxEuIIF-xsYjHgg/edit?usp=sharing"",""พรบ!R33"")"),0)</f>
        <v>0</v>
      </c>
      <c r="J43" s="68">
        <v>0</v>
      </c>
      <c r="K43" s="49">
        <f t="shared" ref="K43:K48" ca="1" si="11">IF(I43&gt;0,J43*100/I43,0)</f>
        <v>0</v>
      </c>
      <c r="L43" s="61"/>
      <c r="M43" s="61"/>
      <c r="N43" s="61"/>
    </row>
    <row r="44" spans="1:14" ht="21.75" customHeight="1" x14ac:dyDescent="0.4">
      <c r="A44" s="55"/>
      <c r="B44" s="56"/>
      <c r="C44" s="56"/>
      <c r="D44" s="73"/>
      <c r="E44" s="77"/>
      <c r="F44" s="74" t="s">
        <v>43</v>
      </c>
      <c r="G44" s="75"/>
      <c r="H44" s="60" t="s">
        <v>16</v>
      </c>
      <c r="I44" s="48">
        <f ca="1">IFERROR(__xludf.DUMMYFUNCTION("IMPORTRANGE(""https://docs.google.com/spreadsheets/d/1C3CXT74ZlgGe6_JY_1olB1XN4rF0dxEuIIF-xsYjHgg/edit?usp=sharing"",""พรบ!S33"")"),0)</f>
        <v>0</v>
      </c>
      <c r="J44" s="68">
        <v>0</v>
      </c>
      <c r="K44" s="49">
        <f t="shared" ca="1" si="11"/>
        <v>0</v>
      </c>
      <c r="L44" s="61"/>
      <c r="M44" s="61"/>
      <c r="N44" s="61"/>
    </row>
    <row r="45" spans="1:14" ht="21.75" customHeight="1" x14ac:dyDescent="0.4">
      <c r="A45" s="55"/>
      <c r="B45" s="56"/>
      <c r="C45" s="56"/>
      <c r="D45" s="73"/>
      <c r="E45" s="77"/>
      <c r="F45" s="75"/>
      <c r="G45" s="98" t="s">
        <v>44</v>
      </c>
      <c r="H45" s="60" t="s">
        <v>16</v>
      </c>
      <c r="I45" s="48">
        <f ca="1">IFERROR(__xludf.DUMMYFUNCTION("IMPORTRANGE(""https://docs.google.com/spreadsheets/d/1C3CXT74ZlgGe6_JY_1olB1XN4rF0dxEuIIF-xsYjHgg/edit?usp=sharing"",""พรบ!T33"")"),0)</f>
        <v>0</v>
      </c>
      <c r="J45" s="68">
        <v>0</v>
      </c>
      <c r="K45" s="49">
        <f t="shared" ca="1" si="11"/>
        <v>0</v>
      </c>
      <c r="L45" s="61"/>
      <c r="M45" s="61"/>
      <c r="N45" s="61"/>
    </row>
    <row r="46" spans="1:14" ht="21.75" customHeight="1" x14ac:dyDescent="0.4">
      <c r="A46" s="55"/>
      <c r="B46" s="56"/>
      <c r="C46" s="56"/>
      <c r="D46" s="73"/>
      <c r="E46" s="77"/>
      <c r="F46" s="75"/>
      <c r="G46" s="98" t="s">
        <v>45</v>
      </c>
      <c r="H46" s="60" t="s">
        <v>16</v>
      </c>
      <c r="I46" s="48">
        <f ca="1">IFERROR(__xludf.DUMMYFUNCTION("IMPORTRANGE(""https://docs.google.com/spreadsheets/d/1C3CXT74ZlgGe6_JY_1olB1XN4rF0dxEuIIF-xsYjHgg/edit?usp=sharing"",""พรบ!U33"")"),0)</f>
        <v>0</v>
      </c>
      <c r="J46" s="68">
        <v>0</v>
      </c>
      <c r="K46" s="49">
        <f t="shared" ca="1" si="11"/>
        <v>0</v>
      </c>
      <c r="L46" s="61"/>
      <c r="M46" s="61"/>
      <c r="N46" s="61"/>
    </row>
    <row r="47" spans="1:14" ht="21.75" customHeight="1" x14ac:dyDescent="0.4">
      <c r="A47" s="55"/>
      <c r="B47" s="56"/>
      <c r="C47" s="56"/>
      <c r="D47" s="73"/>
      <c r="E47" s="77"/>
      <c r="F47" s="75"/>
      <c r="G47" s="99" t="s">
        <v>46</v>
      </c>
      <c r="H47" s="60" t="s">
        <v>16</v>
      </c>
      <c r="I47" s="48">
        <f ca="1">IFERROR(__xludf.DUMMYFUNCTION("IMPORTRANGE(""https://docs.google.com/spreadsheets/d/1C3CXT74ZlgGe6_JY_1olB1XN4rF0dxEuIIF-xsYjHgg/edit?usp=sharing"",""พรบ!V33"")"),0)</f>
        <v>0</v>
      </c>
      <c r="J47" s="68">
        <v>0</v>
      </c>
      <c r="K47" s="49">
        <f t="shared" ca="1" si="11"/>
        <v>0</v>
      </c>
      <c r="L47" s="61"/>
      <c r="M47" s="61"/>
      <c r="N47" s="61"/>
    </row>
    <row r="48" spans="1:14" ht="21.75" customHeight="1" x14ac:dyDescent="0.4">
      <c r="A48" s="55"/>
      <c r="B48" s="56"/>
      <c r="C48" s="56"/>
      <c r="D48" s="73"/>
      <c r="E48" s="77"/>
      <c r="F48" s="75" t="s">
        <v>47</v>
      </c>
      <c r="G48" s="75"/>
      <c r="H48" s="60" t="s">
        <v>40</v>
      </c>
      <c r="I48" s="48">
        <f ca="1">IFERROR(__xludf.DUMMYFUNCTION("IMPORTRANGE(""https://docs.google.com/spreadsheets/d/1C3CXT74ZlgGe6_JY_1olB1XN4rF0dxEuIIF-xsYjHgg/edit?usp=sharing"",""พรบ!W33"")"),0)</f>
        <v>0</v>
      </c>
      <c r="J48" s="68">
        <v>0</v>
      </c>
      <c r="K48" s="49">
        <f t="shared" ca="1" si="11"/>
        <v>0</v>
      </c>
      <c r="L48" s="61"/>
      <c r="M48" s="61"/>
      <c r="N48" s="61"/>
    </row>
    <row r="49" spans="1:14" ht="21.75" customHeight="1" x14ac:dyDescent="0.4">
      <c r="A49" s="55"/>
      <c r="B49" s="56"/>
      <c r="C49" s="56"/>
      <c r="D49" s="73"/>
      <c r="E49" s="74" t="s">
        <v>35</v>
      </c>
      <c r="F49" s="75"/>
      <c r="G49" s="76"/>
      <c r="H49" s="66"/>
      <c r="I49" s="67"/>
      <c r="J49" s="68">
        <v>0</v>
      </c>
      <c r="K49" s="49"/>
      <c r="L49" s="61"/>
      <c r="M49" s="61"/>
      <c r="N49" s="61"/>
    </row>
    <row r="50" spans="1:14" ht="21.75" customHeight="1" x14ac:dyDescent="0.4">
      <c r="A50" s="55"/>
      <c r="B50" s="56"/>
      <c r="C50" s="56"/>
      <c r="D50" s="81">
        <v>3</v>
      </c>
      <c r="E50" s="82" t="s">
        <v>36</v>
      </c>
      <c r="F50" s="83"/>
      <c r="G50" s="84"/>
      <c r="H50" s="66"/>
      <c r="I50" s="67"/>
      <c r="J50" s="85">
        <v>0</v>
      </c>
      <c r="K50" s="49"/>
      <c r="L50" s="61"/>
      <c r="M50" s="61"/>
      <c r="N50" s="61"/>
    </row>
    <row r="51" spans="1:14" ht="21.75" customHeight="1" x14ac:dyDescent="0.4">
      <c r="A51" s="86" t="s">
        <v>48</v>
      </c>
      <c r="B51" s="100"/>
      <c r="C51" s="101"/>
      <c r="D51" s="100"/>
      <c r="E51" s="102"/>
      <c r="F51" s="102"/>
      <c r="G51" s="103"/>
      <c r="H51" s="91"/>
      <c r="I51" s="92"/>
      <c r="J51" s="92"/>
      <c r="K51" s="93"/>
      <c r="L51" s="94"/>
      <c r="M51" s="94"/>
      <c r="N51" s="95"/>
    </row>
    <row r="52" spans="1:14" ht="21.75" customHeight="1" x14ac:dyDescent="0.4">
      <c r="A52" s="34"/>
      <c r="B52" s="35" t="s">
        <v>49</v>
      </c>
      <c r="C52" s="104"/>
      <c r="D52" s="36"/>
      <c r="E52" s="35"/>
      <c r="F52" s="35"/>
      <c r="G52" s="96"/>
      <c r="H52" s="37" t="s">
        <v>16</v>
      </c>
      <c r="I52" s="38">
        <f ca="1">I62</f>
        <v>20</v>
      </c>
      <c r="J52" s="38">
        <f>+J62</f>
        <v>0</v>
      </c>
      <c r="K52" s="41">
        <f ca="1">IF(I52&gt;0,J52*100/I52,0)</f>
        <v>0</v>
      </c>
      <c r="L52" s="40">
        <f ca="1">L53+L54</f>
        <v>82440</v>
      </c>
      <c r="M52" s="40">
        <f>SUM(M53:M54)</f>
        <v>0</v>
      </c>
      <c r="N52" s="41">
        <f ca="1">IF(L52&gt;0,M52*100/L52,0)</f>
        <v>0</v>
      </c>
    </row>
    <row r="53" spans="1:14" ht="21.75" customHeight="1" x14ac:dyDescent="0.4">
      <c r="A53" s="42"/>
      <c r="B53" s="43"/>
      <c r="C53" s="43" t="s">
        <v>17</v>
      </c>
      <c r="D53" s="44" t="s">
        <v>18</v>
      </c>
      <c r="E53" s="45"/>
      <c r="F53" s="45"/>
      <c r="G53" s="46" t="s">
        <v>19</v>
      </c>
      <c r="H53" s="47" t="s">
        <v>20</v>
      </c>
      <c r="I53" s="48" t="s">
        <v>21</v>
      </c>
      <c r="J53" s="48"/>
      <c r="K53" s="49"/>
      <c r="L53" s="50">
        <v>0</v>
      </c>
      <c r="M53" s="50">
        <v>0</v>
      </c>
      <c r="N53" s="50">
        <f t="shared" ref="N53:N56" si="12">+IF(L53&gt;0,M53*100/L53,0)</f>
        <v>0</v>
      </c>
    </row>
    <row r="54" spans="1:14" ht="21.75" customHeight="1" x14ac:dyDescent="0.4">
      <c r="A54" s="42"/>
      <c r="B54" s="43"/>
      <c r="C54" s="43"/>
      <c r="D54" s="51"/>
      <c r="E54" s="45"/>
      <c r="F54" s="45" t="s">
        <v>21</v>
      </c>
      <c r="G54" s="46" t="s">
        <v>22</v>
      </c>
      <c r="H54" s="47" t="s">
        <v>20</v>
      </c>
      <c r="I54" s="48"/>
      <c r="J54" s="48"/>
      <c r="K54" s="49"/>
      <c r="L54" s="50">
        <f t="shared" ref="L54:M54" ca="1" si="13">SUM(L55:L56)</f>
        <v>82440</v>
      </c>
      <c r="M54" s="50">
        <f t="shared" si="13"/>
        <v>0</v>
      </c>
      <c r="N54" s="50">
        <f t="shared" ca="1" si="12"/>
        <v>0</v>
      </c>
    </row>
    <row r="55" spans="1:14" ht="21.75" customHeight="1" x14ac:dyDescent="0.4">
      <c r="A55" s="42"/>
      <c r="B55" s="43"/>
      <c r="C55" s="43"/>
      <c r="D55" s="51"/>
      <c r="E55" s="45"/>
      <c r="F55" s="45"/>
      <c r="G55" s="52" t="s">
        <v>23</v>
      </c>
      <c r="H55" s="47" t="s">
        <v>20</v>
      </c>
      <c r="I55" s="48"/>
      <c r="J55" s="48"/>
      <c r="K55" s="49"/>
      <c r="L55" s="53">
        <f ca="1">IFERROR(__xludf.DUMMYFUNCTION("IMPORTRANGE(""https://docs.google.com/spreadsheets/d/1C3CXT74ZlgGe6_JY_1olB1XN4rF0dxEuIIF-xsYjHgg/edit?usp=sharing"",""พรบ!Y33"")"),0)</f>
        <v>0</v>
      </c>
      <c r="M55" s="53">
        <v>0</v>
      </c>
      <c r="N55" s="53">
        <f t="shared" ca="1" si="12"/>
        <v>0</v>
      </c>
    </row>
    <row r="56" spans="1:14" ht="21.75" customHeight="1" x14ac:dyDescent="0.4">
      <c r="A56" s="42"/>
      <c r="B56" s="43"/>
      <c r="C56" s="43"/>
      <c r="D56" s="51"/>
      <c r="E56" s="45"/>
      <c r="F56" s="45"/>
      <c r="G56" s="52" t="s">
        <v>24</v>
      </c>
      <c r="H56" s="47" t="s">
        <v>20</v>
      </c>
      <c r="I56" s="48"/>
      <c r="J56" s="48"/>
      <c r="K56" s="49"/>
      <c r="L56" s="53">
        <f ca="1">IFERROR(__xludf.DUMMYFUNCTION("IMPORTRANGE(""https://docs.google.com/spreadsheets/d/1C3CXT74ZlgGe6_JY_1olB1XN4rF0dxEuIIF-xsYjHgg/edit?usp=sharing"",""พรบ!Z33"")"),82440)</f>
        <v>82440</v>
      </c>
      <c r="M56" s="54">
        <v>0</v>
      </c>
      <c r="N56" s="53">
        <f t="shared" ca="1" si="12"/>
        <v>0</v>
      </c>
    </row>
    <row r="57" spans="1:14" ht="21.75" customHeight="1" x14ac:dyDescent="0.4">
      <c r="A57" s="55"/>
      <c r="B57" s="56"/>
      <c r="C57" s="43" t="s">
        <v>17</v>
      </c>
      <c r="D57" s="57" t="s">
        <v>250</v>
      </c>
      <c r="E57" s="58"/>
      <c r="F57" s="58"/>
      <c r="G57" s="59"/>
      <c r="H57" s="60"/>
      <c r="I57" s="48"/>
      <c r="J57" s="48"/>
      <c r="K57" s="49"/>
      <c r="L57" s="61"/>
      <c r="M57" s="61"/>
      <c r="N57" s="61"/>
    </row>
    <row r="58" spans="1:14" ht="21.75" customHeight="1" x14ac:dyDescent="0.4">
      <c r="A58" s="55"/>
      <c r="B58" s="56"/>
      <c r="C58" s="56"/>
      <c r="D58" s="62">
        <v>1</v>
      </c>
      <c r="E58" s="63" t="s">
        <v>26</v>
      </c>
      <c r="F58" s="64"/>
      <c r="G58" s="65"/>
      <c r="H58" s="66"/>
      <c r="I58" s="67"/>
      <c r="J58" s="68">
        <v>0</v>
      </c>
      <c r="K58" s="49"/>
      <c r="L58" s="61"/>
      <c r="M58" s="61"/>
      <c r="N58" s="61"/>
    </row>
    <row r="59" spans="1:14" ht="21.75" customHeight="1" x14ac:dyDescent="0.4">
      <c r="A59" s="55"/>
      <c r="B59" s="56"/>
      <c r="C59" s="56"/>
      <c r="D59" s="69">
        <v>2</v>
      </c>
      <c r="E59" s="70" t="s">
        <v>27</v>
      </c>
      <c r="F59" s="71"/>
      <c r="G59" s="72"/>
      <c r="H59" s="66"/>
      <c r="I59" s="67"/>
      <c r="J59" s="68">
        <v>1</v>
      </c>
      <c r="K59" s="49"/>
      <c r="L59" s="61" t="s">
        <v>21</v>
      </c>
      <c r="M59" s="61" t="s">
        <v>21</v>
      </c>
      <c r="N59" s="61"/>
    </row>
    <row r="60" spans="1:14" ht="21.75" customHeight="1" x14ac:dyDescent="0.4">
      <c r="A60" s="55"/>
      <c r="B60" s="56"/>
      <c r="C60" s="56"/>
      <c r="D60" s="73"/>
      <c r="E60" s="74" t="s">
        <v>28</v>
      </c>
      <c r="F60" s="75"/>
      <c r="G60" s="76"/>
      <c r="H60" s="66"/>
      <c r="I60" s="67"/>
      <c r="J60" s="68">
        <v>0</v>
      </c>
      <c r="K60" s="49"/>
      <c r="L60" s="61"/>
      <c r="M60" s="61"/>
      <c r="N60" s="61"/>
    </row>
    <row r="61" spans="1:14" ht="21.75" customHeight="1" x14ac:dyDescent="0.4">
      <c r="A61" s="55"/>
      <c r="B61" s="56"/>
      <c r="C61" s="56"/>
      <c r="D61" s="73"/>
      <c r="E61" s="74" t="s">
        <v>29</v>
      </c>
      <c r="F61" s="75"/>
      <c r="G61" s="76"/>
      <c r="H61" s="66"/>
      <c r="I61" s="67"/>
      <c r="J61" s="68">
        <v>0</v>
      </c>
      <c r="K61" s="49"/>
      <c r="L61" s="61"/>
      <c r="M61" s="61"/>
      <c r="N61" s="61"/>
    </row>
    <row r="62" spans="1:14" ht="21.75" customHeight="1" x14ac:dyDescent="0.4">
      <c r="A62" s="55"/>
      <c r="B62" s="56"/>
      <c r="C62" s="56"/>
      <c r="D62" s="73"/>
      <c r="E62" s="77"/>
      <c r="F62" s="74" t="s">
        <v>50</v>
      </c>
      <c r="G62" s="76"/>
      <c r="H62" s="60" t="s">
        <v>16</v>
      </c>
      <c r="I62" s="67">
        <f ca="1">IFERROR(__xludf.DUMMYFUNCTION("IMPORTRANGE(""https://docs.google.com/spreadsheets/d/1C3CXT74ZlgGe6_JY_1olB1XN4rF0dxEuIIF-xsYjHgg/edit?usp=sharing"",""พรบ!AA33"")"),20)</f>
        <v>20</v>
      </c>
      <c r="J62" s="68">
        <v>0</v>
      </c>
      <c r="K62" s="49">
        <f t="shared" ref="K62:K63" ca="1" si="14">IF(I62&gt;0,J62*100/I62,0)</f>
        <v>0</v>
      </c>
      <c r="L62" s="61"/>
      <c r="M62" s="61"/>
      <c r="N62" s="61"/>
    </row>
    <row r="63" spans="1:14" ht="21.75" customHeight="1" x14ac:dyDescent="0.4">
      <c r="A63" s="55"/>
      <c r="B63" s="56"/>
      <c r="C63" s="56"/>
      <c r="D63" s="73"/>
      <c r="E63" s="77"/>
      <c r="F63" s="74" t="s">
        <v>51</v>
      </c>
      <c r="G63" s="76"/>
      <c r="H63" s="60" t="s">
        <v>16</v>
      </c>
      <c r="I63" s="67">
        <f ca="1">I62</f>
        <v>20</v>
      </c>
      <c r="J63" s="68">
        <v>0</v>
      </c>
      <c r="K63" s="49">
        <f t="shared" ca="1" si="14"/>
        <v>0</v>
      </c>
      <c r="L63" s="61"/>
      <c r="M63" s="61"/>
      <c r="N63" s="61"/>
    </row>
    <row r="64" spans="1:14" ht="21.75" customHeight="1" x14ac:dyDescent="0.4">
      <c r="A64" s="55"/>
      <c r="B64" s="56"/>
      <c r="C64" s="56"/>
      <c r="D64" s="73"/>
      <c r="E64" s="74" t="s">
        <v>35</v>
      </c>
      <c r="F64" s="75"/>
      <c r="G64" s="76"/>
      <c r="H64" s="66"/>
      <c r="I64" s="67"/>
      <c r="J64" s="68">
        <v>0</v>
      </c>
      <c r="K64" s="49"/>
      <c r="L64" s="61"/>
      <c r="M64" s="61"/>
      <c r="N64" s="61"/>
    </row>
    <row r="65" spans="1:14" ht="21.75" customHeight="1" x14ac:dyDescent="0.4">
      <c r="A65" s="105"/>
      <c r="B65" s="106"/>
      <c r="C65" s="106"/>
      <c r="D65" s="107">
        <v>3</v>
      </c>
      <c r="E65" s="108" t="s">
        <v>36</v>
      </c>
      <c r="F65" s="109"/>
      <c r="G65" s="110"/>
      <c r="H65" s="111"/>
      <c r="I65" s="112"/>
      <c r="J65" s="113">
        <v>0</v>
      </c>
      <c r="K65" s="114"/>
      <c r="L65" s="115"/>
      <c r="M65" s="115"/>
      <c r="N65" s="115"/>
    </row>
    <row r="66" spans="1:14" ht="21.75" customHeight="1" x14ac:dyDescent="0.4">
      <c r="A66" s="116" t="s">
        <v>52</v>
      </c>
      <c r="B66" s="117"/>
      <c r="C66" s="117"/>
      <c r="D66" s="117"/>
      <c r="E66" s="118"/>
      <c r="F66" s="118"/>
      <c r="G66" s="119"/>
      <c r="H66" s="120"/>
      <c r="I66" s="121"/>
      <c r="J66" s="121"/>
      <c r="K66" s="122"/>
      <c r="L66" s="123"/>
      <c r="M66" s="123"/>
      <c r="N66" s="123"/>
    </row>
    <row r="67" spans="1:14" ht="21.75" customHeight="1" x14ac:dyDescent="0.4">
      <c r="A67" s="124" t="s">
        <v>53</v>
      </c>
      <c r="B67" s="125"/>
      <c r="C67" s="125"/>
      <c r="D67" s="126"/>
      <c r="E67" s="126"/>
      <c r="F67" s="126"/>
      <c r="G67" s="127"/>
      <c r="H67" s="128"/>
      <c r="I67" s="129"/>
      <c r="J67" s="129"/>
      <c r="K67" s="130"/>
      <c r="L67" s="130"/>
      <c r="M67" s="130"/>
      <c r="N67" s="131"/>
    </row>
    <row r="68" spans="1:14" ht="21.75" customHeight="1" x14ac:dyDescent="0.4">
      <c r="A68" s="132"/>
      <c r="B68" s="133" t="s">
        <v>54</v>
      </c>
      <c r="C68" s="134"/>
      <c r="D68" s="133"/>
      <c r="E68" s="133"/>
      <c r="F68" s="133"/>
      <c r="G68" s="135"/>
      <c r="H68" s="136" t="s">
        <v>16</v>
      </c>
      <c r="I68" s="137">
        <f t="shared" ref="I68:J68" ca="1" si="15">I126+I129</f>
        <v>150</v>
      </c>
      <c r="J68" s="137">
        <f t="shared" si="15"/>
        <v>0</v>
      </c>
      <c r="K68" s="138">
        <f ca="1">IF(I68&gt;0,J68*100/I68,0)</f>
        <v>0</v>
      </c>
      <c r="L68" s="139">
        <f t="shared" ref="L68:M68" ca="1" si="16">SUM(L70:L71)</f>
        <v>1114900</v>
      </c>
      <c r="M68" s="139">
        <f t="shared" si="16"/>
        <v>0</v>
      </c>
      <c r="N68" s="138">
        <f ca="1">IF(L68&gt;0,M68*100/L68,0)</f>
        <v>0</v>
      </c>
    </row>
    <row r="69" spans="1:14" ht="21.75" customHeight="1" x14ac:dyDescent="0.4">
      <c r="A69" s="132"/>
      <c r="B69" s="133" t="s">
        <v>55</v>
      </c>
      <c r="C69" s="134"/>
      <c r="D69" s="133"/>
      <c r="E69" s="133"/>
      <c r="F69" s="133"/>
      <c r="G69" s="135"/>
      <c r="H69" s="136"/>
      <c r="I69" s="137"/>
      <c r="J69" s="137"/>
      <c r="K69" s="138"/>
      <c r="L69" s="139"/>
      <c r="M69" s="139"/>
      <c r="N69" s="138"/>
    </row>
    <row r="70" spans="1:14" ht="21.75" customHeight="1" x14ac:dyDescent="0.4">
      <c r="A70" s="42"/>
      <c r="B70" s="43"/>
      <c r="C70" s="43" t="s">
        <v>17</v>
      </c>
      <c r="D70" s="44" t="s">
        <v>18</v>
      </c>
      <c r="E70" s="45"/>
      <c r="F70" s="45"/>
      <c r="G70" s="46" t="s">
        <v>19</v>
      </c>
      <c r="H70" s="47" t="s">
        <v>20</v>
      </c>
      <c r="I70" s="48" t="s">
        <v>21</v>
      </c>
      <c r="J70" s="48"/>
      <c r="K70" s="49"/>
      <c r="L70" s="50">
        <v>0</v>
      </c>
      <c r="M70" s="50">
        <v>0</v>
      </c>
      <c r="N70" s="50">
        <f t="shared" ref="N70:N77" si="17">+IF(L70&gt;0,M70*100/L70,0)</f>
        <v>0</v>
      </c>
    </row>
    <row r="71" spans="1:14" ht="21.75" customHeight="1" x14ac:dyDescent="0.4">
      <c r="A71" s="42"/>
      <c r="B71" s="43"/>
      <c r="C71" s="43"/>
      <c r="D71" s="51"/>
      <c r="E71" s="45"/>
      <c r="F71" s="45" t="s">
        <v>21</v>
      </c>
      <c r="G71" s="46" t="s">
        <v>22</v>
      </c>
      <c r="H71" s="47" t="s">
        <v>20</v>
      </c>
      <c r="I71" s="48"/>
      <c r="J71" s="48"/>
      <c r="K71" s="49"/>
      <c r="L71" s="50">
        <f ca="1">L72+L73</f>
        <v>1114900</v>
      </c>
      <c r="M71" s="140">
        <f>SUM(M72:M73)</f>
        <v>0</v>
      </c>
      <c r="N71" s="50">
        <f t="shared" ca="1" si="17"/>
        <v>0</v>
      </c>
    </row>
    <row r="72" spans="1:14" ht="21.75" customHeight="1" x14ac:dyDescent="0.4">
      <c r="A72" s="42"/>
      <c r="B72" s="43"/>
      <c r="C72" s="43"/>
      <c r="D72" s="51"/>
      <c r="E72" s="45"/>
      <c r="F72" s="45"/>
      <c r="G72" s="52" t="s">
        <v>23</v>
      </c>
      <c r="H72" s="47" t="s">
        <v>20</v>
      </c>
      <c r="I72" s="48"/>
      <c r="J72" s="48"/>
      <c r="K72" s="49"/>
      <c r="L72" s="53">
        <f ca="1">IFERROR(__xludf.DUMMYFUNCTION("IMPORTRANGE(""https://docs.google.com/spreadsheets/d/1C3CXT74ZlgGe6_JY_1olB1XN4rF0dxEuIIF-xsYjHgg/edit?usp=sharing"",""พรบ!AD33"")"),264000)</f>
        <v>264000</v>
      </c>
      <c r="M72" s="54">
        <v>0</v>
      </c>
      <c r="N72" s="53">
        <f t="shared" ca="1" si="17"/>
        <v>0</v>
      </c>
    </row>
    <row r="73" spans="1:14" ht="21.75" customHeight="1" x14ac:dyDescent="0.4">
      <c r="A73" s="42"/>
      <c r="B73" s="43"/>
      <c r="C73" s="43"/>
      <c r="D73" s="51"/>
      <c r="E73" s="45"/>
      <c r="F73" s="45"/>
      <c r="G73" s="52" t="s">
        <v>24</v>
      </c>
      <c r="H73" s="47" t="s">
        <v>20</v>
      </c>
      <c r="I73" s="48"/>
      <c r="J73" s="48"/>
      <c r="K73" s="49"/>
      <c r="L73" s="53">
        <f t="shared" ref="L73:M73" ca="1" si="18">L77+L92+L104+L117+L132</f>
        <v>850900</v>
      </c>
      <c r="M73" s="53">
        <f t="shared" si="18"/>
        <v>0</v>
      </c>
      <c r="N73" s="53">
        <f t="shared" ca="1" si="17"/>
        <v>0</v>
      </c>
    </row>
    <row r="74" spans="1:14" ht="21.75" customHeight="1" x14ac:dyDescent="0.4">
      <c r="A74" s="141"/>
      <c r="B74" s="142"/>
      <c r="C74" s="143" t="s">
        <v>56</v>
      </c>
      <c r="D74" s="143"/>
      <c r="E74" s="143"/>
      <c r="F74" s="143"/>
      <c r="G74" s="144"/>
      <c r="H74" s="145" t="s">
        <v>57</v>
      </c>
      <c r="I74" s="146">
        <f t="shared" ref="I74:J74" ca="1" si="19">I83</f>
        <v>4</v>
      </c>
      <c r="J74" s="146">
        <f t="shared" si="19"/>
        <v>0</v>
      </c>
      <c r="K74" s="147">
        <f ca="1">IF(I74&gt;0,J74*100/I74,0)</f>
        <v>0</v>
      </c>
      <c r="L74" s="148">
        <f ca="1">L75+L76</f>
        <v>7500</v>
      </c>
      <c r="M74" s="148">
        <f>SUM(M75:M76)</f>
        <v>0</v>
      </c>
      <c r="N74" s="148">
        <f t="shared" ca="1" si="17"/>
        <v>0</v>
      </c>
    </row>
    <row r="75" spans="1:14" ht="21.75" customHeight="1" x14ac:dyDescent="0.4">
      <c r="A75" s="42"/>
      <c r="B75" s="43"/>
      <c r="C75" s="43" t="s">
        <v>17</v>
      </c>
      <c r="D75" s="44" t="s">
        <v>18</v>
      </c>
      <c r="E75" s="45"/>
      <c r="F75" s="45"/>
      <c r="G75" s="46" t="s">
        <v>19</v>
      </c>
      <c r="H75" s="47" t="s">
        <v>20</v>
      </c>
      <c r="I75" s="48" t="s">
        <v>21</v>
      </c>
      <c r="J75" s="48"/>
      <c r="K75" s="49"/>
      <c r="L75" s="50">
        <v>0</v>
      </c>
      <c r="M75" s="50">
        <v>0</v>
      </c>
      <c r="N75" s="50">
        <f t="shared" si="17"/>
        <v>0</v>
      </c>
    </row>
    <row r="76" spans="1:14" ht="21.75" customHeight="1" x14ac:dyDescent="0.4">
      <c r="A76" s="42"/>
      <c r="B76" s="43"/>
      <c r="C76" s="43"/>
      <c r="D76" s="51"/>
      <c r="E76" s="45"/>
      <c r="F76" s="45" t="s">
        <v>21</v>
      </c>
      <c r="G76" s="46" t="s">
        <v>22</v>
      </c>
      <c r="H76" s="47" t="s">
        <v>20</v>
      </c>
      <c r="I76" s="48"/>
      <c r="J76" s="48"/>
      <c r="K76" s="49"/>
      <c r="L76" s="50">
        <f t="shared" ref="L76:M76" ca="1" si="20">L77</f>
        <v>7500</v>
      </c>
      <c r="M76" s="50">
        <f t="shared" si="20"/>
        <v>0</v>
      </c>
      <c r="N76" s="50">
        <f t="shared" ca="1" si="17"/>
        <v>0</v>
      </c>
    </row>
    <row r="77" spans="1:14" ht="21.75" customHeight="1" x14ac:dyDescent="0.4">
      <c r="A77" s="42"/>
      <c r="B77" s="43"/>
      <c r="C77" s="43"/>
      <c r="D77" s="51"/>
      <c r="E77" s="45"/>
      <c r="F77" s="45"/>
      <c r="G77" s="52" t="s">
        <v>24</v>
      </c>
      <c r="H77" s="47" t="s">
        <v>20</v>
      </c>
      <c r="I77" s="48"/>
      <c r="J77" s="48"/>
      <c r="K77" s="49"/>
      <c r="L77" s="53">
        <f ca="1">IFERROR(__xludf.DUMMYFUNCTION("IMPORTRANGE(""https://docs.google.com/spreadsheets/d/1C3CXT74ZlgGe6_JY_1olB1XN4rF0dxEuIIF-xsYjHgg/edit?usp=sharing"",""พรบ!AF33"")"),7500)</f>
        <v>7500</v>
      </c>
      <c r="M77" s="54">
        <v>0</v>
      </c>
      <c r="N77" s="53">
        <f t="shared" ca="1" si="17"/>
        <v>0</v>
      </c>
    </row>
    <row r="78" spans="1:14" ht="21.75" customHeight="1" x14ac:dyDescent="0.4">
      <c r="A78" s="55"/>
      <c r="B78" s="56"/>
      <c r="C78" s="43" t="s">
        <v>17</v>
      </c>
      <c r="D78" s="57" t="s">
        <v>25</v>
      </c>
      <c r="E78" s="58"/>
      <c r="F78" s="58"/>
      <c r="G78" s="59"/>
      <c r="H78" s="60"/>
      <c r="I78" s="48"/>
      <c r="J78" s="48"/>
      <c r="K78" s="49"/>
      <c r="L78" s="61"/>
      <c r="M78" s="61"/>
      <c r="N78" s="61"/>
    </row>
    <row r="79" spans="1:14" ht="21.75" customHeight="1" x14ac:dyDescent="0.4">
      <c r="A79" s="55"/>
      <c r="B79" s="56"/>
      <c r="C79" s="56"/>
      <c r="D79" s="62">
        <v>1</v>
      </c>
      <c r="E79" s="63" t="s">
        <v>26</v>
      </c>
      <c r="F79" s="64"/>
      <c r="G79" s="65"/>
      <c r="H79" s="66"/>
      <c r="I79" s="67"/>
      <c r="J79" s="68">
        <v>0</v>
      </c>
      <c r="K79" s="49"/>
      <c r="L79" s="61"/>
      <c r="M79" s="61"/>
      <c r="N79" s="61"/>
    </row>
    <row r="80" spans="1:14" ht="21.75" customHeight="1" x14ac:dyDescent="0.4">
      <c r="A80" s="55"/>
      <c r="B80" s="56"/>
      <c r="C80" s="56"/>
      <c r="D80" s="69">
        <v>2</v>
      </c>
      <c r="E80" s="70" t="s">
        <v>27</v>
      </c>
      <c r="F80" s="71"/>
      <c r="G80" s="72"/>
      <c r="H80" s="66"/>
      <c r="I80" s="67"/>
      <c r="J80" s="68">
        <v>1</v>
      </c>
      <c r="K80" s="49"/>
      <c r="L80" s="61" t="s">
        <v>21</v>
      </c>
      <c r="M80" s="61" t="s">
        <v>21</v>
      </c>
      <c r="N80" s="61"/>
    </row>
    <row r="81" spans="1:14" ht="21.75" customHeight="1" x14ac:dyDescent="0.4">
      <c r="A81" s="55"/>
      <c r="B81" s="56"/>
      <c r="C81" s="56"/>
      <c r="D81" s="73"/>
      <c r="E81" s="74" t="s">
        <v>28</v>
      </c>
      <c r="F81" s="75"/>
      <c r="G81" s="76"/>
      <c r="H81" s="66"/>
      <c r="I81" s="67"/>
      <c r="J81" s="68">
        <v>0</v>
      </c>
      <c r="K81" s="49"/>
      <c r="L81" s="61"/>
      <c r="M81" s="61"/>
      <c r="N81" s="61"/>
    </row>
    <row r="82" spans="1:14" ht="21.75" customHeight="1" x14ac:dyDescent="0.4">
      <c r="A82" s="55"/>
      <c r="B82" s="56"/>
      <c r="C82" s="56"/>
      <c r="D82" s="73"/>
      <c r="E82" s="74" t="s">
        <v>29</v>
      </c>
      <c r="F82" s="75"/>
      <c r="G82" s="76"/>
      <c r="H82" s="66"/>
      <c r="I82" s="67"/>
      <c r="J82" s="68">
        <v>0</v>
      </c>
      <c r="K82" s="49"/>
      <c r="L82" s="61"/>
      <c r="M82" s="61"/>
      <c r="N82" s="61"/>
    </row>
    <row r="83" spans="1:14" ht="21.75" customHeight="1" x14ac:dyDescent="0.4">
      <c r="A83" s="55"/>
      <c r="B83" s="56"/>
      <c r="C83" s="56"/>
      <c r="D83" s="73"/>
      <c r="E83" s="77"/>
      <c r="F83" s="74" t="s">
        <v>58</v>
      </c>
      <c r="G83" s="76"/>
      <c r="H83" s="60" t="s">
        <v>57</v>
      </c>
      <c r="I83" s="67">
        <f ca="1">IFERROR(__xludf.DUMMYFUNCTION("IMPORTRANGE(""https://docs.google.com/spreadsheets/d/1C3CXT74ZlgGe6_JY_1olB1XN4rF0dxEuIIF-xsYjHgg/edit?usp=sharing"",""พรบ!AG33"")"),4)</f>
        <v>4</v>
      </c>
      <c r="J83" s="68">
        <v>0</v>
      </c>
      <c r="K83" s="49">
        <f ca="1">IF(I83&gt;0,J83*100/I83,0)</f>
        <v>0</v>
      </c>
      <c r="L83" s="61"/>
      <c r="M83" s="61"/>
      <c r="N83" s="61"/>
    </row>
    <row r="84" spans="1:14" ht="21.75" customHeight="1" x14ac:dyDescent="0.4">
      <c r="A84" s="55"/>
      <c r="B84" s="56"/>
      <c r="C84" s="56"/>
      <c r="D84" s="73"/>
      <c r="E84" s="75"/>
      <c r="F84" s="75" t="s">
        <v>59</v>
      </c>
      <c r="G84" s="76"/>
      <c r="H84" s="66" t="s">
        <v>16</v>
      </c>
      <c r="I84" s="67"/>
      <c r="J84" s="67">
        <f>J85+J86</f>
        <v>0</v>
      </c>
      <c r="K84" s="49"/>
      <c r="L84" s="61"/>
      <c r="M84" s="61"/>
      <c r="N84" s="61"/>
    </row>
    <row r="85" spans="1:14" ht="21.75" customHeight="1" x14ac:dyDescent="0.4">
      <c r="A85" s="55"/>
      <c r="B85" s="56"/>
      <c r="C85" s="56"/>
      <c r="D85" s="73"/>
      <c r="E85" s="75"/>
      <c r="F85" s="75"/>
      <c r="G85" s="76" t="s">
        <v>60</v>
      </c>
      <c r="H85" s="66" t="s">
        <v>16</v>
      </c>
      <c r="I85" s="67"/>
      <c r="J85" s="68">
        <v>0</v>
      </c>
      <c r="K85" s="49"/>
      <c r="L85" s="61"/>
      <c r="M85" s="61"/>
      <c r="N85" s="61"/>
    </row>
    <row r="86" spans="1:14" ht="21.75" customHeight="1" x14ac:dyDescent="0.4">
      <c r="A86" s="55"/>
      <c r="B86" s="56"/>
      <c r="C86" s="56"/>
      <c r="D86" s="73"/>
      <c r="E86" s="75"/>
      <c r="F86" s="75"/>
      <c r="G86" s="76" t="s">
        <v>61</v>
      </c>
      <c r="H86" s="66" t="s">
        <v>16</v>
      </c>
      <c r="I86" s="67"/>
      <c r="J86" s="68">
        <v>0</v>
      </c>
      <c r="K86" s="49"/>
      <c r="L86" s="61"/>
      <c r="M86" s="61"/>
      <c r="N86" s="61"/>
    </row>
    <row r="87" spans="1:14" ht="21.75" customHeight="1" x14ac:dyDescent="0.4">
      <c r="A87" s="55"/>
      <c r="B87" s="56"/>
      <c r="C87" s="56"/>
      <c r="D87" s="73"/>
      <c r="E87" s="74" t="s">
        <v>35</v>
      </c>
      <c r="F87" s="75"/>
      <c r="G87" s="76"/>
      <c r="H87" s="66"/>
      <c r="I87" s="67"/>
      <c r="J87" s="68">
        <v>0</v>
      </c>
      <c r="K87" s="49"/>
      <c r="L87" s="61"/>
      <c r="M87" s="61"/>
      <c r="N87" s="61"/>
    </row>
    <row r="88" spans="1:14" ht="21.75" customHeight="1" x14ac:dyDescent="0.4">
      <c r="A88" s="55"/>
      <c r="B88" s="56"/>
      <c r="C88" s="56"/>
      <c r="D88" s="81">
        <v>3</v>
      </c>
      <c r="E88" s="82" t="s">
        <v>36</v>
      </c>
      <c r="F88" s="83"/>
      <c r="G88" s="84"/>
      <c r="H88" s="66"/>
      <c r="I88" s="67"/>
      <c r="J88" s="85">
        <v>0</v>
      </c>
      <c r="K88" s="49"/>
      <c r="L88" s="61"/>
      <c r="M88" s="61"/>
      <c r="N88" s="61"/>
    </row>
    <row r="89" spans="1:14" ht="21.75" customHeight="1" x14ac:dyDescent="0.4">
      <c r="A89" s="141"/>
      <c r="B89" s="142"/>
      <c r="C89" s="143" t="s">
        <v>62</v>
      </c>
      <c r="D89" s="143"/>
      <c r="E89" s="143"/>
      <c r="F89" s="143"/>
      <c r="G89" s="144"/>
      <c r="H89" s="149" t="s">
        <v>63</v>
      </c>
      <c r="I89" s="150">
        <f t="shared" ref="I89:J89" ca="1" si="21">I98</f>
        <v>2</v>
      </c>
      <c r="J89" s="150">
        <f t="shared" si="21"/>
        <v>0</v>
      </c>
      <c r="K89" s="151">
        <f ca="1">IF(I89&gt;0,J89*100/I89,0)</f>
        <v>0</v>
      </c>
      <c r="L89" s="148">
        <f ca="1">L90+L91</f>
        <v>28000</v>
      </c>
      <c r="M89" s="148">
        <f>SUM(M90:M91)</f>
        <v>0</v>
      </c>
      <c r="N89" s="148">
        <f t="shared" ref="N89:N92" ca="1" si="22">+IF(L89&gt;0,M89*100/L89,0)</f>
        <v>0</v>
      </c>
    </row>
    <row r="90" spans="1:14" ht="21.75" customHeight="1" x14ac:dyDescent="0.4">
      <c r="A90" s="42"/>
      <c r="B90" s="43"/>
      <c r="C90" s="43" t="s">
        <v>17</v>
      </c>
      <c r="D90" s="44" t="s">
        <v>18</v>
      </c>
      <c r="E90" s="45"/>
      <c r="F90" s="45"/>
      <c r="G90" s="46" t="s">
        <v>19</v>
      </c>
      <c r="H90" s="47" t="s">
        <v>20</v>
      </c>
      <c r="I90" s="48" t="s">
        <v>21</v>
      </c>
      <c r="J90" s="48"/>
      <c r="K90" s="49"/>
      <c r="L90" s="50">
        <v>0</v>
      </c>
      <c r="M90" s="50">
        <v>0</v>
      </c>
      <c r="N90" s="50">
        <f t="shared" si="22"/>
        <v>0</v>
      </c>
    </row>
    <row r="91" spans="1:14" ht="21.75" customHeight="1" x14ac:dyDescent="0.4">
      <c r="A91" s="42"/>
      <c r="B91" s="43"/>
      <c r="C91" s="43"/>
      <c r="D91" s="51"/>
      <c r="E91" s="45"/>
      <c r="F91" s="45" t="s">
        <v>21</v>
      </c>
      <c r="G91" s="46" t="s">
        <v>22</v>
      </c>
      <c r="H91" s="47" t="s">
        <v>20</v>
      </c>
      <c r="I91" s="48"/>
      <c r="J91" s="48"/>
      <c r="K91" s="49"/>
      <c r="L91" s="50">
        <f t="shared" ref="L91:M91" ca="1" si="23">L92</f>
        <v>28000</v>
      </c>
      <c r="M91" s="50">
        <f t="shared" si="23"/>
        <v>0</v>
      </c>
      <c r="N91" s="50">
        <f t="shared" ca="1" si="22"/>
        <v>0</v>
      </c>
    </row>
    <row r="92" spans="1:14" ht="21.75" customHeight="1" x14ac:dyDescent="0.4">
      <c r="A92" s="42"/>
      <c r="B92" s="43"/>
      <c r="C92" s="43"/>
      <c r="D92" s="51"/>
      <c r="E92" s="45"/>
      <c r="F92" s="45"/>
      <c r="G92" s="52" t="s">
        <v>24</v>
      </c>
      <c r="H92" s="47" t="s">
        <v>20</v>
      </c>
      <c r="I92" s="48"/>
      <c r="J92" s="48"/>
      <c r="K92" s="49"/>
      <c r="L92" s="53">
        <f ca="1">IFERROR(__xludf.DUMMYFUNCTION("IMPORTRANGE(""https://docs.google.com/spreadsheets/d/1C3CXT74ZlgGe6_JY_1olB1XN4rF0dxEuIIF-xsYjHgg/edit?usp=sharing"",""พรบ!AH33"")"),28000)</f>
        <v>28000</v>
      </c>
      <c r="M92" s="54">
        <v>0</v>
      </c>
      <c r="N92" s="53">
        <f t="shared" ca="1" si="22"/>
        <v>0</v>
      </c>
    </row>
    <row r="93" spans="1:14" ht="21.75" customHeight="1" x14ac:dyDescent="0.4">
      <c r="A93" s="55"/>
      <c r="B93" s="56"/>
      <c r="C93" s="43" t="s">
        <v>17</v>
      </c>
      <c r="D93" s="57" t="s">
        <v>25</v>
      </c>
      <c r="E93" s="58"/>
      <c r="F93" s="58"/>
      <c r="G93" s="59"/>
      <c r="H93" s="60"/>
      <c r="I93" s="48"/>
      <c r="J93" s="48"/>
      <c r="K93" s="49"/>
      <c r="L93" s="61"/>
      <c r="M93" s="61"/>
      <c r="N93" s="61"/>
    </row>
    <row r="94" spans="1:14" ht="21.75" customHeight="1" x14ac:dyDescent="0.4">
      <c r="A94" s="55"/>
      <c r="B94" s="56"/>
      <c r="C94" s="56"/>
      <c r="D94" s="62">
        <v>1</v>
      </c>
      <c r="E94" s="63" t="s">
        <v>26</v>
      </c>
      <c r="F94" s="64"/>
      <c r="G94" s="65"/>
      <c r="H94" s="66"/>
      <c r="I94" s="67"/>
      <c r="J94" s="68">
        <v>1</v>
      </c>
      <c r="K94" s="49"/>
      <c r="L94" s="61"/>
      <c r="M94" s="61"/>
      <c r="N94" s="61"/>
    </row>
    <row r="95" spans="1:14" ht="21.75" customHeight="1" x14ac:dyDescent="0.4">
      <c r="A95" s="55"/>
      <c r="B95" s="56"/>
      <c r="C95" s="56"/>
      <c r="D95" s="69">
        <v>2</v>
      </c>
      <c r="E95" s="70" t="s">
        <v>27</v>
      </c>
      <c r="F95" s="71"/>
      <c r="G95" s="72"/>
      <c r="H95" s="66"/>
      <c r="I95" s="67"/>
      <c r="J95" s="68">
        <v>0</v>
      </c>
      <c r="K95" s="49"/>
      <c r="L95" s="61" t="s">
        <v>21</v>
      </c>
      <c r="M95" s="61" t="s">
        <v>21</v>
      </c>
      <c r="N95" s="61"/>
    </row>
    <row r="96" spans="1:14" ht="21.75" customHeight="1" x14ac:dyDescent="0.4">
      <c r="A96" s="55"/>
      <c r="B96" s="56"/>
      <c r="C96" s="56"/>
      <c r="D96" s="73"/>
      <c r="E96" s="74" t="s">
        <v>28</v>
      </c>
      <c r="F96" s="75"/>
      <c r="G96" s="76"/>
      <c r="H96" s="66"/>
      <c r="I96" s="67"/>
      <c r="J96" s="68">
        <v>0</v>
      </c>
      <c r="K96" s="49"/>
      <c r="L96" s="61"/>
      <c r="M96" s="61"/>
      <c r="N96" s="61"/>
    </row>
    <row r="97" spans="1:14" ht="21.75" customHeight="1" x14ac:dyDescent="0.4">
      <c r="A97" s="55"/>
      <c r="B97" s="56"/>
      <c r="C97" s="56"/>
      <c r="D97" s="73"/>
      <c r="E97" s="74" t="s">
        <v>29</v>
      </c>
      <c r="F97" s="75"/>
      <c r="G97" s="76"/>
      <c r="H97" s="66"/>
      <c r="I97" s="67"/>
      <c r="J97" s="68">
        <v>0</v>
      </c>
      <c r="K97" s="49"/>
      <c r="L97" s="61"/>
      <c r="M97" s="61"/>
      <c r="N97" s="61"/>
    </row>
    <row r="98" spans="1:14" ht="21.75" customHeight="1" x14ac:dyDescent="0.4">
      <c r="A98" s="55"/>
      <c r="B98" s="56"/>
      <c r="C98" s="56"/>
      <c r="D98" s="73"/>
      <c r="E98" s="77"/>
      <c r="F98" s="74" t="s">
        <v>64</v>
      </c>
      <c r="G98" s="76"/>
      <c r="H98" s="60" t="s">
        <v>63</v>
      </c>
      <c r="I98" s="67">
        <f ca="1">IFERROR(__xludf.DUMMYFUNCTION("IMPORTRANGE(""https://docs.google.com/spreadsheets/d/1C3CXT74ZlgGe6_JY_1olB1XN4rF0dxEuIIF-xsYjHgg/edit?usp=sharing"",""พรบ!AI33"")"),2)</f>
        <v>2</v>
      </c>
      <c r="J98" s="68">
        <v>0</v>
      </c>
      <c r="K98" s="49">
        <f ca="1">IF(I98&gt;0,J98*100/I98,0)</f>
        <v>0</v>
      </c>
      <c r="L98" s="53">
        <f ca="1">IFERROR(__xludf.DUMMYFUNCTION("IMPORTRANGE(""https://docs.google.com/spreadsheets/d/1C3CXT74ZlgGe6_JY_1olB1XN4rF0dxEuIIF-xsYjHgg/edit?usp=sharing"",""กปร!C33"")"),24000)</f>
        <v>24000</v>
      </c>
      <c r="M98" s="359">
        <v>0</v>
      </c>
      <c r="N98" s="53">
        <f ca="1">+IF(L98&gt;0,M98*100/L98,0)</f>
        <v>0</v>
      </c>
    </row>
    <row r="99" spans="1:14" ht="21.75" customHeight="1" x14ac:dyDescent="0.4">
      <c r="A99" s="55"/>
      <c r="B99" s="56"/>
      <c r="C99" s="56"/>
      <c r="D99" s="73"/>
      <c r="E99" s="74" t="s">
        <v>35</v>
      </c>
      <c r="F99" s="75"/>
      <c r="G99" s="76"/>
      <c r="H99" s="66"/>
      <c r="I99" s="67"/>
      <c r="J99" s="68">
        <v>0</v>
      </c>
      <c r="K99" s="49"/>
      <c r="L99" s="61"/>
      <c r="M99" s="61"/>
      <c r="N99" s="61"/>
    </row>
    <row r="100" spans="1:14" ht="21.75" customHeight="1" x14ac:dyDescent="0.4">
      <c r="A100" s="55"/>
      <c r="B100" s="56"/>
      <c r="C100" s="56"/>
      <c r="D100" s="81">
        <v>3</v>
      </c>
      <c r="E100" s="82" t="s">
        <v>36</v>
      </c>
      <c r="F100" s="83"/>
      <c r="G100" s="84"/>
      <c r="H100" s="66"/>
      <c r="I100" s="67"/>
      <c r="J100" s="85">
        <v>0</v>
      </c>
      <c r="K100" s="49"/>
      <c r="L100" s="61"/>
      <c r="M100" s="61"/>
      <c r="N100" s="61"/>
    </row>
    <row r="101" spans="1:14" ht="21.75" customHeight="1" x14ac:dyDescent="0.4">
      <c r="A101" s="141"/>
      <c r="B101" s="142"/>
      <c r="C101" s="143" t="s">
        <v>65</v>
      </c>
      <c r="D101" s="143"/>
      <c r="E101" s="143"/>
      <c r="F101" s="143"/>
      <c r="G101" s="144"/>
      <c r="H101" s="149" t="s">
        <v>63</v>
      </c>
      <c r="I101" s="150">
        <f t="shared" ref="I101:J101" ca="1" si="24">I111</f>
        <v>0</v>
      </c>
      <c r="J101" s="150">
        <f t="shared" si="24"/>
        <v>0</v>
      </c>
      <c r="K101" s="151">
        <f ca="1">IF(I101&gt;0,J101*100/I101,0)</f>
        <v>0</v>
      </c>
      <c r="L101" s="148">
        <f ca="1">L102+L103</f>
        <v>0</v>
      </c>
      <c r="M101" s="148">
        <f>SUM(M102:M103)</f>
        <v>0</v>
      </c>
      <c r="N101" s="148">
        <f t="shared" ref="N101:N104" ca="1" si="25">+IF(L101&gt;0,M101*100/L101,0)</f>
        <v>0</v>
      </c>
    </row>
    <row r="102" spans="1:14" ht="21.75" customHeight="1" x14ac:dyDescent="0.4">
      <c r="A102" s="42"/>
      <c r="B102" s="43"/>
      <c r="C102" s="43" t="s">
        <v>17</v>
      </c>
      <c r="D102" s="44" t="s">
        <v>18</v>
      </c>
      <c r="E102" s="45"/>
      <c r="F102" s="45"/>
      <c r="G102" s="46" t="s">
        <v>19</v>
      </c>
      <c r="H102" s="47" t="s">
        <v>20</v>
      </c>
      <c r="I102" s="48" t="s">
        <v>21</v>
      </c>
      <c r="J102" s="48"/>
      <c r="K102" s="49"/>
      <c r="L102" s="50">
        <v>0</v>
      </c>
      <c r="M102" s="50">
        <v>0</v>
      </c>
      <c r="N102" s="50">
        <f t="shared" si="25"/>
        <v>0</v>
      </c>
    </row>
    <row r="103" spans="1:14" ht="21.75" customHeight="1" x14ac:dyDescent="0.4">
      <c r="A103" s="42"/>
      <c r="B103" s="43"/>
      <c r="C103" s="43"/>
      <c r="D103" s="51"/>
      <c r="E103" s="45"/>
      <c r="F103" s="45" t="s">
        <v>21</v>
      </c>
      <c r="G103" s="46" t="s">
        <v>22</v>
      </c>
      <c r="H103" s="47" t="s">
        <v>20</v>
      </c>
      <c r="I103" s="48"/>
      <c r="J103" s="48"/>
      <c r="K103" s="49"/>
      <c r="L103" s="50">
        <f ca="1">SUM(L104)</f>
        <v>0</v>
      </c>
      <c r="M103" s="50">
        <f>M104</f>
        <v>0</v>
      </c>
      <c r="N103" s="50">
        <f t="shared" ca="1" si="25"/>
        <v>0</v>
      </c>
    </row>
    <row r="104" spans="1:14" ht="21.75" customHeight="1" x14ac:dyDescent="0.4">
      <c r="A104" s="42"/>
      <c r="B104" s="43"/>
      <c r="C104" s="43"/>
      <c r="D104" s="51"/>
      <c r="E104" s="45"/>
      <c r="F104" s="45"/>
      <c r="G104" s="52" t="s">
        <v>24</v>
      </c>
      <c r="H104" s="47" t="s">
        <v>20</v>
      </c>
      <c r="I104" s="48"/>
      <c r="J104" s="48"/>
      <c r="K104" s="49"/>
      <c r="L104" s="53">
        <f ca="1">IFERROR(__xludf.DUMMYFUNCTION("IMPORTRANGE(""https://docs.google.com/spreadsheets/d/1C3CXT74ZlgGe6_JY_1olB1XN4rF0dxEuIIF-xsYjHgg/edit?usp=sharing"",""พรบ!AJ33"")"),0)</f>
        <v>0</v>
      </c>
      <c r="M104" s="54">
        <v>0</v>
      </c>
      <c r="N104" s="53">
        <f t="shared" ca="1" si="25"/>
        <v>0</v>
      </c>
    </row>
    <row r="105" spans="1:14" ht="21.75" customHeight="1" x14ac:dyDescent="0.4">
      <c r="A105" s="55"/>
      <c r="B105" s="56"/>
      <c r="C105" s="43" t="s">
        <v>17</v>
      </c>
      <c r="D105" s="57" t="s">
        <v>25</v>
      </c>
      <c r="E105" s="58"/>
      <c r="F105" s="58"/>
      <c r="G105" s="59"/>
      <c r="H105" s="60"/>
      <c r="I105" s="48"/>
      <c r="J105" s="48"/>
      <c r="K105" s="49"/>
      <c r="L105" s="61"/>
      <c r="M105" s="61"/>
      <c r="N105" s="61"/>
    </row>
    <row r="106" spans="1:14" ht="21.75" customHeight="1" x14ac:dyDescent="0.4">
      <c r="A106" s="55"/>
      <c r="B106" s="56"/>
      <c r="C106" s="56"/>
      <c r="D106" s="62">
        <v>1</v>
      </c>
      <c r="E106" s="63" t="s">
        <v>26</v>
      </c>
      <c r="F106" s="64"/>
      <c r="G106" s="65"/>
      <c r="H106" s="66"/>
      <c r="I106" s="67"/>
      <c r="J106" s="68">
        <v>0</v>
      </c>
      <c r="K106" s="49"/>
      <c r="L106" s="61"/>
      <c r="M106" s="61"/>
      <c r="N106" s="61"/>
    </row>
    <row r="107" spans="1:14" ht="21.75" customHeight="1" x14ac:dyDescent="0.4">
      <c r="A107" s="55"/>
      <c r="B107" s="56"/>
      <c r="C107" s="56"/>
      <c r="D107" s="69">
        <v>2</v>
      </c>
      <c r="E107" s="70" t="s">
        <v>27</v>
      </c>
      <c r="F107" s="71"/>
      <c r="G107" s="72"/>
      <c r="H107" s="66"/>
      <c r="I107" s="67"/>
      <c r="J107" s="68">
        <v>0</v>
      </c>
      <c r="K107" s="49"/>
      <c r="L107" s="61" t="s">
        <v>21</v>
      </c>
      <c r="M107" s="61" t="s">
        <v>21</v>
      </c>
      <c r="N107" s="61"/>
    </row>
    <row r="108" spans="1:14" ht="21.75" customHeight="1" x14ac:dyDescent="0.4">
      <c r="A108" s="55"/>
      <c r="B108" s="56"/>
      <c r="C108" s="56"/>
      <c r="D108" s="73"/>
      <c r="E108" s="74" t="s">
        <v>28</v>
      </c>
      <c r="F108" s="75"/>
      <c r="G108" s="76"/>
      <c r="H108" s="66"/>
      <c r="I108" s="67"/>
      <c r="J108" s="68">
        <v>0</v>
      </c>
      <c r="K108" s="49"/>
      <c r="L108" s="61"/>
      <c r="M108" s="61"/>
      <c r="N108" s="61"/>
    </row>
    <row r="109" spans="1:14" ht="21.75" customHeight="1" x14ac:dyDescent="0.4">
      <c r="A109" s="55"/>
      <c r="B109" s="56"/>
      <c r="C109" s="56"/>
      <c r="D109" s="73"/>
      <c r="E109" s="74" t="s">
        <v>29</v>
      </c>
      <c r="F109" s="75"/>
      <c r="G109" s="76"/>
      <c r="H109" s="66"/>
      <c r="I109" s="67"/>
      <c r="J109" s="68">
        <v>0</v>
      </c>
      <c r="K109" s="49"/>
      <c r="L109" s="61"/>
      <c r="M109" s="61"/>
      <c r="N109" s="61"/>
    </row>
    <row r="110" spans="1:14" ht="21.75" customHeight="1" x14ac:dyDescent="0.4">
      <c r="A110" s="55"/>
      <c r="B110" s="56"/>
      <c r="C110" s="56"/>
      <c r="D110" s="73"/>
      <c r="E110" s="77"/>
      <c r="F110" s="74" t="s">
        <v>66</v>
      </c>
      <c r="G110" s="76"/>
      <c r="H110" s="60" t="s">
        <v>63</v>
      </c>
      <c r="I110" s="67">
        <f ca="1">IFERROR(__xludf.DUMMYFUNCTION("IMPORTRANGE(""https://docs.google.com/spreadsheets/d/1C3CXT74ZlgGe6_JY_1olB1XN4rF0dxEuIIF-xsYjHgg/edit?usp=sharing"",""พรบ!AK33"")"),0)</f>
        <v>0</v>
      </c>
      <c r="J110" s="68">
        <v>0</v>
      </c>
      <c r="K110" s="49">
        <f t="shared" ref="K110:K111" ca="1" si="26">IF(I110&gt;0,J110*100/I110,0)</f>
        <v>0</v>
      </c>
      <c r="L110" s="53">
        <f ca="1">IFERROR(__xludf.DUMMYFUNCTION("IMPORTRANGE(""https://docs.google.com/spreadsheets/d/1C3CXT74ZlgGe6_JY_1olB1XN4rF0dxEuIIF-xsYjHgg/edit?usp=sharing"",""กปร!D33"")"),0)</f>
        <v>0</v>
      </c>
      <c r="M110" s="53">
        <v>0</v>
      </c>
      <c r="N110" s="53">
        <f t="shared" ref="N110:N111" ca="1" si="27">+IF(L110&gt;0,M110*100/L110,0)</f>
        <v>0</v>
      </c>
    </row>
    <row r="111" spans="1:14" ht="21.75" customHeight="1" x14ac:dyDescent="0.4">
      <c r="A111" s="55"/>
      <c r="B111" s="56"/>
      <c r="C111" s="56"/>
      <c r="D111" s="73"/>
      <c r="E111" s="77"/>
      <c r="F111" s="74" t="s">
        <v>67</v>
      </c>
      <c r="G111" s="76"/>
      <c r="H111" s="60" t="s">
        <v>63</v>
      </c>
      <c r="I111" s="67">
        <f ca="1">IFERROR(__xludf.DUMMYFUNCTION("IMPORTRANGE(""https://docs.google.com/spreadsheets/d/1C3CXT74ZlgGe6_JY_1olB1XN4rF0dxEuIIF-xsYjHgg/edit?usp=sharing"",""พรบ!AL33"")"),0)</f>
        <v>0</v>
      </c>
      <c r="J111" s="68">
        <v>0</v>
      </c>
      <c r="K111" s="49">
        <f t="shared" ca="1" si="26"/>
        <v>0</v>
      </c>
      <c r="L111" s="53">
        <f ca="1">IFERROR(__xludf.DUMMYFUNCTION("IMPORTRANGE(""https://docs.google.com/spreadsheets/d/1C3CXT74ZlgGe6_JY_1olB1XN4rF0dxEuIIF-xsYjHgg/edit?usp=sharing"",""กปร!E33"")"),0)</f>
        <v>0</v>
      </c>
      <c r="M111" s="53">
        <v>0</v>
      </c>
      <c r="N111" s="53">
        <f t="shared" ca="1" si="27"/>
        <v>0</v>
      </c>
    </row>
    <row r="112" spans="1:14" ht="21.75" customHeight="1" x14ac:dyDescent="0.4">
      <c r="A112" s="55"/>
      <c r="B112" s="56"/>
      <c r="C112" s="56"/>
      <c r="D112" s="73"/>
      <c r="E112" s="74" t="s">
        <v>35</v>
      </c>
      <c r="F112" s="75"/>
      <c r="G112" s="76"/>
      <c r="H112" s="66"/>
      <c r="I112" s="67"/>
      <c r="J112" s="68">
        <v>0</v>
      </c>
      <c r="K112" s="49"/>
      <c r="L112" s="61"/>
      <c r="M112" s="61"/>
      <c r="N112" s="61"/>
    </row>
    <row r="113" spans="1:14" ht="21.75" customHeight="1" x14ac:dyDescent="0.4">
      <c r="A113" s="55"/>
      <c r="B113" s="56"/>
      <c r="C113" s="56"/>
      <c r="D113" s="81">
        <v>3</v>
      </c>
      <c r="E113" s="82" t="s">
        <v>36</v>
      </c>
      <c r="F113" s="83"/>
      <c r="G113" s="84"/>
      <c r="H113" s="66"/>
      <c r="I113" s="67"/>
      <c r="J113" s="85">
        <v>0</v>
      </c>
      <c r="K113" s="49"/>
      <c r="L113" s="61"/>
      <c r="M113" s="61"/>
      <c r="N113" s="61"/>
    </row>
    <row r="114" spans="1:14" ht="21.75" customHeight="1" x14ac:dyDescent="0.4">
      <c r="A114" s="141"/>
      <c r="B114" s="142"/>
      <c r="C114" s="143" t="s">
        <v>68</v>
      </c>
      <c r="D114" s="143"/>
      <c r="E114" s="143"/>
      <c r="F114" s="143"/>
      <c r="G114" s="144"/>
      <c r="H114" s="152" t="s">
        <v>69</v>
      </c>
      <c r="I114" s="150">
        <f t="shared" ref="I114:J114" ca="1" si="28">I125</f>
        <v>100000</v>
      </c>
      <c r="J114" s="150">
        <f t="shared" si="28"/>
        <v>0</v>
      </c>
      <c r="K114" s="151">
        <f ca="1">IF(I114&gt;0,J114*100/I114,0)</f>
        <v>0</v>
      </c>
      <c r="L114" s="148">
        <f ca="1">L115+L116</f>
        <v>34000</v>
      </c>
      <c r="M114" s="148">
        <f>SUM(M115:M116)</f>
        <v>0</v>
      </c>
      <c r="N114" s="148">
        <f t="shared" ref="N114:N117" ca="1" si="29">+IF(L114&gt;0,M114*100/L114,0)</f>
        <v>0</v>
      </c>
    </row>
    <row r="115" spans="1:14" ht="21.75" customHeight="1" x14ac:dyDescent="0.4">
      <c r="A115" s="42"/>
      <c r="B115" s="43"/>
      <c r="C115" s="43" t="s">
        <v>17</v>
      </c>
      <c r="D115" s="44" t="s">
        <v>18</v>
      </c>
      <c r="E115" s="45"/>
      <c r="F115" s="45"/>
      <c r="G115" s="46" t="s">
        <v>19</v>
      </c>
      <c r="H115" s="47" t="s">
        <v>20</v>
      </c>
      <c r="I115" s="48" t="s">
        <v>21</v>
      </c>
      <c r="J115" s="48"/>
      <c r="K115" s="49"/>
      <c r="L115" s="50">
        <v>0</v>
      </c>
      <c r="M115" s="50">
        <v>0</v>
      </c>
      <c r="N115" s="50">
        <f t="shared" si="29"/>
        <v>0</v>
      </c>
    </row>
    <row r="116" spans="1:14" ht="21.75" customHeight="1" x14ac:dyDescent="0.4">
      <c r="A116" s="42"/>
      <c r="B116" s="43"/>
      <c r="C116" s="43"/>
      <c r="D116" s="51"/>
      <c r="E116" s="45"/>
      <c r="F116" s="45" t="s">
        <v>21</v>
      </c>
      <c r="G116" s="46" t="s">
        <v>22</v>
      </c>
      <c r="H116" s="47" t="s">
        <v>20</v>
      </c>
      <c r="I116" s="48"/>
      <c r="J116" s="48"/>
      <c r="K116" s="49"/>
      <c r="L116" s="50">
        <f ca="1">SUM(L117)</f>
        <v>34000</v>
      </c>
      <c r="M116" s="50">
        <f>M117</f>
        <v>0</v>
      </c>
      <c r="N116" s="50">
        <f t="shared" ca="1" si="29"/>
        <v>0</v>
      </c>
    </row>
    <row r="117" spans="1:14" ht="21.75" customHeight="1" x14ac:dyDescent="0.4">
      <c r="A117" s="42"/>
      <c r="B117" s="43"/>
      <c r="C117" s="43"/>
      <c r="D117" s="51"/>
      <c r="E117" s="45"/>
      <c r="F117" s="45"/>
      <c r="G117" s="52" t="s">
        <v>24</v>
      </c>
      <c r="H117" s="47" t="s">
        <v>20</v>
      </c>
      <c r="I117" s="48"/>
      <c r="J117" s="48"/>
      <c r="K117" s="49"/>
      <c r="L117" s="53">
        <f ca="1">IFERROR(__xludf.DUMMYFUNCTION("IMPORTRANGE(""https://docs.google.com/spreadsheets/d/1C3CXT74ZlgGe6_JY_1olB1XN4rF0dxEuIIF-xsYjHgg/edit?usp=sharing"",""พรบ!AM33"")"),34000)</f>
        <v>34000</v>
      </c>
      <c r="M117" s="54">
        <v>0</v>
      </c>
      <c r="N117" s="53">
        <f t="shared" ca="1" si="29"/>
        <v>0</v>
      </c>
    </row>
    <row r="118" spans="1:14" ht="21.75" customHeight="1" x14ac:dyDescent="0.4">
      <c r="A118" s="55"/>
      <c r="B118" s="56"/>
      <c r="C118" s="43" t="s">
        <v>17</v>
      </c>
      <c r="D118" s="57" t="s">
        <v>25</v>
      </c>
      <c r="E118" s="58"/>
      <c r="F118" s="58"/>
      <c r="G118" s="59"/>
      <c r="H118" s="60"/>
      <c r="I118" s="48"/>
      <c r="J118" s="48"/>
      <c r="K118" s="49"/>
      <c r="L118" s="61"/>
      <c r="M118" s="61"/>
      <c r="N118" s="61"/>
    </row>
    <row r="119" spans="1:14" ht="21.75" customHeight="1" x14ac:dyDescent="0.4">
      <c r="A119" s="55"/>
      <c r="B119" s="56"/>
      <c r="C119" s="56"/>
      <c r="D119" s="62">
        <v>1</v>
      </c>
      <c r="E119" s="63" t="s">
        <v>26</v>
      </c>
      <c r="F119" s="64"/>
      <c r="G119" s="65"/>
      <c r="H119" s="66"/>
      <c r="I119" s="67"/>
      <c r="J119" s="68">
        <v>1</v>
      </c>
      <c r="K119" s="49"/>
      <c r="L119" s="61"/>
      <c r="M119" s="61"/>
      <c r="N119" s="61"/>
    </row>
    <row r="120" spans="1:14" ht="21.75" customHeight="1" x14ac:dyDescent="0.4">
      <c r="A120" s="55"/>
      <c r="B120" s="56"/>
      <c r="C120" s="56"/>
      <c r="D120" s="69">
        <v>2</v>
      </c>
      <c r="E120" s="70" t="s">
        <v>27</v>
      </c>
      <c r="F120" s="71"/>
      <c r="G120" s="72"/>
      <c r="H120" s="66"/>
      <c r="I120" s="67"/>
      <c r="J120" s="68">
        <v>0</v>
      </c>
      <c r="K120" s="49"/>
      <c r="L120" s="61" t="s">
        <v>21</v>
      </c>
      <c r="M120" s="61" t="s">
        <v>21</v>
      </c>
      <c r="N120" s="61"/>
    </row>
    <row r="121" spans="1:14" ht="21.75" customHeight="1" x14ac:dyDescent="0.4">
      <c r="A121" s="55"/>
      <c r="B121" s="56"/>
      <c r="C121" s="56"/>
      <c r="D121" s="73"/>
      <c r="E121" s="74" t="s">
        <v>28</v>
      </c>
      <c r="F121" s="75"/>
      <c r="G121" s="76"/>
      <c r="H121" s="66"/>
      <c r="I121" s="67"/>
      <c r="J121" s="68">
        <v>0</v>
      </c>
      <c r="K121" s="49"/>
      <c r="L121" s="61"/>
      <c r="M121" s="61"/>
      <c r="N121" s="61"/>
    </row>
    <row r="122" spans="1:14" ht="21.75" customHeight="1" x14ac:dyDescent="0.4">
      <c r="A122" s="55"/>
      <c r="B122" s="56"/>
      <c r="C122" s="56"/>
      <c r="D122" s="73"/>
      <c r="E122" s="74" t="s">
        <v>29</v>
      </c>
      <c r="F122" s="75"/>
      <c r="G122" s="76"/>
      <c r="H122" s="66"/>
      <c r="I122" s="67"/>
      <c r="J122" s="68">
        <v>0</v>
      </c>
      <c r="K122" s="49"/>
      <c r="L122" s="61"/>
      <c r="M122" s="61"/>
      <c r="N122" s="61"/>
    </row>
    <row r="123" spans="1:14" ht="21.75" customHeight="1" x14ac:dyDescent="0.4">
      <c r="A123" s="55"/>
      <c r="B123" s="56"/>
      <c r="C123" s="56"/>
      <c r="D123" s="73"/>
      <c r="E123" s="75"/>
      <c r="F123" s="75" t="s">
        <v>70</v>
      </c>
      <c r="G123" s="76"/>
      <c r="H123" s="60"/>
      <c r="I123" s="67"/>
      <c r="J123" s="67"/>
      <c r="K123" s="49"/>
      <c r="L123" s="61"/>
      <c r="M123" s="61"/>
      <c r="N123" s="61"/>
    </row>
    <row r="124" spans="1:14" ht="21.75" customHeight="1" x14ac:dyDescent="0.4">
      <c r="A124" s="55"/>
      <c r="B124" s="56"/>
      <c r="C124" s="56"/>
      <c r="D124" s="73"/>
      <c r="E124" s="77"/>
      <c r="F124" s="75"/>
      <c r="G124" s="74" t="s">
        <v>71</v>
      </c>
      <c r="H124" s="60" t="s">
        <v>69</v>
      </c>
      <c r="I124" s="67">
        <f ca="1">IFERROR(__xludf.DUMMYFUNCTION("IMPORTRANGE(""https://docs.google.com/spreadsheets/d/1C3CXT74ZlgGe6_JY_1olB1XN4rF0dxEuIIF-xsYjHgg/edit?usp=sharing"",""พรบ!AO33"")"),100000)</f>
        <v>100000</v>
      </c>
      <c r="J124" s="68">
        <v>0</v>
      </c>
      <c r="K124" s="49">
        <f t="shared" ref="K124:K126" ca="1" si="30">IF(I124&gt;0,J124*100/I124,0)</f>
        <v>0</v>
      </c>
      <c r="L124" s="61"/>
      <c r="M124" s="61"/>
      <c r="N124" s="61"/>
    </row>
    <row r="125" spans="1:14" ht="21.75" customHeight="1" x14ac:dyDescent="0.4">
      <c r="A125" s="55"/>
      <c r="B125" s="56"/>
      <c r="C125" s="56"/>
      <c r="D125" s="73"/>
      <c r="E125" s="77"/>
      <c r="F125" s="75"/>
      <c r="G125" s="74" t="s">
        <v>72</v>
      </c>
      <c r="H125" s="60" t="s">
        <v>69</v>
      </c>
      <c r="I125" s="67">
        <f ca="1">IFERROR(__xludf.DUMMYFUNCTION("IMPORTRANGE(""https://docs.google.com/spreadsheets/d/1C3CXT74ZlgGe6_JY_1olB1XN4rF0dxEuIIF-xsYjHgg/edit?usp=sharing"",""พรบ!AP33"")"),100000)</f>
        <v>100000</v>
      </c>
      <c r="J125" s="68">
        <v>0</v>
      </c>
      <c r="K125" s="49">
        <f t="shared" ca="1" si="30"/>
        <v>0</v>
      </c>
      <c r="L125" s="53">
        <f ca="1">IFERROR(__xludf.DUMMYFUNCTION("IMPORTRANGE(""https://docs.google.com/spreadsheets/d/1C3CXT74ZlgGe6_JY_1olB1XN4rF0dxEuIIF-xsYjHgg/edit?usp=sharing"",""กปร!F33"")"),25000)</f>
        <v>25000</v>
      </c>
      <c r="M125" s="359">
        <v>0</v>
      </c>
      <c r="N125" s="53">
        <f t="shared" ref="N125:N126" ca="1" si="31">+IF(L125&gt;0,M125*100/L125,0)</f>
        <v>0</v>
      </c>
    </row>
    <row r="126" spans="1:14" ht="21.75" customHeight="1" x14ac:dyDescent="0.4">
      <c r="A126" s="55"/>
      <c r="B126" s="56"/>
      <c r="C126" s="56"/>
      <c r="D126" s="73"/>
      <c r="E126" s="77"/>
      <c r="F126" s="75" t="s">
        <v>73</v>
      </c>
      <c r="G126" s="76"/>
      <c r="H126" s="60" t="s">
        <v>16</v>
      </c>
      <c r="I126" s="67">
        <f ca="1">IFERROR(__xludf.DUMMYFUNCTION("IMPORTRANGE(""https://docs.google.com/spreadsheets/d/1C3CXT74ZlgGe6_JY_1olB1XN4rF0dxEuIIF-xsYjHgg/edit?usp=sharing"",""พรบ!AQ33"")"),0)</f>
        <v>0</v>
      </c>
      <c r="J126" s="68">
        <v>0</v>
      </c>
      <c r="K126" s="49">
        <f t="shared" ca="1" si="30"/>
        <v>0</v>
      </c>
      <c r="L126" s="53">
        <f ca="1">IFERROR(__xludf.DUMMYFUNCTION("IMPORTRANGE(""https://docs.google.com/spreadsheets/d/1C3CXT74ZlgGe6_JY_1olB1XN4rF0dxEuIIF-xsYjHgg/edit?usp=sharing"",""กปร!G33"")"),0)</f>
        <v>0</v>
      </c>
      <c r="M126" s="53">
        <v>0</v>
      </c>
      <c r="N126" s="53">
        <f t="shared" ca="1" si="31"/>
        <v>0</v>
      </c>
    </row>
    <row r="127" spans="1:14" ht="21.75" customHeight="1" x14ac:dyDescent="0.4">
      <c r="A127" s="55"/>
      <c r="B127" s="56"/>
      <c r="C127" s="56"/>
      <c r="D127" s="73"/>
      <c r="E127" s="74" t="s">
        <v>35</v>
      </c>
      <c r="F127" s="75"/>
      <c r="G127" s="76"/>
      <c r="H127" s="66"/>
      <c r="I127" s="67"/>
      <c r="J127" s="68">
        <v>0</v>
      </c>
      <c r="K127" s="49"/>
      <c r="L127" s="61"/>
      <c r="M127" s="61"/>
      <c r="N127" s="61"/>
    </row>
    <row r="128" spans="1:14" ht="21.75" customHeight="1" x14ac:dyDescent="0.4">
      <c r="A128" s="105"/>
      <c r="B128" s="106"/>
      <c r="C128" s="106"/>
      <c r="D128" s="107">
        <v>3</v>
      </c>
      <c r="E128" s="108" t="s">
        <v>36</v>
      </c>
      <c r="F128" s="109"/>
      <c r="G128" s="110"/>
      <c r="H128" s="111"/>
      <c r="I128" s="112"/>
      <c r="J128" s="113">
        <v>0</v>
      </c>
      <c r="K128" s="114"/>
      <c r="L128" s="115"/>
      <c r="M128" s="115"/>
      <c r="N128" s="115"/>
    </row>
    <row r="129" spans="1:14" ht="21.75" customHeight="1" x14ac:dyDescent="0.4">
      <c r="A129" s="141"/>
      <c r="B129" s="142"/>
      <c r="C129" s="153" t="s">
        <v>245</v>
      </c>
      <c r="D129" s="143"/>
      <c r="E129" s="143"/>
      <c r="F129" s="143"/>
      <c r="G129" s="144"/>
      <c r="H129" s="152" t="s">
        <v>16</v>
      </c>
      <c r="I129" s="150">
        <f t="shared" ref="I129:J129" ca="1" si="32">I138</f>
        <v>150</v>
      </c>
      <c r="J129" s="150">
        <f t="shared" si="32"/>
        <v>0</v>
      </c>
      <c r="K129" s="151">
        <f ca="1">IF(I129&gt;0,J129*100/I129,0)</f>
        <v>0</v>
      </c>
      <c r="L129" s="148">
        <f ca="1">L130+L131</f>
        <v>781400</v>
      </c>
      <c r="M129" s="148">
        <f>SUM(M130:M131)</f>
        <v>0</v>
      </c>
      <c r="N129" s="148">
        <f t="shared" ref="N129:N132" ca="1" si="33">+IF(L129&gt;0,M129*100/L129,0)</f>
        <v>0</v>
      </c>
    </row>
    <row r="130" spans="1:14" ht="21.75" customHeight="1" x14ac:dyDescent="0.4">
      <c r="A130" s="42"/>
      <c r="B130" s="43"/>
      <c r="C130" s="43" t="s">
        <v>17</v>
      </c>
      <c r="D130" s="44" t="s">
        <v>18</v>
      </c>
      <c r="E130" s="45"/>
      <c r="F130" s="45"/>
      <c r="G130" s="46" t="s">
        <v>19</v>
      </c>
      <c r="H130" s="47" t="s">
        <v>20</v>
      </c>
      <c r="I130" s="48" t="s">
        <v>21</v>
      </c>
      <c r="J130" s="48"/>
      <c r="K130" s="49"/>
      <c r="L130" s="50">
        <v>0</v>
      </c>
      <c r="M130" s="50">
        <v>0</v>
      </c>
      <c r="N130" s="50">
        <f t="shared" si="33"/>
        <v>0</v>
      </c>
    </row>
    <row r="131" spans="1:14" ht="21.75" customHeight="1" x14ac:dyDescent="0.4">
      <c r="A131" s="42"/>
      <c r="B131" s="43"/>
      <c r="C131" s="43"/>
      <c r="D131" s="51"/>
      <c r="E131" s="45"/>
      <c r="F131" s="45" t="s">
        <v>21</v>
      </c>
      <c r="G131" s="46" t="s">
        <v>22</v>
      </c>
      <c r="H131" s="47" t="s">
        <v>20</v>
      </c>
      <c r="I131" s="48"/>
      <c r="J131" s="48"/>
      <c r="K131" s="49"/>
      <c r="L131" s="50">
        <f ca="1">SUM(L132)</f>
        <v>781400</v>
      </c>
      <c r="M131" s="50">
        <f>M132</f>
        <v>0</v>
      </c>
      <c r="N131" s="50">
        <f t="shared" ca="1" si="33"/>
        <v>0</v>
      </c>
    </row>
    <row r="132" spans="1:14" ht="21.75" customHeight="1" x14ac:dyDescent="0.4">
      <c r="A132" s="42"/>
      <c r="B132" s="43"/>
      <c r="C132" s="43"/>
      <c r="D132" s="51"/>
      <c r="E132" s="45"/>
      <c r="F132" s="45"/>
      <c r="G132" s="52" t="s">
        <v>24</v>
      </c>
      <c r="H132" s="47" t="s">
        <v>20</v>
      </c>
      <c r="I132" s="48"/>
      <c r="J132" s="48"/>
      <c r="K132" s="49"/>
      <c r="L132" s="53">
        <f ca="1">IFERROR(__xludf.DUMMYFUNCTION("IMPORTRANGE(""https://docs.google.com/spreadsheets/d/1C3CXT74ZlgGe6_JY_1olB1XN4rF0dxEuIIF-xsYjHgg/edit?usp=sharing"",""พรบ!AR33"")"),781400)</f>
        <v>781400</v>
      </c>
      <c r="M132" s="54">
        <v>0</v>
      </c>
      <c r="N132" s="53">
        <f t="shared" ca="1" si="33"/>
        <v>0</v>
      </c>
    </row>
    <row r="133" spans="1:14" ht="21.75" customHeight="1" x14ac:dyDescent="0.4">
      <c r="A133" s="55"/>
      <c r="B133" s="56"/>
      <c r="C133" s="43" t="s">
        <v>17</v>
      </c>
      <c r="D133" s="57" t="s">
        <v>25</v>
      </c>
      <c r="E133" s="58"/>
      <c r="F133" s="58"/>
      <c r="G133" s="59"/>
      <c r="H133" s="60"/>
      <c r="I133" s="48"/>
      <c r="J133" s="48"/>
      <c r="K133" s="49"/>
      <c r="L133" s="61"/>
      <c r="M133" s="61"/>
      <c r="N133" s="61"/>
    </row>
    <row r="134" spans="1:14" ht="21.75" customHeight="1" x14ac:dyDescent="0.4">
      <c r="A134" s="55"/>
      <c r="B134" s="56"/>
      <c r="C134" s="56"/>
      <c r="D134" s="62">
        <v>1</v>
      </c>
      <c r="E134" s="63" t="s">
        <v>26</v>
      </c>
      <c r="F134" s="64"/>
      <c r="G134" s="65"/>
      <c r="H134" s="66"/>
      <c r="I134" s="67"/>
      <c r="J134" s="68">
        <v>0</v>
      </c>
      <c r="K134" s="49"/>
      <c r="L134" s="61"/>
      <c r="M134" s="61"/>
      <c r="N134" s="61"/>
    </row>
    <row r="135" spans="1:14" ht="21.75" customHeight="1" x14ac:dyDescent="0.4">
      <c r="A135" s="55"/>
      <c r="B135" s="56"/>
      <c r="C135" s="56"/>
      <c r="D135" s="69">
        <v>2</v>
      </c>
      <c r="E135" s="70" t="s">
        <v>27</v>
      </c>
      <c r="F135" s="71"/>
      <c r="G135" s="72"/>
      <c r="H135" s="66"/>
      <c r="I135" s="67"/>
      <c r="J135" s="68">
        <v>1</v>
      </c>
      <c r="K135" s="49"/>
      <c r="L135" s="61" t="s">
        <v>21</v>
      </c>
      <c r="M135" s="61" t="s">
        <v>21</v>
      </c>
      <c r="N135" s="61"/>
    </row>
    <row r="136" spans="1:14" ht="21.75" customHeight="1" x14ac:dyDescent="0.4">
      <c r="A136" s="55"/>
      <c r="B136" s="56"/>
      <c r="C136" s="56"/>
      <c r="D136" s="73"/>
      <c r="E136" s="74" t="s">
        <v>28</v>
      </c>
      <c r="F136" s="75"/>
      <c r="G136" s="76"/>
      <c r="H136" s="66"/>
      <c r="I136" s="67"/>
      <c r="J136" s="68">
        <v>0</v>
      </c>
      <c r="K136" s="49"/>
      <c r="L136" s="61"/>
      <c r="M136" s="61"/>
      <c r="N136" s="61"/>
    </row>
    <row r="137" spans="1:14" ht="21.75" customHeight="1" x14ac:dyDescent="0.4">
      <c r="A137" s="55"/>
      <c r="B137" s="56"/>
      <c r="C137" s="56"/>
      <c r="D137" s="73"/>
      <c r="E137" s="74" t="s">
        <v>29</v>
      </c>
      <c r="F137" s="75"/>
      <c r="G137" s="76"/>
      <c r="H137" s="66"/>
      <c r="I137" s="67"/>
      <c r="J137" s="68">
        <v>0</v>
      </c>
      <c r="K137" s="49"/>
      <c r="L137" s="61"/>
      <c r="M137" s="61"/>
      <c r="N137" s="61"/>
    </row>
    <row r="138" spans="1:14" ht="21.75" customHeight="1" x14ac:dyDescent="0.4">
      <c r="A138" s="55"/>
      <c r="B138" s="56"/>
      <c r="C138" s="56"/>
      <c r="D138" s="73"/>
      <c r="E138" s="77"/>
      <c r="F138" s="75" t="s">
        <v>75</v>
      </c>
      <c r="G138" s="76"/>
      <c r="H138" s="60" t="s">
        <v>16</v>
      </c>
      <c r="I138" s="67">
        <f ca="1">IFERROR(__xludf.DUMMYFUNCTION("IMPORTRANGE(""https://docs.google.com/spreadsheets/d/1C3CXT74ZlgGe6_JY_1olB1XN4rF0dxEuIIF-xsYjHgg/edit?usp=sharing"",""พรบ!AS33"")"),150)</f>
        <v>150</v>
      </c>
      <c r="J138" s="68">
        <v>0</v>
      </c>
      <c r="K138" s="49">
        <f ca="1">IF(I138&gt;0,J138*100/I138,0)</f>
        <v>0</v>
      </c>
      <c r="L138" s="53">
        <f ca="1">IFERROR(__xludf.DUMMYFUNCTION("IMPORTRANGE(""https://docs.google.com/spreadsheets/d/1C3CXT74ZlgGe6_JY_1olB1XN4rF0dxEuIIF-xsYjHgg/edit?usp=sharing"",""กปร!H33"")"),279000)</f>
        <v>279000</v>
      </c>
      <c r="M138" s="359">
        <v>0</v>
      </c>
      <c r="N138" s="53">
        <f ca="1">+IF(L138&gt;0,M138*100/L138,0)</f>
        <v>0</v>
      </c>
    </row>
    <row r="139" spans="1:14" ht="21.75" customHeight="1" x14ac:dyDescent="0.4">
      <c r="A139" s="55"/>
      <c r="B139" s="56"/>
      <c r="C139" s="56"/>
      <c r="D139" s="73"/>
      <c r="E139" s="77"/>
      <c r="F139" s="74" t="s">
        <v>34</v>
      </c>
      <c r="G139" s="76"/>
      <c r="H139" s="60"/>
      <c r="I139" s="67"/>
      <c r="J139" s="67"/>
      <c r="K139" s="49"/>
      <c r="L139" s="61"/>
      <c r="M139" s="61"/>
      <c r="N139" s="61"/>
    </row>
    <row r="140" spans="1:14" ht="21.75" customHeight="1" x14ac:dyDescent="0.4">
      <c r="A140" s="55"/>
      <c r="B140" s="56"/>
      <c r="C140" s="56"/>
      <c r="D140" s="73"/>
      <c r="E140" s="77"/>
      <c r="F140" s="75"/>
      <c r="G140" s="99" t="s">
        <v>76</v>
      </c>
      <c r="H140" s="60" t="s">
        <v>16</v>
      </c>
      <c r="I140" s="67">
        <f ca="1">IFERROR(__xludf.DUMMYFUNCTION("IMPORTRANGE(""https://docs.google.com/spreadsheets/d/1C3CXT74ZlgGe6_JY_1olB1XN4rF0dxEuIIF-xsYjHgg/edit?usp=sharing"",""พรบ!AT33"")"),1)</f>
        <v>1</v>
      </c>
      <c r="J140" s="68">
        <v>0</v>
      </c>
      <c r="K140" s="49">
        <f t="shared" ref="K140:K141" ca="1" si="34">IF(I140&gt;0,J140*100/I140,0)</f>
        <v>0</v>
      </c>
      <c r="L140" s="53">
        <f ca="1">IFERROR(__xludf.DUMMYFUNCTION("IMPORTRANGE(""https://docs.google.com/spreadsheets/d/1C3CXT74ZlgGe6_JY_1olB1XN4rF0dxEuIIF-xsYjHgg/edit?usp=sharing"",""กปร!I33"")"),0)</f>
        <v>0</v>
      </c>
      <c r="M140" s="53">
        <v>0</v>
      </c>
      <c r="N140" s="53">
        <f t="shared" ref="N140:N141" ca="1" si="35">+IF(L140&gt;0,M140*100/L140,0)</f>
        <v>0</v>
      </c>
    </row>
    <row r="141" spans="1:14" ht="21.75" customHeight="1" x14ac:dyDescent="0.4">
      <c r="A141" s="55"/>
      <c r="B141" s="56"/>
      <c r="C141" s="56"/>
      <c r="D141" s="73"/>
      <c r="E141" s="77"/>
      <c r="F141" s="75"/>
      <c r="G141" s="99" t="s">
        <v>77</v>
      </c>
      <c r="H141" s="60" t="s">
        <v>40</v>
      </c>
      <c r="I141" s="67">
        <f ca="1">IFERROR(__xludf.DUMMYFUNCTION("IMPORTRANGE(""https://docs.google.com/spreadsheets/d/1C3CXT74ZlgGe6_JY_1olB1XN4rF0dxEuIIF-xsYjHgg/edit?usp=sharing"",""พรบ!AU33"")"),2)</f>
        <v>2</v>
      </c>
      <c r="J141" s="68">
        <v>0</v>
      </c>
      <c r="K141" s="49">
        <f t="shared" ca="1" si="34"/>
        <v>0</v>
      </c>
      <c r="L141" s="53">
        <f ca="1">IFERROR(__xludf.DUMMYFUNCTION("IMPORTRANGE(""https://docs.google.com/spreadsheets/d/1C3CXT74ZlgGe6_JY_1olB1XN4rF0dxEuIIF-xsYjHgg/edit?usp=sharing"",""กปร!J33"")"),50000)</f>
        <v>50000</v>
      </c>
      <c r="M141" s="359">
        <v>0</v>
      </c>
      <c r="N141" s="53">
        <f t="shared" ca="1" si="35"/>
        <v>0</v>
      </c>
    </row>
    <row r="142" spans="1:14" ht="21.75" customHeight="1" x14ac:dyDescent="0.4">
      <c r="A142" s="55"/>
      <c r="B142" s="56"/>
      <c r="C142" s="56"/>
      <c r="D142" s="73"/>
      <c r="E142" s="74" t="s">
        <v>35</v>
      </c>
      <c r="F142" s="75"/>
      <c r="G142" s="76"/>
      <c r="H142" s="66"/>
      <c r="I142" s="67"/>
      <c r="J142" s="68">
        <v>0</v>
      </c>
      <c r="K142" s="49"/>
      <c r="L142" s="61"/>
      <c r="M142" s="61"/>
      <c r="N142" s="61"/>
    </row>
    <row r="143" spans="1:14" ht="21.75" customHeight="1" x14ac:dyDescent="0.4">
      <c r="A143" s="105"/>
      <c r="B143" s="106"/>
      <c r="C143" s="106"/>
      <c r="D143" s="107">
        <v>3</v>
      </c>
      <c r="E143" s="108" t="s">
        <v>36</v>
      </c>
      <c r="F143" s="109"/>
      <c r="G143" s="110"/>
      <c r="H143" s="111"/>
      <c r="I143" s="112"/>
      <c r="J143" s="113">
        <v>0</v>
      </c>
      <c r="K143" s="114"/>
      <c r="L143" s="115"/>
      <c r="M143" s="115"/>
      <c r="N143" s="115"/>
    </row>
    <row r="144" spans="1:14" ht="21.75" customHeight="1" x14ac:dyDescent="0.4">
      <c r="A144" s="132"/>
      <c r="B144" s="133" t="s">
        <v>78</v>
      </c>
      <c r="C144" s="134"/>
      <c r="D144" s="133"/>
      <c r="E144" s="133"/>
      <c r="F144" s="133"/>
      <c r="G144" s="135"/>
      <c r="H144" s="136" t="s">
        <v>16</v>
      </c>
      <c r="I144" s="137">
        <f t="shared" ref="I144:J144" ca="1" si="36">+I149+I158</f>
        <v>15</v>
      </c>
      <c r="J144" s="137">
        <f t="shared" si="36"/>
        <v>0</v>
      </c>
      <c r="K144" s="138">
        <f ca="1">IF(I144&gt;0,J144*100/I144,0)</f>
        <v>0</v>
      </c>
      <c r="L144" s="139">
        <f ca="1">L145+L146</f>
        <v>21125</v>
      </c>
      <c r="M144" s="139">
        <f>SUM(M145:M146)</f>
        <v>0</v>
      </c>
      <c r="N144" s="138">
        <f ca="1">IF(L144&gt;0,M144*100/L144,0)</f>
        <v>0</v>
      </c>
    </row>
    <row r="145" spans="1:14" ht="21.75" customHeight="1" x14ac:dyDescent="0.4">
      <c r="A145" s="42"/>
      <c r="B145" s="43"/>
      <c r="C145" s="43" t="s">
        <v>17</v>
      </c>
      <c r="D145" s="44" t="s">
        <v>18</v>
      </c>
      <c r="E145" s="45"/>
      <c r="F145" s="45"/>
      <c r="G145" s="46" t="s">
        <v>19</v>
      </c>
      <c r="H145" s="47" t="s">
        <v>20</v>
      </c>
      <c r="I145" s="48" t="s">
        <v>21</v>
      </c>
      <c r="J145" s="48"/>
      <c r="K145" s="49"/>
      <c r="L145" s="50">
        <v>0</v>
      </c>
      <c r="M145" s="50">
        <v>0</v>
      </c>
      <c r="N145" s="50">
        <f t="shared" ref="N145:N148" si="37">+IF(L145&gt;0,M145*100/L145,0)</f>
        <v>0</v>
      </c>
    </row>
    <row r="146" spans="1:14" ht="21.75" customHeight="1" x14ac:dyDescent="0.4">
      <c r="A146" s="42"/>
      <c r="B146" s="43"/>
      <c r="C146" s="43"/>
      <c r="D146" s="51"/>
      <c r="E146" s="45"/>
      <c r="F146" s="45" t="s">
        <v>21</v>
      </c>
      <c r="G146" s="46" t="s">
        <v>22</v>
      </c>
      <c r="H146" s="47" t="s">
        <v>20</v>
      </c>
      <c r="I146" s="48"/>
      <c r="J146" s="48"/>
      <c r="K146" s="49"/>
      <c r="L146" s="50">
        <f t="shared" ref="L146:M146" ca="1" si="38">SUM(L147:L148)</f>
        <v>21125</v>
      </c>
      <c r="M146" s="50">
        <f t="shared" si="38"/>
        <v>0</v>
      </c>
      <c r="N146" s="50">
        <f t="shared" ca="1" si="37"/>
        <v>0</v>
      </c>
    </row>
    <row r="147" spans="1:14" ht="21.75" customHeight="1" x14ac:dyDescent="0.4">
      <c r="A147" s="42"/>
      <c r="B147" s="43"/>
      <c r="C147" s="43"/>
      <c r="D147" s="51"/>
      <c r="E147" s="45"/>
      <c r="F147" s="45"/>
      <c r="G147" s="52" t="s">
        <v>23</v>
      </c>
      <c r="H147" s="47" t="s">
        <v>20</v>
      </c>
      <c r="I147" s="48"/>
      <c r="J147" s="48"/>
      <c r="K147" s="49"/>
      <c r="L147" s="53">
        <v>0</v>
      </c>
      <c r="M147" s="53">
        <v>0</v>
      </c>
      <c r="N147" s="53">
        <f t="shared" si="37"/>
        <v>0</v>
      </c>
    </row>
    <row r="148" spans="1:14" ht="21.75" customHeight="1" x14ac:dyDescent="0.4">
      <c r="A148" s="42"/>
      <c r="B148" s="43"/>
      <c r="C148" s="43"/>
      <c r="D148" s="51"/>
      <c r="E148" s="45"/>
      <c r="F148" s="45"/>
      <c r="G148" s="52" t="s">
        <v>24</v>
      </c>
      <c r="H148" s="47" t="s">
        <v>20</v>
      </c>
      <c r="I148" s="48"/>
      <c r="J148" s="48"/>
      <c r="K148" s="49"/>
      <c r="L148" s="53">
        <f ca="1">IFERROR(__xludf.DUMMYFUNCTION("IMPORTRANGE(""https://docs.google.com/spreadsheets/d/1C3CXT74ZlgGe6_JY_1olB1XN4rF0dxEuIIF-xsYjHgg/edit?usp=sharing"",""พรบ!AY33"")"),21125)</f>
        <v>21125</v>
      </c>
      <c r="M148" s="54">
        <v>0</v>
      </c>
      <c r="N148" s="53">
        <f t="shared" ca="1" si="37"/>
        <v>0</v>
      </c>
    </row>
    <row r="149" spans="1:14" ht="21.75" customHeight="1" x14ac:dyDescent="0.4">
      <c r="A149" s="55"/>
      <c r="B149" s="155"/>
      <c r="C149" s="134" t="s">
        <v>79</v>
      </c>
      <c r="D149" s="133"/>
      <c r="E149" s="133"/>
      <c r="F149" s="133"/>
      <c r="G149" s="135"/>
      <c r="H149" s="136" t="s">
        <v>16</v>
      </c>
      <c r="I149" s="137">
        <f ca="1">I155</f>
        <v>15</v>
      </c>
      <c r="J149" s="137">
        <f>+J155</f>
        <v>0</v>
      </c>
      <c r="K149" s="138">
        <f ca="1">IF(I149&gt;0,J149*100/I149,0)</f>
        <v>0</v>
      </c>
      <c r="L149" s="140"/>
      <c r="M149" s="140"/>
      <c r="N149" s="140"/>
    </row>
    <row r="150" spans="1:14" ht="21.75" customHeight="1" x14ac:dyDescent="0.4">
      <c r="A150" s="55"/>
      <c r="B150" s="56"/>
      <c r="C150" s="43" t="s">
        <v>17</v>
      </c>
      <c r="D150" s="57" t="s">
        <v>25</v>
      </c>
      <c r="E150" s="58"/>
      <c r="F150" s="58"/>
      <c r="G150" s="59"/>
      <c r="H150" s="60"/>
      <c r="I150" s="48"/>
      <c r="J150" s="48"/>
      <c r="K150" s="49"/>
      <c r="L150" s="61"/>
      <c r="M150" s="61"/>
      <c r="N150" s="61"/>
    </row>
    <row r="151" spans="1:14" ht="21.75" customHeight="1" x14ac:dyDescent="0.4">
      <c r="A151" s="55"/>
      <c r="B151" s="56"/>
      <c r="C151" s="56"/>
      <c r="D151" s="62">
        <v>1</v>
      </c>
      <c r="E151" s="63" t="s">
        <v>26</v>
      </c>
      <c r="F151" s="64"/>
      <c r="G151" s="65"/>
      <c r="H151" s="66"/>
      <c r="I151" s="67"/>
      <c r="J151" s="68">
        <v>0</v>
      </c>
      <c r="K151" s="49"/>
      <c r="L151" s="61"/>
      <c r="M151" s="61"/>
      <c r="N151" s="61"/>
    </row>
    <row r="152" spans="1:14" ht="21.75" customHeight="1" x14ac:dyDescent="0.4">
      <c r="A152" s="55"/>
      <c r="B152" s="56"/>
      <c r="C152" s="56"/>
      <c r="D152" s="69">
        <v>2</v>
      </c>
      <c r="E152" s="70" t="s">
        <v>27</v>
      </c>
      <c r="F152" s="71"/>
      <c r="G152" s="72"/>
      <c r="H152" s="66"/>
      <c r="I152" s="67"/>
      <c r="J152" s="68">
        <v>1</v>
      </c>
      <c r="K152" s="49"/>
      <c r="L152" s="61" t="s">
        <v>21</v>
      </c>
      <c r="M152" s="61" t="s">
        <v>21</v>
      </c>
      <c r="N152" s="61"/>
    </row>
    <row r="153" spans="1:14" ht="21.75" customHeight="1" x14ac:dyDescent="0.4">
      <c r="A153" s="55"/>
      <c r="B153" s="56"/>
      <c r="C153" s="56"/>
      <c r="D153" s="73"/>
      <c r="E153" s="74" t="s">
        <v>28</v>
      </c>
      <c r="F153" s="75"/>
      <c r="G153" s="76"/>
      <c r="H153" s="66"/>
      <c r="I153" s="67"/>
      <c r="J153" s="68">
        <v>0</v>
      </c>
      <c r="K153" s="49"/>
      <c r="L153" s="61"/>
      <c r="M153" s="61"/>
      <c r="N153" s="61"/>
    </row>
    <row r="154" spans="1:14" ht="21.75" customHeight="1" x14ac:dyDescent="0.4">
      <c r="A154" s="55"/>
      <c r="B154" s="56"/>
      <c r="C154" s="56"/>
      <c r="D154" s="73"/>
      <c r="E154" s="74" t="s">
        <v>29</v>
      </c>
      <c r="F154" s="75"/>
      <c r="G154" s="76"/>
      <c r="H154" s="66"/>
      <c r="I154" s="67"/>
      <c r="J154" s="68">
        <v>0</v>
      </c>
      <c r="K154" s="49"/>
      <c r="L154" s="61"/>
      <c r="M154" s="61"/>
      <c r="N154" s="61"/>
    </row>
    <row r="155" spans="1:14" ht="21.75" customHeight="1" x14ac:dyDescent="0.4">
      <c r="A155" s="55"/>
      <c r="B155" s="56"/>
      <c r="C155" s="56"/>
      <c r="D155" s="73"/>
      <c r="E155" s="77"/>
      <c r="F155" s="75"/>
      <c r="G155" s="99" t="s">
        <v>50</v>
      </c>
      <c r="H155" s="66" t="s">
        <v>16</v>
      </c>
      <c r="I155" s="67">
        <f ca="1">IFERROR(__xludf.DUMMYFUNCTION("IMPORTRANGE(""https://docs.google.com/spreadsheets/d/1C3CXT74ZlgGe6_JY_1olB1XN4rF0dxEuIIF-xsYjHgg/edit?usp=sharing"",""พรบ!BA33"")"),15)</f>
        <v>15</v>
      </c>
      <c r="J155" s="68">
        <v>0</v>
      </c>
      <c r="K155" s="49">
        <f ca="1">IF(I155&gt;0,J155*100/I155,0)</f>
        <v>0</v>
      </c>
      <c r="L155" s="61"/>
      <c r="M155" s="61"/>
      <c r="N155" s="61"/>
    </row>
    <row r="156" spans="1:14" ht="21.75" customHeight="1" x14ac:dyDescent="0.4">
      <c r="A156" s="55"/>
      <c r="B156" s="56"/>
      <c r="C156" s="56"/>
      <c r="D156" s="73"/>
      <c r="E156" s="74" t="s">
        <v>35</v>
      </c>
      <c r="F156" s="75"/>
      <c r="G156" s="76"/>
      <c r="H156" s="66"/>
      <c r="I156" s="67"/>
      <c r="J156" s="68">
        <v>0</v>
      </c>
      <c r="K156" s="49"/>
      <c r="L156" s="61"/>
      <c r="M156" s="61"/>
      <c r="N156" s="61"/>
    </row>
    <row r="157" spans="1:14" ht="21.75" customHeight="1" x14ac:dyDescent="0.4">
      <c r="A157" s="55"/>
      <c r="B157" s="56"/>
      <c r="C157" s="56"/>
      <c r="D157" s="81">
        <v>3</v>
      </c>
      <c r="E157" s="82" t="s">
        <v>36</v>
      </c>
      <c r="F157" s="83"/>
      <c r="G157" s="84"/>
      <c r="H157" s="66"/>
      <c r="I157" s="67"/>
      <c r="J157" s="85">
        <v>0</v>
      </c>
      <c r="K157" s="49"/>
      <c r="L157" s="61"/>
      <c r="M157" s="61"/>
      <c r="N157" s="61"/>
    </row>
    <row r="158" spans="1:14" ht="21.75" customHeight="1" x14ac:dyDescent="0.4">
      <c r="A158" s="55"/>
      <c r="B158" s="56"/>
      <c r="C158" s="134" t="s">
        <v>81</v>
      </c>
      <c r="D158" s="156"/>
      <c r="E158" s="133"/>
      <c r="F158" s="133"/>
      <c r="G158" s="135"/>
      <c r="H158" s="136" t="s">
        <v>16</v>
      </c>
      <c r="I158" s="137">
        <f>I164</f>
        <v>0</v>
      </c>
      <c r="J158" s="137">
        <f>+J164</f>
        <v>0</v>
      </c>
      <c r="K158" s="138">
        <f>IF(I158&gt;0,J158*100/I158,0)</f>
        <v>0</v>
      </c>
      <c r="L158" s="61"/>
      <c r="M158" s="61"/>
      <c r="N158" s="61"/>
    </row>
    <row r="159" spans="1:14" ht="21.75" customHeight="1" x14ac:dyDescent="0.4">
      <c r="A159" s="55"/>
      <c r="B159" s="56"/>
      <c r="C159" s="43" t="s">
        <v>17</v>
      </c>
      <c r="D159" s="57" t="s">
        <v>25</v>
      </c>
      <c r="E159" s="58"/>
      <c r="F159" s="58"/>
      <c r="G159" s="59"/>
      <c r="H159" s="60"/>
      <c r="I159" s="48"/>
      <c r="J159" s="48"/>
      <c r="K159" s="49"/>
      <c r="L159" s="61"/>
      <c r="M159" s="61"/>
      <c r="N159" s="61"/>
    </row>
    <row r="160" spans="1:14" ht="21.75" customHeight="1" x14ac:dyDescent="0.4">
      <c r="A160" s="55"/>
      <c r="B160" s="56"/>
      <c r="C160" s="56"/>
      <c r="D160" s="62">
        <v>1</v>
      </c>
      <c r="E160" s="63" t="s">
        <v>26</v>
      </c>
      <c r="F160" s="64"/>
      <c r="G160" s="65"/>
      <c r="H160" s="66"/>
      <c r="I160" s="67"/>
      <c r="J160" s="67">
        <v>0</v>
      </c>
      <c r="K160" s="49"/>
      <c r="L160" s="61"/>
      <c r="M160" s="61"/>
      <c r="N160" s="61"/>
    </row>
    <row r="161" spans="1:14" ht="21.75" customHeight="1" x14ac:dyDescent="0.4">
      <c r="A161" s="55"/>
      <c r="B161" s="56"/>
      <c r="C161" s="56"/>
      <c r="D161" s="69">
        <v>2</v>
      </c>
      <c r="E161" s="70" t="s">
        <v>27</v>
      </c>
      <c r="F161" s="71"/>
      <c r="G161" s="72"/>
      <c r="H161" s="66"/>
      <c r="I161" s="67"/>
      <c r="J161" s="67">
        <v>0</v>
      </c>
      <c r="K161" s="49"/>
      <c r="L161" s="61" t="s">
        <v>21</v>
      </c>
      <c r="M161" s="61" t="s">
        <v>21</v>
      </c>
      <c r="N161" s="61"/>
    </row>
    <row r="162" spans="1:14" ht="21.75" customHeight="1" x14ac:dyDescent="0.4">
      <c r="A162" s="55"/>
      <c r="B162" s="56"/>
      <c r="C162" s="56"/>
      <c r="D162" s="73"/>
      <c r="E162" s="74" t="s">
        <v>28</v>
      </c>
      <c r="F162" s="75"/>
      <c r="G162" s="76"/>
      <c r="H162" s="66"/>
      <c r="I162" s="67"/>
      <c r="J162" s="67">
        <v>0</v>
      </c>
      <c r="K162" s="49"/>
      <c r="L162" s="61"/>
      <c r="M162" s="61"/>
      <c r="N162" s="61"/>
    </row>
    <row r="163" spans="1:14" ht="21.75" customHeight="1" x14ac:dyDescent="0.4">
      <c r="A163" s="55"/>
      <c r="B163" s="56"/>
      <c r="C163" s="56"/>
      <c r="D163" s="73"/>
      <c r="E163" s="74" t="s">
        <v>29</v>
      </c>
      <c r="F163" s="75"/>
      <c r="G163" s="76"/>
      <c r="H163" s="66"/>
      <c r="I163" s="67"/>
      <c r="J163" s="67">
        <v>0</v>
      </c>
      <c r="K163" s="49"/>
      <c r="L163" s="61"/>
      <c r="M163" s="61"/>
      <c r="N163" s="61"/>
    </row>
    <row r="164" spans="1:14" ht="21.75" customHeight="1" x14ac:dyDescent="0.4">
      <c r="A164" s="55"/>
      <c r="B164" s="56"/>
      <c r="C164" s="56"/>
      <c r="D164" s="73"/>
      <c r="E164" s="75"/>
      <c r="F164" s="74" t="s">
        <v>82</v>
      </c>
      <c r="G164" s="75"/>
      <c r="H164" s="66" t="s">
        <v>16</v>
      </c>
      <c r="I164" s="67">
        <v>0</v>
      </c>
      <c r="J164" s="67">
        <v>0</v>
      </c>
      <c r="K164" s="49">
        <f>IF(I164&gt;0,J164*100/I164,0)</f>
        <v>0</v>
      </c>
      <c r="L164" s="61"/>
      <c r="M164" s="61"/>
      <c r="N164" s="61"/>
    </row>
    <row r="165" spans="1:14" ht="21.75" customHeight="1" x14ac:dyDescent="0.4">
      <c r="A165" s="55"/>
      <c r="B165" s="56"/>
      <c r="C165" s="56"/>
      <c r="D165" s="73"/>
      <c r="E165" s="74" t="s">
        <v>35</v>
      </c>
      <c r="F165" s="75"/>
      <c r="G165" s="76"/>
      <c r="H165" s="66"/>
      <c r="I165" s="67"/>
      <c r="J165" s="67">
        <v>0</v>
      </c>
      <c r="K165" s="49"/>
      <c r="L165" s="61"/>
      <c r="M165" s="61"/>
      <c r="N165" s="61"/>
    </row>
    <row r="166" spans="1:14" ht="21.75" customHeight="1" x14ac:dyDescent="0.4">
      <c r="A166" s="105"/>
      <c r="B166" s="106"/>
      <c r="C166" s="106"/>
      <c r="D166" s="107">
        <v>3</v>
      </c>
      <c r="E166" s="108" t="s">
        <v>36</v>
      </c>
      <c r="F166" s="109"/>
      <c r="G166" s="110"/>
      <c r="H166" s="111"/>
      <c r="I166" s="112"/>
      <c r="J166" s="356">
        <v>0</v>
      </c>
      <c r="K166" s="114"/>
      <c r="L166" s="115"/>
      <c r="M166" s="115"/>
      <c r="N166" s="115"/>
    </row>
    <row r="167" spans="1:14" ht="21.75" customHeight="1" x14ac:dyDescent="0.4">
      <c r="A167" s="157" t="s">
        <v>83</v>
      </c>
      <c r="B167" s="158"/>
      <c r="C167" s="158"/>
      <c r="D167" s="158"/>
      <c r="E167" s="159"/>
      <c r="F167" s="159"/>
      <c r="G167" s="160"/>
      <c r="H167" s="161"/>
      <c r="I167" s="162"/>
      <c r="J167" s="162"/>
      <c r="K167" s="163"/>
      <c r="L167" s="164"/>
      <c r="M167" s="164"/>
      <c r="N167" s="165"/>
    </row>
    <row r="168" spans="1:14" ht="21.75" customHeight="1" x14ac:dyDescent="0.4">
      <c r="A168" s="166" t="s">
        <v>84</v>
      </c>
      <c r="B168" s="167"/>
      <c r="C168" s="167"/>
      <c r="D168" s="168"/>
      <c r="E168" s="168"/>
      <c r="F168" s="168"/>
      <c r="G168" s="169"/>
      <c r="H168" s="170"/>
      <c r="I168" s="171"/>
      <c r="J168" s="171"/>
      <c r="K168" s="172"/>
      <c r="L168" s="172"/>
      <c r="M168" s="172"/>
      <c r="N168" s="173"/>
    </row>
    <row r="169" spans="1:14" ht="21.75" customHeight="1" x14ac:dyDescent="0.4">
      <c r="A169" s="174"/>
      <c r="B169" s="175" t="s">
        <v>85</v>
      </c>
      <c r="C169" s="175"/>
      <c r="D169" s="175"/>
      <c r="E169" s="175"/>
      <c r="F169" s="175"/>
      <c r="G169" s="176"/>
      <c r="H169" s="177" t="s">
        <v>16</v>
      </c>
      <c r="I169" s="178">
        <f ca="1">I180</f>
        <v>0</v>
      </c>
      <c r="J169" s="178">
        <f>+J180</f>
        <v>0</v>
      </c>
      <c r="K169" s="179">
        <f ca="1">IF(I169&gt;0,J169*100/I169,0)</f>
        <v>0</v>
      </c>
      <c r="L169" s="180">
        <f ca="1">L170+L171</f>
        <v>0</v>
      </c>
      <c r="M169" s="180">
        <f>SUM(M170:M171)</f>
        <v>0</v>
      </c>
      <c r="N169" s="179">
        <f ca="1">IF(L169&gt;0,M169*100/L169,0)</f>
        <v>0</v>
      </c>
    </row>
    <row r="170" spans="1:14" ht="21.75" customHeight="1" x14ac:dyDescent="0.4">
      <c r="A170" s="42"/>
      <c r="B170" s="43"/>
      <c r="C170" s="43" t="s">
        <v>17</v>
      </c>
      <c r="D170" s="44" t="s">
        <v>18</v>
      </c>
      <c r="E170" s="45"/>
      <c r="F170" s="45"/>
      <c r="G170" s="46" t="s">
        <v>19</v>
      </c>
      <c r="H170" s="47" t="s">
        <v>20</v>
      </c>
      <c r="I170" s="48" t="s">
        <v>21</v>
      </c>
      <c r="J170" s="48"/>
      <c r="K170" s="49"/>
      <c r="L170" s="50">
        <v>0</v>
      </c>
      <c r="M170" s="50">
        <v>0</v>
      </c>
      <c r="N170" s="50">
        <f t="shared" ref="N170:N173" si="39">+IF(L170&gt;0,M170*100/L170,0)</f>
        <v>0</v>
      </c>
    </row>
    <row r="171" spans="1:14" ht="21.75" customHeight="1" x14ac:dyDescent="0.4">
      <c r="A171" s="42"/>
      <c r="B171" s="43"/>
      <c r="C171" s="43"/>
      <c r="D171" s="51"/>
      <c r="E171" s="45"/>
      <c r="F171" s="45" t="s">
        <v>21</v>
      </c>
      <c r="G171" s="46" t="s">
        <v>22</v>
      </c>
      <c r="H171" s="47" t="s">
        <v>20</v>
      </c>
      <c r="I171" s="48"/>
      <c r="J171" s="48"/>
      <c r="K171" s="49"/>
      <c r="L171" s="50">
        <f t="shared" ref="L171:M171" ca="1" si="40">SUM(L172:L173)</f>
        <v>0</v>
      </c>
      <c r="M171" s="50">
        <f t="shared" si="40"/>
        <v>0</v>
      </c>
      <c r="N171" s="50">
        <f t="shared" ca="1" si="39"/>
        <v>0</v>
      </c>
    </row>
    <row r="172" spans="1:14" ht="21.75" customHeight="1" x14ac:dyDescent="0.4">
      <c r="A172" s="42"/>
      <c r="B172" s="43"/>
      <c r="C172" s="43"/>
      <c r="D172" s="51"/>
      <c r="E172" s="45"/>
      <c r="F172" s="45"/>
      <c r="G172" s="52" t="s">
        <v>23</v>
      </c>
      <c r="H172" s="47" t="s">
        <v>20</v>
      </c>
      <c r="I172" s="48"/>
      <c r="J172" s="48"/>
      <c r="K172" s="49"/>
      <c r="L172" s="53">
        <f ca="1">IFERROR(__xludf.DUMMYFUNCTION("IMPORTRANGE(""https://docs.google.com/spreadsheets/d/1C3CXT74ZlgGe6_JY_1olB1XN4rF0dxEuIIF-xsYjHgg/edit?usp=sharing"",""พรบ!BD33"")"),0)</f>
        <v>0</v>
      </c>
      <c r="M172" s="54">
        <v>0</v>
      </c>
      <c r="N172" s="53">
        <f t="shared" ca="1" si="39"/>
        <v>0</v>
      </c>
    </row>
    <row r="173" spans="1:14" ht="21.75" customHeight="1" x14ac:dyDescent="0.4">
      <c r="A173" s="42"/>
      <c r="B173" s="43"/>
      <c r="C173" s="43"/>
      <c r="D173" s="51"/>
      <c r="E173" s="45"/>
      <c r="F173" s="45"/>
      <c r="G173" s="52" t="s">
        <v>24</v>
      </c>
      <c r="H173" s="47" t="s">
        <v>20</v>
      </c>
      <c r="I173" s="48"/>
      <c r="J173" s="48"/>
      <c r="K173" s="49"/>
      <c r="L173" s="53">
        <f ca="1">IFERROR(__xludf.DUMMYFUNCTION("IMPORTRANGE(""https://docs.google.com/spreadsheets/d/1C3CXT74ZlgGe6_JY_1olB1XN4rF0dxEuIIF-xsYjHgg/edit?usp=sharing"",""พรบ!BE33"")"),0)</f>
        <v>0</v>
      </c>
      <c r="M173" s="54">
        <v>0</v>
      </c>
      <c r="N173" s="53">
        <f t="shared" ca="1" si="39"/>
        <v>0</v>
      </c>
    </row>
    <row r="174" spans="1:14" ht="21.75" customHeight="1" x14ac:dyDescent="0.4">
      <c r="A174" s="55"/>
      <c r="B174" s="56"/>
      <c r="C174" s="43" t="s">
        <v>17</v>
      </c>
      <c r="D174" s="57" t="s">
        <v>25</v>
      </c>
      <c r="E174" s="58"/>
      <c r="F174" s="58"/>
      <c r="G174" s="59"/>
      <c r="H174" s="60"/>
      <c r="I174" s="48"/>
      <c r="J174" s="48"/>
      <c r="K174" s="49"/>
      <c r="L174" s="61"/>
      <c r="M174" s="61"/>
      <c r="N174" s="61"/>
    </row>
    <row r="175" spans="1:14" ht="21.75" customHeight="1" x14ac:dyDescent="0.4">
      <c r="A175" s="55"/>
      <c r="B175" s="56"/>
      <c r="C175" s="56"/>
      <c r="D175" s="62">
        <v>1</v>
      </c>
      <c r="E175" s="63" t="s">
        <v>26</v>
      </c>
      <c r="F175" s="64"/>
      <c r="G175" s="65"/>
      <c r="H175" s="66"/>
      <c r="I175" s="67"/>
      <c r="J175" s="68">
        <v>0</v>
      </c>
      <c r="K175" s="49"/>
      <c r="L175" s="61"/>
      <c r="M175" s="61"/>
      <c r="N175" s="61"/>
    </row>
    <row r="176" spans="1:14" ht="21.75" customHeight="1" x14ac:dyDescent="0.4">
      <c r="A176" s="55"/>
      <c r="B176" s="56"/>
      <c r="C176" s="56"/>
      <c r="D176" s="69">
        <v>2</v>
      </c>
      <c r="E176" s="70" t="s">
        <v>27</v>
      </c>
      <c r="F176" s="71"/>
      <c r="G176" s="72"/>
      <c r="H176" s="66"/>
      <c r="I176" s="67"/>
      <c r="J176" s="68">
        <v>0</v>
      </c>
      <c r="K176" s="49"/>
      <c r="L176" s="61" t="s">
        <v>21</v>
      </c>
      <c r="M176" s="61" t="s">
        <v>21</v>
      </c>
      <c r="N176" s="61"/>
    </row>
    <row r="177" spans="1:14" ht="21.75" customHeight="1" x14ac:dyDescent="0.4">
      <c r="A177" s="55"/>
      <c r="B177" s="56"/>
      <c r="C177" s="56"/>
      <c r="D177" s="73"/>
      <c r="E177" s="74" t="s">
        <v>28</v>
      </c>
      <c r="F177" s="75"/>
      <c r="G177" s="76"/>
      <c r="H177" s="66"/>
      <c r="I177" s="67"/>
      <c r="J177" s="68">
        <v>0</v>
      </c>
      <c r="K177" s="49"/>
      <c r="L177" s="61"/>
      <c r="M177" s="61"/>
      <c r="N177" s="61"/>
    </row>
    <row r="178" spans="1:14" ht="21.75" customHeight="1" x14ac:dyDescent="0.4">
      <c r="A178" s="55"/>
      <c r="B178" s="56"/>
      <c r="C178" s="56"/>
      <c r="D178" s="73"/>
      <c r="E178" s="74" t="s">
        <v>29</v>
      </c>
      <c r="F178" s="75"/>
      <c r="G178" s="76"/>
      <c r="H178" s="66"/>
      <c r="I178" s="67"/>
      <c r="J178" s="68">
        <v>0</v>
      </c>
      <c r="K178" s="49"/>
      <c r="L178" s="61"/>
      <c r="M178" s="61"/>
      <c r="N178" s="61"/>
    </row>
    <row r="179" spans="1:14" ht="21.75" customHeight="1" x14ac:dyDescent="0.4">
      <c r="A179" s="55"/>
      <c r="B179" s="56"/>
      <c r="C179" s="56"/>
      <c r="D179" s="73"/>
      <c r="E179" s="77"/>
      <c r="F179" s="74" t="s">
        <v>86</v>
      </c>
      <c r="G179" s="76"/>
      <c r="H179" s="60" t="s">
        <v>40</v>
      </c>
      <c r="I179" s="67">
        <f ca="1">IFERROR(__xludf.DUMMYFUNCTION("IMPORTRANGE(""https://docs.google.com/spreadsheets/d/1C3CXT74ZlgGe6_JY_1olB1XN4rF0dxEuIIF-xsYjHgg/edit?usp=sharing"",""พรบ!BF33"")"),0)</f>
        <v>0</v>
      </c>
      <c r="J179" s="68">
        <v>0</v>
      </c>
      <c r="K179" s="49">
        <f t="shared" ref="K179:K182" ca="1" si="41">IF(I179&gt;0,J179*100/I179,0)</f>
        <v>0</v>
      </c>
      <c r="L179" s="61"/>
      <c r="M179" s="61"/>
      <c r="N179" s="61"/>
    </row>
    <row r="180" spans="1:14" ht="21.75" customHeight="1" x14ac:dyDescent="0.4">
      <c r="A180" s="55"/>
      <c r="B180" s="56"/>
      <c r="C180" s="56"/>
      <c r="D180" s="73"/>
      <c r="E180" s="77"/>
      <c r="F180" s="74" t="s">
        <v>87</v>
      </c>
      <c r="G180" s="76"/>
      <c r="H180" s="60" t="s">
        <v>16</v>
      </c>
      <c r="I180" s="67">
        <f ca="1">IFERROR(__xludf.DUMMYFUNCTION("IMPORTRANGE(""https://docs.google.com/spreadsheets/d/1C3CXT74ZlgGe6_JY_1olB1XN4rF0dxEuIIF-xsYjHgg/edit?usp=sharing"",""พรบ!BG33"")"),0)</f>
        <v>0</v>
      </c>
      <c r="J180" s="68">
        <v>0</v>
      </c>
      <c r="K180" s="49">
        <f t="shared" ca="1" si="41"/>
        <v>0</v>
      </c>
      <c r="L180" s="61"/>
      <c r="M180" s="61"/>
      <c r="N180" s="61"/>
    </row>
    <row r="181" spans="1:14" ht="21.75" customHeight="1" x14ac:dyDescent="0.4">
      <c r="A181" s="55"/>
      <c r="B181" s="56"/>
      <c r="C181" s="56"/>
      <c r="D181" s="73"/>
      <c r="E181" s="77"/>
      <c r="F181" s="74" t="s">
        <v>88</v>
      </c>
      <c r="G181" s="76"/>
      <c r="H181" s="60" t="s">
        <v>16</v>
      </c>
      <c r="I181" s="67">
        <f ca="1">IFERROR(__xludf.DUMMYFUNCTION("IMPORTRANGE(""https://docs.google.com/spreadsheets/d/1C3CXT74ZlgGe6_JY_1olB1XN4rF0dxEuIIF-xsYjHgg/edit?usp=sharing"",""พรบ!BH33"")"),0)</f>
        <v>0</v>
      </c>
      <c r="J181" s="68">
        <v>0</v>
      </c>
      <c r="K181" s="49">
        <f t="shared" ca="1" si="41"/>
        <v>0</v>
      </c>
      <c r="L181" s="61"/>
      <c r="M181" s="61"/>
      <c r="N181" s="61"/>
    </row>
    <row r="182" spans="1:14" ht="21.75" customHeight="1" x14ac:dyDescent="0.4">
      <c r="A182" s="55"/>
      <c r="B182" s="56"/>
      <c r="C182" s="56"/>
      <c r="D182" s="73"/>
      <c r="E182" s="77"/>
      <c r="F182" s="74" t="s">
        <v>89</v>
      </c>
      <c r="G182" s="76"/>
      <c r="H182" s="60" t="s">
        <v>16</v>
      </c>
      <c r="I182" s="67">
        <f ca="1">IFERROR(__xludf.DUMMYFUNCTION("IMPORTRANGE(""https://docs.google.com/spreadsheets/d/1C3CXT74ZlgGe6_JY_1olB1XN4rF0dxEuIIF-xsYjHgg/edit?usp=sharing"",""พรบ!BI33"")"),0)</f>
        <v>0</v>
      </c>
      <c r="J182" s="68">
        <v>0</v>
      </c>
      <c r="K182" s="49">
        <f t="shared" ca="1" si="41"/>
        <v>0</v>
      </c>
      <c r="L182" s="61"/>
      <c r="M182" s="61"/>
      <c r="N182" s="61"/>
    </row>
    <row r="183" spans="1:14" ht="21.75" customHeight="1" x14ac:dyDescent="0.4">
      <c r="A183" s="55"/>
      <c r="B183" s="56"/>
      <c r="C183" s="56"/>
      <c r="D183" s="73"/>
      <c r="E183" s="74" t="s">
        <v>35</v>
      </c>
      <c r="F183" s="75"/>
      <c r="G183" s="76"/>
      <c r="H183" s="66"/>
      <c r="I183" s="67"/>
      <c r="J183" s="68">
        <v>0</v>
      </c>
      <c r="K183" s="49"/>
      <c r="L183" s="61"/>
      <c r="M183" s="61"/>
      <c r="N183" s="61"/>
    </row>
    <row r="184" spans="1:14" ht="21.75" customHeight="1" x14ac:dyDescent="0.4">
      <c r="A184" s="105"/>
      <c r="B184" s="106"/>
      <c r="C184" s="106"/>
      <c r="D184" s="107">
        <v>3</v>
      </c>
      <c r="E184" s="108" t="s">
        <v>36</v>
      </c>
      <c r="F184" s="109"/>
      <c r="G184" s="110"/>
      <c r="H184" s="111"/>
      <c r="I184" s="112"/>
      <c r="J184" s="113">
        <v>0</v>
      </c>
      <c r="K184" s="114"/>
      <c r="L184" s="115"/>
      <c r="M184" s="115"/>
      <c r="N184" s="115"/>
    </row>
    <row r="185" spans="1:14" ht="21.75" customHeight="1" x14ac:dyDescent="0.4">
      <c r="A185" s="174"/>
      <c r="B185" s="175" t="s">
        <v>90</v>
      </c>
      <c r="C185" s="175"/>
      <c r="D185" s="175"/>
      <c r="E185" s="175"/>
      <c r="F185" s="175"/>
      <c r="G185" s="176"/>
      <c r="H185" s="177" t="s">
        <v>16</v>
      </c>
      <c r="I185" s="178">
        <f ca="1">I195</f>
        <v>15</v>
      </c>
      <c r="J185" s="178">
        <f>+J195</f>
        <v>0</v>
      </c>
      <c r="K185" s="179">
        <f ca="1">IF(I185&gt;0,J185*100/I185,0)</f>
        <v>0</v>
      </c>
      <c r="L185" s="180">
        <f ca="1">L186+L187</f>
        <v>55200</v>
      </c>
      <c r="M185" s="180">
        <f>SUM(M186:M187)</f>
        <v>0</v>
      </c>
      <c r="N185" s="179">
        <f ca="1">IF(L185&gt;0,M185*100/L185,0)</f>
        <v>0</v>
      </c>
    </row>
    <row r="186" spans="1:14" ht="21.75" customHeight="1" x14ac:dyDescent="0.4">
      <c r="A186" s="42"/>
      <c r="B186" s="43"/>
      <c r="C186" s="43" t="s">
        <v>17</v>
      </c>
      <c r="D186" s="44" t="s">
        <v>18</v>
      </c>
      <c r="E186" s="45"/>
      <c r="F186" s="45"/>
      <c r="G186" s="46" t="s">
        <v>19</v>
      </c>
      <c r="H186" s="47" t="s">
        <v>20</v>
      </c>
      <c r="I186" s="48" t="s">
        <v>21</v>
      </c>
      <c r="J186" s="48"/>
      <c r="K186" s="49"/>
      <c r="L186" s="50">
        <v>0</v>
      </c>
      <c r="M186" s="50">
        <v>0</v>
      </c>
      <c r="N186" s="50">
        <f t="shared" ref="N186:N189" si="42">+IF(L186&gt;0,M186*100/L186,0)</f>
        <v>0</v>
      </c>
    </row>
    <row r="187" spans="1:14" ht="21.75" customHeight="1" x14ac:dyDescent="0.4">
      <c r="A187" s="42"/>
      <c r="B187" s="43"/>
      <c r="C187" s="43"/>
      <c r="D187" s="51"/>
      <c r="E187" s="45"/>
      <c r="F187" s="45" t="s">
        <v>21</v>
      </c>
      <c r="G187" s="46" t="s">
        <v>22</v>
      </c>
      <c r="H187" s="47" t="s">
        <v>20</v>
      </c>
      <c r="I187" s="48"/>
      <c r="J187" s="48"/>
      <c r="K187" s="49"/>
      <c r="L187" s="50">
        <f t="shared" ref="L187:M187" ca="1" si="43">SUM(L188:L189)</f>
        <v>55200</v>
      </c>
      <c r="M187" s="50">
        <f t="shared" si="43"/>
        <v>0</v>
      </c>
      <c r="N187" s="50">
        <f t="shared" ca="1" si="42"/>
        <v>0</v>
      </c>
    </row>
    <row r="188" spans="1:14" ht="21.75" customHeight="1" x14ac:dyDescent="0.4">
      <c r="A188" s="42"/>
      <c r="B188" s="43"/>
      <c r="C188" s="43"/>
      <c r="D188" s="51"/>
      <c r="E188" s="45"/>
      <c r="F188" s="45"/>
      <c r="G188" s="52" t="s">
        <v>23</v>
      </c>
      <c r="H188" s="47" t="s">
        <v>20</v>
      </c>
      <c r="I188" s="48"/>
      <c r="J188" s="48"/>
      <c r="K188" s="49"/>
      <c r="L188" s="53">
        <f ca="1">IFERROR(__xludf.DUMMYFUNCTION("IMPORTRANGE(""https://docs.google.com/spreadsheets/d/1C3CXT74ZlgGe6_JY_1olB1XN4rF0dxEuIIF-xsYjHgg/edit?usp=sharing"",""พรบ!BK33"")"),0)</f>
        <v>0</v>
      </c>
      <c r="M188" s="54">
        <v>0</v>
      </c>
      <c r="N188" s="53">
        <f t="shared" ca="1" si="42"/>
        <v>0</v>
      </c>
    </row>
    <row r="189" spans="1:14" ht="21.75" customHeight="1" x14ac:dyDescent="0.4">
      <c r="A189" s="42"/>
      <c r="B189" s="43"/>
      <c r="C189" s="43"/>
      <c r="D189" s="51"/>
      <c r="E189" s="45"/>
      <c r="F189" s="45"/>
      <c r="G189" s="52" t="s">
        <v>24</v>
      </c>
      <c r="H189" s="47" t="s">
        <v>20</v>
      </c>
      <c r="I189" s="48"/>
      <c r="J189" s="48"/>
      <c r="K189" s="49"/>
      <c r="L189" s="53">
        <f ca="1">IFERROR(__xludf.DUMMYFUNCTION("IMPORTRANGE(""https://docs.google.com/spreadsheets/d/1C3CXT74ZlgGe6_JY_1olB1XN4rF0dxEuIIF-xsYjHgg/edit?usp=sharing"",""พรบ!BL33"")"),55200)</f>
        <v>55200</v>
      </c>
      <c r="M189" s="54">
        <v>0</v>
      </c>
      <c r="N189" s="53">
        <f t="shared" ca="1" si="42"/>
        <v>0</v>
      </c>
    </row>
    <row r="190" spans="1:14" ht="21.75" customHeight="1" x14ac:dyDescent="0.4">
      <c r="A190" s="55"/>
      <c r="B190" s="56"/>
      <c r="C190" s="43" t="s">
        <v>17</v>
      </c>
      <c r="D190" s="57" t="s">
        <v>25</v>
      </c>
      <c r="E190" s="58"/>
      <c r="F190" s="58"/>
      <c r="G190" s="59"/>
      <c r="H190" s="60"/>
      <c r="I190" s="48"/>
      <c r="J190" s="48"/>
      <c r="K190" s="49"/>
      <c r="L190" s="61"/>
      <c r="M190" s="61"/>
      <c r="N190" s="61"/>
    </row>
    <row r="191" spans="1:14" ht="21.75" customHeight="1" x14ac:dyDescent="0.4">
      <c r="A191" s="55"/>
      <c r="B191" s="56"/>
      <c r="C191" s="56"/>
      <c r="D191" s="62">
        <v>1</v>
      </c>
      <c r="E191" s="63" t="s">
        <v>26</v>
      </c>
      <c r="F191" s="64"/>
      <c r="G191" s="65"/>
      <c r="H191" s="66"/>
      <c r="I191" s="67"/>
      <c r="J191" s="68">
        <v>1</v>
      </c>
      <c r="K191" s="49"/>
      <c r="L191" s="61"/>
      <c r="M191" s="61"/>
      <c r="N191" s="61"/>
    </row>
    <row r="192" spans="1:14" ht="21.75" customHeight="1" x14ac:dyDescent="0.4">
      <c r="A192" s="55"/>
      <c r="B192" s="56"/>
      <c r="C192" s="56"/>
      <c r="D192" s="69">
        <v>2</v>
      </c>
      <c r="E192" s="70" t="s">
        <v>27</v>
      </c>
      <c r="F192" s="71"/>
      <c r="G192" s="72"/>
      <c r="H192" s="66"/>
      <c r="I192" s="67"/>
      <c r="J192" s="68">
        <v>0</v>
      </c>
      <c r="K192" s="49"/>
      <c r="L192" s="61"/>
      <c r="M192" s="61"/>
      <c r="N192" s="61"/>
    </row>
    <row r="193" spans="1:14" ht="21.75" customHeight="1" x14ac:dyDescent="0.4">
      <c r="A193" s="55"/>
      <c r="B193" s="56"/>
      <c r="C193" s="56"/>
      <c r="D193" s="73"/>
      <c r="E193" s="74" t="s">
        <v>28</v>
      </c>
      <c r="F193" s="75"/>
      <c r="G193" s="76"/>
      <c r="H193" s="66"/>
      <c r="I193" s="67"/>
      <c r="J193" s="68">
        <v>0</v>
      </c>
      <c r="K193" s="49"/>
      <c r="L193" s="61"/>
      <c r="M193" s="61"/>
      <c r="N193" s="61"/>
    </row>
    <row r="194" spans="1:14" ht="21.75" customHeight="1" x14ac:dyDescent="0.4">
      <c r="A194" s="55"/>
      <c r="B194" s="56"/>
      <c r="C194" s="56"/>
      <c r="D194" s="73"/>
      <c r="E194" s="74" t="s">
        <v>29</v>
      </c>
      <c r="F194" s="75"/>
      <c r="G194" s="76"/>
      <c r="H194" s="66"/>
      <c r="I194" s="67"/>
      <c r="J194" s="68">
        <v>0</v>
      </c>
      <c r="K194" s="49"/>
      <c r="L194" s="61"/>
      <c r="M194" s="61"/>
      <c r="N194" s="61"/>
    </row>
    <row r="195" spans="1:14" ht="21.75" customHeight="1" x14ac:dyDescent="0.4">
      <c r="A195" s="55"/>
      <c r="B195" s="56"/>
      <c r="C195" s="56"/>
      <c r="D195" s="73"/>
      <c r="E195" s="75"/>
      <c r="F195" s="74" t="s">
        <v>91</v>
      </c>
      <c r="G195" s="76"/>
      <c r="H195" s="66" t="s">
        <v>16</v>
      </c>
      <c r="I195" s="67">
        <f ca="1">IFERROR(__xludf.DUMMYFUNCTION("IMPORTRANGE(""https://docs.google.com/spreadsheets/d/1C3CXT74ZlgGe6_JY_1olB1XN4rF0dxEuIIF-xsYjHgg/edit?usp=sharing"",""พรบ!BM33"")"),15)</f>
        <v>15</v>
      </c>
      <c r="J195" s="68">
        <v>0</v>
      </c>
      <c r="K195" s="49">
        <f ca="1">IF(I195&gt;0,J195*100/I195,0)</f>
        <v>0</v>
      </c>
      <c r="L195" s="61"/>
      <c r="M195" s="61"/>
      <c r="N195" s="61"/>
    </row>
    <row r="196" spans="1:14" ht="21.75" customHeight="1" x14ac:dyDescent="0.4">
      <c r="A196" s="55"/>
      <c r="B196" s="56"/>
      <c r="C196" s="56"/>
      <c r="D196" s="73"/>
      <c r="E196" s="74" t="s">
        <v>35</v>
      </c>
      <c r="F196" s="75"/>
      <c r="G196" s="76"/>
      <c r="H196" s="66"/>
      <c r="I196" s="67"/>
      <c r="J196" s="68">
        <v>0</v>
      </c>
      <c r="K196" s="49"/>
      <c r="L196" s="61"/>
      <c r="M196" s="61"/>
      <c r="N196" s="61"/>
    </row>
    <row r="197" spans="1:14" ht="21.75" customHeight="1" x14ac:dyDescent="0.4">
      <c r="A197" s="55"/>
      <c r="B197" s="56"/>
      <c r="C197" s="56"/>
      <c r="D197" s="81">
        <v>3</v>
      </c>
      <c r="E197" s="82" t="s">
        <v>36</v>
      </c>
      <c r="F197" s="83"/>
      <c r="G197" s="84"/>
      <c r="H197" s="66"/>
      <c r="I197" s="67"/>
      <c r="J197" s="85">
        <v>0</v>
      </c>
      <c r="K197" s="49"/>
      <c r="L197" s="61"/>
      <c r="M197" s="61"/>
      <c r="N197" s="61"/>
    </row>
    <row r="198" spans="1:14" ht="21.75" customHeight="1" x14ac:dyDescent="0.4">
      <c r="A198" s="166" t="s">
        <v>92</v>
      </c>
      <c r="B198" s="167"/>
      <c r="C198" s="167"/>
      <c r="D198" s="168"/>
      <c r="E198" s="167"/>
      <c r="F198" s="167"/>
      <c r="G198" s="181"/>
      <c r="H198" s="182"/>
      <c r="I198" s="183"/>
      <c r="J198" s="183"/>
      <c r="K198" s="184"/>
      <c r="L198" s="184"/>
      <c r="M198" s="184"/>
      <c r="N198" s="173"/>
    </row>
    <row r="199" spans="1:14" ht="21.75" customHeight="1" x14ac:dyDescent="0.4">
      <c r="A199" s="185"/>
      <c r="B199" s="175" t="s">
        <v>93</v>
      </c>
      <c r="C199" s="186"/>
      <c r="D199" s="187"/>
      <c r="E199" s="175"/>
      <c r="F199" s="175"/>
      <c r="G199" s="176"/>
      <c r="H199" s="177" t="s">
        <v>16</v>
      </c>
      <c r="I199" s="178">
        <f t="shared" ref="I199:J199" ca="1" si="44">I209</f>
        <v>0</v>
      </c>
      <c r="J199" s="178">
        <f t="shared" si="44"/>
        <v>0</v>
      </c>
      <c r="K199" s="179">
        <f ca="1">IF(I199&gt;0,J199*100/I199,0)</f>
        <v>0</v>
      </c>
      <c r="L199" s="180">
        <f ca="1">L200+L201</f>
        <v>0</v>
      </c>
      <c r="M199" s="180">
        <f>SUM(M200:M201)</f>
        <v>0</v>
      </c>
      <c r="N199" s="179">
        <f ca="1">IF(L199&gt;0,M199*100/L199,0)</f>
        <v>0</v>
      </c>
    </row>
    <row r="200" spans="1:14" ht="21.75" customHeight="1" x14ac:dyDescent="0.4">
      <c r="A200" s="42"/>
      <c r="B200" s="43"/>
      <c r="C200" s="43" t="s">
        <v>17</v>
      </c>
      <c r="D200" s="44" t="s">
        <v>18</v>
      </c>
      <c r="E200" s="45"/>
      <c r="F200" s="45"/>
      <c r="G200" s="46" t="s">
        <v>19</v>
      </c>
      <c r="H200" s="47" t="s">
        <v>20</v>
      </c>
      <c r="I200" s="48" t="s">
        <v>21</v>
      </c>
      <c r="J200" s="48"/>
      <c r="K200" s="49"/>
      <c r="L200" s="50">
        <v>0</v>
      </c>
      <c r="M200" s="50">
        <v>0</v>
      </c>
      <c r="N200" s="50">
        <f t="shared" ref="N200:N203" si="45">+IF(L200&gt;0,M200*100/L200,0)</f>
        <v>0</v>
      </c>
    </row>
    <row r="201" spans="1:14" ht="21.75" customHeight="1" x14ac:dyDescent="0.4">
      <c r="A201" s="42"/>
      <c r="B201" s="43"/>
      <c r="C201" s="43"/>
      <c r="D201" s="51"/>
      <c r="E201" s="45"/>
      <c r="F201" s="45" t="s">
        <v>21</v>
      </c>
      <c r="G201" s="46" t="s">
        <v>22</v>
      </c>
      <c r="H201" s="47" t="s">
        <v>20</v>
      </c>
      <c r="I201" s="48"/>
      <c r="J201" s="48"/>
      <c r="K201" s="49"/>
      <c r="L201" s="50">
        <f t="shared" ref="L201:M201" ca="1" si="46">SUM(L202:L203)</f>
        <v>0</v>
      </c>
      <c r="M201" s="50">
        <f t="shared" si="46"/>
        <v>0</v>
      </c>
      <c r="N201" s="50">
        <f t="shared" ca="1" si="45"/>
        <v>0</v>
      </c>
    </row>
    <row r="202" spans="1:14" ht="21.75" customHeight="1" x14ac:dyDescent="0.4">
      <c r="A202" s="42"/>
      <c r="B202" s="43"/>
      <c r="C202" s="43"/>
      <c r="D202" s="51"/>
      <c r="E202" s="45"/>
      <c r="F202" s="45"/>
      <c r="G202" s="52" t="s">
        <v>23</v>
      </c>
      <c r="H202" s="47" t="s">
        <v>20</v>
      </c>
      <c r="I202" s="48"/>
      <c r="J202" s="48"/>
      <c r="K202" s="49"/>
      <c r="L202" s="53">
        <v>0</v>
      </c>
      <c r="M202" s="53">
        <v>0</v>
      </c>
      <c r="N202" s="53">
        <f t="shared" si="45"/>
        <v>0</v>
      </c>
    </row>
    <row r="203" spans="1:14" ht="21.75" customHeight="1" x14ac:dyDescent="0.4">
      <c r="A203" s="42"/>
      <c r="B203" s="43"/>
      <c r="C203" s="43"/>
      <c r="D203" s="51"/>
      <c r="E203" s="45"/>
      <c r="F203" s="45"/>
      <c r="G203" s="52" t="s">
        <v>24</v>
      </c>
      <c r="H203" s="47" t="s">
        <v>20</v>
      </c>
      <c r="I203" s="48"/>
      <c r="J203" s="48"/>
      <c r="K203" s="49"/>
      <c r="L203" s="53">
        <f ca="1">IFERROR(__xludf.DUMMYFUNCTION("IMPORTRANGE(""https://docs.google.com/spreadsheets/d/1C3CXT74ZlgGe6_JY_1olB1XN4rF0dxEuIIF-xsYjHgg/edit?usp=sharing"",""พรบ!BP33"")"),0)</f>
        <v>0</v>
      </c>
      <c r="M203" s="54">
        <v>0</v>
      </c>
      <c r="N203" s="53">
        <f t="shared" ca="1" si="45"/>
        <v>0</v>
      </c>
    </row>
    <row r="204" spans="1:14" ht="21.75" customHeight="1" x14ac:dyDescent="0.4">
      <c r="A204" s="55"/>
      <c r="B204" s="56"/>
      <c r="C204" s="43" t="s">
        <v>17</v>
      </c>
      <c r="D204" s="57" t="s">
        <v>25</v>
      </c>
      <c r="E204" s="58"/>
      <c r="F204" s="58"/>
      <c r="G204" s="59"/>
      <c r="H204" s="60"/>
      <c r="I204" s="48"/>
      <c r="J204" s="48"/>
      <c r="K204" s="49"/>
      <c r="L204" s="61"/>
      <c r="M204" s="61"/>
      <c r="N204" s="61"/>
    </row>
    <row r="205" spans="1:14" ht="21.75" customHeight="1" x14ac:dyDescent="0.4">
      <c r="A205" s="55"/>
      <c r="B205" s="56"/>
      <c r="C205" s="56"/>
      <c r="D205" s="62">
        <v>1</v>
      </c>
      <c r="E205" s="63" t="s">
        <v>26</v>
      </c>
      <c r="F205" s="64"/>
      <c r="G205" s="65"/>
      <c r="H205" s="66"/>
      <c r="I205" s="67"/>
      <c r="J205" s="68">
        <v>0</v>
      </c>
      <c r="K205" s="49"/>
      <c r="L205" s="61"/>
      <c r="M205" s="61"/>
      <c r="N205" s="61"/>
    </row>
    <row r="206" spans="1:14" ht="21.75" customHeight="1" x14ac:dyDescent="0.4">
      <c r="A206" s="55"/>
      <c r="B206" s="56"/>
      <c r="C206" s="56"/>
      <c r="D206" s="69">
        <v>2</v>
      </c>
      <c r="E206" s="70" t="s">
        <v>27</v>
      </c>
      <c r="F206" s="71"/>
      <c r="G206" s="72"/>
      <c r="H206" s="66"/>
      <c r="I206" s="67"/>
      <c r="J206" s="68">
        <v>0</v>
      </c>
      <c r="K206" s="49"/>
      <c r="L206" s="61" t="s">
        <v>21</v>
      </c>
      <c r="M206" s="61" t="s">
        <v>21</v>
      </c>
      <c r="N206" s="61"/>
    </row>
    <row r="207" spans="1:14" ht="21.75" customHeight="1" x14ac:dyDescent="0.4">
      <c r="A207" s="55"/>
      <c r="B207" s="56"/>
      <c r="C207" s="56"/>
      <c r="D207" s="73"/>
      <c r="E207" s="74" t="s">
        <v>28</v>
      </c>
      <c r="F207" s="75"/>
      <c r="G207" s="76"/>
      <c r="H207" s="66"/>
      <c r="I207" s="67"/>
      <c r="J207" s="68">
        <v>0</v>
      </c>
      <c r="K207" s="49"/>
      <c r="L207" s="61"/>
      <c r="M207" s="61"/>
      <c r="N207" s="61"/>
    </row>
    <row r="208" spans="1:14" ht="21.75" customHeight="1" x14ac:dyDescent="0.4">
      <c r="A208" s="55"/>
      <c r="B208" s="56"/>
      <c r="C208" s="56"/>
      <c r="D208" s="73"/>
      <c r="E208" s="74" t="s">
        <v>29</v>
      </c>
      <c r="F208" s="75"/>
      <c r="G208" s="76"/>
      <c r="H208" s="66"/>
      <c r="I208" s="67"/>
      <c r="J208" s="68">
        <v>0</v>
      </c>
      <c r="K208" s="49"/>
      <c r="L208" s="61"/>
      <c r="M208" s="61"/>
      <c r="N208" s="61"/>
    </row>
    <row r="209" spans="1:14" ht="21.75" customHeight="1" x14ac:dyDescent="0.4">
      <c r="A209" s="55"/>
      <c r="B209" s="56"/>
      <c r="C209" s="56"/>
      <c r="D209" s="73"/>
      <c r="E209" s="77"/>
      <c r="F209" s="74" t="s">
        <v>94</v>
      </c>
      <c r="G209" s="76"/>
      <c r="H209" s="60" t="s">
        <v>16</v>
      </c>
      <c r="I209" s="67">
        <f ca="1">IFERROR(__xludf.DUMMYFUNCTION("IMPORTRANGE(""https://docs.google.com/spreadsheets/d/1C3CXT74ZlgGe6_JY_1olB1XN4rF0dxEuIIF-xsYjHgg/edit?usp=sharing"",""พรบ!BQ33"")"),0)</f>
        <v>0</v>
      </c>
      <c r="J209" s="68">
        <v>0</v>
      </c>
      <c r="K209" s="49">
        <f ca="1">IF(I209&gt;0,J209*100/I209,0)</f>
        <v>0</v>
      </c>
      <c r="L209" s="61"/>
      <c r="M209" s="61"/>
      <c r="N209" s="61"/>
    </row>
    <row r="210" spans="1:14" ht="21.75" customHeight="1" x14ac:dyDescent="0.4">
      <c r="A210" s="55"/>
      <c r="B210" s="56"/>
      <c r="C210" s="56"/>
      <c r="D210" s="73"/>
      <c r="E210" s="77"/>
      <c r="F210" s="74" t="s">
        <v>95</v>
      </c>
      <c r="G210" s="76"/>
      <c r="H210" s="60"/>
      <c r="I210" s="67"/>
      <c r="J210" s="67"/>
      <c r="K210" s="49"/>
      <c r="L210" s="61"/>
      <c r="M210" s="61"/>
      <c r="N210" s="61"/>
    </row>
    <row r="211" spans="1:14" ht="21.75" customHeight="1" x14ac:dyDescent="0.4">
      <c r="A211" s="55"/>
      <c r="B211" s="56"/>
      <c r="C211" s="56"/>
      <c r="D211" s="73"/>
      <c r="E211" s="77"/>
      <c r="F211" s="75" t="s">
        <v>34</v>
      </c>
      <c r="G211" s="76"/>
      <c r="H211" s="60" t="s">
        <v>16</v>
      </c>
      <c r="I211" s="67">
        <f ca="1">IFERROR(__xludf.DUMMYFUNCTION("IMPORTRANGE(""https://docs.google.com/spreadsheets/d/1C3CXT74ZlgGe6_JY_1olB1XN4rF0dxEuIIF-xsYjHgg/edit?usp=sharing"",""พรบ!BR33"")"),0)</f>
        <v>0</v>
      </c>
      <c r="J211" s="68">
        <v>0</v>
      </c>
      <c r="K211" s="49">
        <f ca="1">IF(I211&gt;0,J211*100/I211,0)</f>
        <v>0</v>
      </c>
      <c r="L211" s="61"/>
      <c r="M211" s="61"/>
      <c r="N211" s="61"/>
    </row>
    <row r="212" spans="1:14" ht="21.75" customHeight="1" x14ac:dyDescent="0.4">
      <c r="A212" s="55"/>
      <c r="B212" s="56"/>
      <c r="C212" s="56"/>
      <c r="D212" s="73"/>
      <c r="E212" s="74" t="s">
        <v>35</v>
      </c>
      <c r="F212" s="75"/>
      <c r="G212" s="76"/>
      <c r="H212" s="66"/>
      <c r="I212" s="67"/>
      <c r="J212" s="68">
        <v>0</v>
      </c>
      <c r="K212" s="49"/>
      <c r="L212" s="61"/>
      <c r="M212" s="61"/>
      <c r="N212" s="61"/>
    </row>
    <row r="213" spans="1:14" ht="21.75" customHeight="1" x14ac:dyDescent="0.4">
      <c r="A213" s="55"/>
      <c r="B213" s="56"/>
      <c r="C213" s="56"/>
      <c r="D213" s="81">
        <v>3</v>
      </c>
      <c r="E213" s="82" t="s">
        <v>36</v>
      </c>
      <c r="F213" s="83"/>
      <c r="G213" s="84"/>
      <c r="H213" s="66"/>
      <c r="I213" s="67"/>
      <c r="J213" s="188">
        <v>0</v>
      </c>
      <c r="K213" s="49"/>
      <c r="L213" s="61"/>
      <c r="M213" s="61"/>
      <c r="N213" s="61"/>
    </row>
    <row r="214" spans="1:14" ht="21.75" customHeight="1" x14ac:dyDescent="0.4">
      <c r="A214" s="189"/>
      <c r="B214" s="190" t="s">
        <v>96</v>
      </c>
      <c r="C214" s="191"/>
      <c r="D214" s="192"/>
      <c r="E214" s="190"/>
      <c r="F214" s="190"/>
      <c r="G214" s="193"/>
      <c r="H214" s="194" t="s">
        <v>97</v>
      </c>
      <c r="I214" s="195">
        <f t="shared" ref="I214:J214" ca="1" si="47">I224</f>
        <v>0</v>
      </c>
      <c r="J214" s="195">
        <f t="shared" si="47"/>
        <v>0</v>
      </c>
      <c r="K214" s="196">
        <f ca="1">IF(I214&gt;0,J214*100/I214,0)</f>
        <v>0</v>
      </c>
      <c r="L214" s="197">
        <f ca="1">L215+L216</f>
        <v>0</v>
      </c>
      <c r="M214" s="197">
        <f>SUM(M215:M216)</f>
        <v>0</v>
      </c>
      <c r="N214" s="196">
        <f ca="1">IF(L214&gt;0,M214*100/L214,0)</f>
        <v>0</v>
      </c>
    </row>
    <row r="215" spans="1:14" ht="21.75" customHeight="1" x14ac:dyDescent="0.4">
      <c r="A215" s="42"/>
      <c r="B215" s="43"/>
      <c r="C215" s="43" t="s">
        <v>17</v>
      </c>
      <c r="D215" s="44" t="s">
        <v>18</v>
      </c>
      <c r="E215" s="45"/>
      <c r="F215" s="45"/>
      <c r="G215" s="46" t="s">
        <v>19</v>
      </c>
      <c r="H215" s="47" t="s">
        <v>20</v>
      </c>
      <c r="I215" s="48" t="s">
        <v>21</v>
      </c>
      <c r="J215" s="48"/>
      <c r="K215" s="49"/>
      <c r="L215" s="50">
        <v>0</v>
      </c>
      <c r="M215" s="53">
        <v>0</v>
      </c>
      <c r="N215" s="53">
        <f t="shared" ref="N215:N218" si="48">+IF(L215&gt;0,M215*100/L215,0)</f>
        <v>0</v>
      </c>
    </row>
    <row r="216" spans="1:14" ht="21.75" customHeight="1" x14ac:dyDescent="0.4">
      <c r="A216" s="42"/>
      <c r="B216" s="43"/>
      <c r="C216" s="43"/>
      <c r="D216" s="51"/>
      <c r="E216" s="45"/>
      <c r="F216" s="45" t="s">
        <v>21</v>
      </c>
      <c r="G216" s="46" t="s">
        <v>22</v>
      </c>
      <c r="H216" s="47" t="s">
        <v>20</v>
      </c>
      <c r="I216" s="48"/>
      <c r="J216" s="48"/>
      <c r="K216" s="49"/>
      <c r="L216" s="50">
        <f t="shared" ref="L216:M216" ca="1" si="49">SUM(L217:L218)</f>
        <v>0</v>
      </c>
      <c r="M216" s="53">
        <f t="shared" si="49"/>
        <v>0</v>
      </c>
      <c r="N216" s="53">
        <f t="shared" ca="1" si="48"/>
        <v>0</v>
      </c>
    </row>
    <row r="217" spans="1:14" ht="21.75" customHeight="1" x14ac:dyDescent="0.4">
      <c r="A217" s="42"/>
      <c r="B217" s="43"/>
      <c r="C217" s="43"/>
      <c r="D217" s="51"/>
      <c r="E217" s="45"/>
      <c r="F217" s="45"/>
      <c r="G217" s="52" t="s">
        <v>23</v>
      </c>
      <c r="H217" s="47" t="s">
        <v>20</v>
      </c>
      <c r="I217" s="48"/>
      <c r="J217" s="48"/>
      <c r="K217" s="49"/>
      <c r="L217" s="53">
        <v>0</v>
      </c>
      <c r="M217" s="53">
        <v>0</v>
      </c>
      <c r="N217" s="53">
        <f t="shared" si="48"/>
        <v>0</v>
      </c>
    </row>
    <row r="218" spans="1:14" ht="21.75" customHeight="1" x14ac:dyDescent="0.4">
      <c r="A218" s="42"/>
      <c r="B218" s="43"/>
      <c r="C218" s="43"/>
      <c r="D218" s="51"/>
      <c r="E218" s="45"/>
      <c r="F218" s="45"/>
      <c r="G218" s="52" t="s">
        <v>24</v>
      </c>
      <c r="H218" s="47" t="s">
        <v>20</v>
      </c>
      <c r="I218" s="48"/>
      <c r="J218" s="48"/>
      <c r="K218" s="49"/>
      <c r="L218" s="53">
        <f ca="1">IFERROR(__xludf.DUMMYFUNCTION("IMPORTRANGE(""https://docs.google.com/spreadsheets/d/1C3CXT74ZlgGe6_JY_1olB1XN4rF0dxEuIIF-xsYjHgg/edit?usp=sharing"",""พรบ!BU33"")"),0)</f>
        <v>0</v>
      </c>
      <c r="M218" s="54">
        <v>0</v>
      </c>
      <c r="N218" s="53">
        <f t="shared" ca="1" si="48"/>
        <v>0</v>
      </c>
    </row>
    <row r="219" spans="1:14" ht="21.75" customHeight="1" x14ac:dyDescent="0.4">
      <c r="A219" s="55"/>
      <c r="B219" s="56"/>
      <c r="C219" s="43" t="s">
        <v>17</v>
      </c>
      <c r="D219" s="57" t="s">
        <v>25</v>
      </c>
      <c r="E219" s="58"/>
      <c r="F219" s="58"/>
      <c r="G219" s="59"/>
      <c r="H219" s="60"/>
      <c r="I219" s="48"/>
      <c r="J219" s="48"/>
      <c r="K219" s="49"/>
      <c r="L219" s="61"/>
      <c r="M219" s="61"/>
      <c r="N219" s="61"/>
    </row>
    <row r="220" spans="1:14" ht="21.75" customHeight="1" x14ac:dyDescent="0.4">
      <c r="A220" s="55"/>
      <c r="B220" s="56"/>
      <c r="C220" s="56"/>
      <c r="D220" s="62">
        <v>1</v>
      </c>
      <c r="E220" s="63" t="s">
        <v>26</v>
      </c>
      <c r="F220" s="64"/>
      <c r="G220" s="65"/>
      <c r="H220" s="66"/>
      <c r="I220" s="67"/>
      <c r="J220" s="68">
        <v>0</v>
      </c>
      <c r="K220" s="49"/>
      <c r="L220" s="61"/>
      <c r="M220" s="61"/>
      <c r="N220" s="61"/>
    </row>
    <row r="221" spans="1:14" ht="21.75" customHeight="1" x14ac:dyDescent="0.4">
      <c r="A221" s="55"/>
      <c r="B221" s="56"/>
      <c r="C221" s="56"/>
      <c r="D221" s="69">
        <v>2</v>
      </c>
      <c r="E221" s="70" t="s">
        <v>27</v>
      </c>
      <c r="F221" s="71"/>
      <c r="G221" s="72"/>
      <c r="H221" s="66"/>
      <c r="I221" s="67"/>
      <c r="J221" s="68">
        <v>0</v>
      </c>
      <c r="K221" s="49"/>
      <c r="L221" s="61" t="s">
        <v>21</v>
      </c>
      <c r="M221" s="61" t="s">
        <v>21</v>
      </c>
      <c r="N221" s="61"/>
    </row>
    <row r="222" spans="1:14" ht="21.75" customHeight="1" x14ac:dyDescent="0.4">
      <c r="A222" s="55"/>
      <c r="B222" s="56"/>
      <c r="C222" s="56"/>
      <c r="D222" s="73"/>
      <c r="E222" s="74" t="s">
        <v>28</v>
      </c>
      <c r="F222" s="75"/>
      <c r="G222" s="76"/>
      <c r="H222" s="66"/>
      <c r="I222" s="67"/>
      <c r="J222" s="68">
        <v>0</v>
      </c>
      <c r="K222" s="49"/>
      <c r="L222" s="61"/>
      <c r="M222" s="61"/>
      <c r="N222" s="61"/>
    </row>
    <row r="223" spans="1:14" ht="21.75" customHeight="1" x14ac:dyDescent="0.4">
      <c r="A223" s="55"/>
      <c r="B223" s="56"/>
      <c r="C223" s="56"/>
      <c r="D223" s="73"/>
      <c r="E223" s="74" t="s">
        <v>29</v>
      </c>
      <c r="F223" s="75"/>
      <c r="G223" s="76"/>
      <c r="H223" s="66"/>
      <c r="I223" s="67"/>
      <c r="J223" s="68">
        <v>0</v>
      </c>
      <c r="K223" s="49"/>
      <c r="L223" s="61"/>
      <c r="M223" s="61"/>
      <c r="N223" s="61"/>
    </row>
    <row r="224" spans="1:14" ht="21.75" customHeight="1" x14ac:dyDescent="0.4">
      <c r="A224" s="55"/>
      <c r="B224" s="56"/>
      <c r="C224" s="56"/>
      <c r="D224" s="73"/>
      <c r="E224" s="77"/>
      <c r="F224" s="74" t="s">
        <v>98</v>
      </c>
      <c r="G224" s="76"/>
      <c r="H224" s="66" t="s">
        <v>97</v>
      </c>
      <c r="I224" s="67">
        <f ca="1">IFERROR(__xludf.DUMMYFUNCTION("IMPORTRANGE(""https://docs.google.com/spreadsheets/d/1C3CXT74ZlgGe6_JY_1olB1XN4rF0dxEuIIF-xsYjHgg/edit?usp=sharing"",""พรบ!BV33"")"),0)</f>
        <v>0</v>
      </c>
      <c r="J224" s="68">
        <v>0</v>
      </c>
      <c r="K224" s="49">
        <f ca="1">IF(I224&gt;0,J224*100/I224,0)</f>
        <v>0</v>
      </c>
      <c r="L224" s="61"/>
      <c r="M224" s="61"/>
      <c r="N224" s="61"/>
    </row>
    <row r="225" spans="1:14" ht="21.75" customHeight="1" x14ac:dyDescent="0.4">
      <c r="A225" s="55"/>
      <c r="B225" s="56"/>
      <c r="C225" s="56"/>
      <c r="D225" s="73"/>
      <c r="E225" s="74" t="s">
        <v>35</v>
      </c>
      <c r="F225" s="75"/>
      <c r="G225" s="76"/>
      <c r="H225" s="66"/>
      <c r="I225" s="67"/>
      <c r="J225" s="68">
        <v>0</v>
      </c>
      <c r="K225" s="49"/>
      <c r="L225" s="61"/>
      <c r="M225" s="61"/>
      <c r="N225" s="61"/>
    </row>
    <row r="226" spans="1:14" ht="21.75" customHeight="1" x14ac:dyDescent="0.4">
      <c r="A226" s="55"/>
      <c r="B226" s="56"/>
      <c r="C226" s="56"/>
      <c r="D226" s="81">
        <v>3</v>
      </c>
      <c r="E226" s="82" t="s">
        <v>36</v>
      </c>
      <c r="F226" s="83"/>
      <c r="G226" s="84"/>
      <c r="H226" s="66"/>
      <c r="I226" s="67"/>
      <c r="J226" s="85">
        <v>0</v>
      </c>
      <c r="K226" s="49"/>
      <c r="L226" s="61"/>
      <c r="M226" s="61"/>
      <c r="N226" s="61"/>
    </row>
    <row r="227" spans="1:14" ht="21.75" customHeight="1" x14ac:dyDescent="0.4">
      <c r="A227" s="166" t="s">
        <v>99</v>
      </c>
      <c r="B227" s="167"/>
      <c r="C227" s="167"/>
      <c r="D227" s="168"/>
      <c r="E227" s="167"/>
      <c r="F227" s="167"/>
      <c r="G227" s="181"/>
      <c r="H227" s="170"/>
      <c r="I227" s="171"/>
      <c r="J227" s="171"/>
      <c r="K227" s="172"/>
      <c r="L227" s="172"/>
      <c r="M227" s="172"/>
      <c r="N227" s="173"/>
    </row>
    <row r="228" spans="1:14" ht="21.75" customHeight="1" x14ac:dyDescent="0.4">
      <c r="A228" s="174"/>
      <c r="B228" s="175" t="s">
        <v>100</v>
      </c>
      <c r="C228" s="187"/>
      <c r="D228" s="175"/>
      <c r="E228" s="175"/>
      <c r="F228" s="175"/>
      <c r="G228" s="176"/>
      <c r="H228" s="177" t="s">
        <v>16</v>
      </c>
      <c r="I228" s="198">
        <f ca="1">I236</f>
        <v>222</v>
      </c>
      <c r="J228" s="198">
        <f ca="1">J240</f>
        <v>15</v>
      </c>
      <c r="K228" s="179">
        <f ca="1">IF(I228&gt;0,J228*100/I228,0)</f>
        <v>6.756756756756757</v>
      </c>
      <c r="L228" s="180">
        <f ca="1">L229+L230</f>
        <v>722380</v>
      </c>
      <c r="M228" s="180">
        <f>SUM(M229:M230)</f>
        <v>0</v>
      </c>
      <c r="N228" s="179">
        <f ca="1">IF(L228&gt;0,M228*100/L228,0)</f>
        <v>0</v>
      </c>
    </row>
    <row r="229" spans="1:14" ht="21.75" customHeight="1" x14ac:dyDescent="0.4">
      <c r="A229" s="42"/>
      <c r="B229" s="43"/>
      <c r="C229" s="43" t="s">
        <v>17</v>
      </c>
      <c r="D229" s="44" t="s">
        <v>18</v>
      </c>
      <c r="E229" s="45"/>
      <c r="F229" s="45"/>
      <c r="G229" s="46" t="s">
        <v>19</v>
      </c>
      <c r="H229" s="47" t="s">
        <v>20</v>
      </c>
      <c r="I229" s="48" t="s">
        <v>21</v>
      </c>
      <c r="J229" s="48"/>
      <c r="K229" s="49"/>
      <c r="L229" s="50">
        <v>0</v>
      </c>
      <c r="M229" s="53">
        <v>0</v>
      </c>
      <c r="N229" s="53">
        <f t="shared" ref="N229:N232" si="50">+IF(L229&gt;0,M229*100/L229,0)</f>
        <v>0</v>
      </c>
    </row>
    <row r="230" spans="1:14" ht="21.75" customHeight="1" x14ac:dyDescent="0.4">
      <c r="A230" s="42"/>
      <c r="B230" s="43"/>
      <c r="C230" s="43"/>
      <c r="D230" s="51"/>
      <c r="E230" s="45"/>
      <c r="F230" s="45" t="s">
        <v>21</v>
      </c>
      <c r="G230" s="46" t="s">
        <v>22</v>
      </c>
      <c r="H230" s="47" t="s">
        <v>20</v>
      </c>
      <c r="I230" s="48"/>
      <c r="J230" s="48"/>
      <c r="K230" s="49"/>
      <c r="L230" s="50">
        <f t="shared" ref="L230:M230" ca="1" si="51">SUM(L231:L232)</f>
        <v>722380</v>
      </c>
      <c r="M230" s="53">
        <f t="shared" si="51"/>
        <v>0</v>
      </c>
      <c r="N230" s="53">
        <f t="shared" ca="1" si="50"/>
        <v>0</v>
      </c>
    </row>
    <row r="231" spans="1:14" ht="21.75" customHeight="1" x14ac:dyDescent="0.4">
      <c r="A231" s="42"/>
      <c r="B231" s="43"/>
      <c r="C231" s="43"/>
      <c r="D231" s="51"/>
      <c r="E231" s="45"/>
      <c r="F231" s="45"/>
      <c r="G231" s="52" t="s">
        <v>23</v>
      </c>
      <c r="H231" s="47" t="s">
        <v>20</v>
      </c>
      <c r="I231" s="48"/>
      <c r="J231" s="48"/>
      <c r="K231" s="49"/>
      <c r="L231" s="53">
        <f ca="1">IFERROR(__xludf.DUMMYFUNCTION("IMPORTRANGE(""https://docs.google.com/spreadsheets/d/1C3CXT74ZlgGe6_JY_1olB1XN4rF0dxEuIIF-xsYjHgg/edit?usp=sharing"",""พรบ!BX33"")"),417600)</f>
        <v>417600</v>
      </c>
      <c r="M231" s="54">
        <v>0</v>
      </c>
      <c r="N231" s="53">
        <f t="shared" ca="1" si="50"/>
        <v>0</v>
      </c>
    </row>
    <row r="232" spans="1:14" ht="21.75" customHeight="1" x14ac:dyDescent="0.4">
      <c r="A232" s="42"/>
      <c r="B232" s="43"/>
      <c r="C232" s="43"/>
      <c r="D232" s="51"/>
      <c r="E232" s="45"/>
      <c r="F232" s="45"/>
      <c r="G232" s="52" t="s">
        <v>24</v>
      </c>
      <c r="H232" s="47" t="s">
        <v>20</v>
      </c>
      <c r="I232" s="48"/>
      <c r="J232" s="48"/>
      <c r="K232" s="49"/>
      <c r="L232" s="53">
        <f ca="1">IFERROR(__xludf.DUMMYFUNCTION("IMPORTRANGE(""https://docs.google.com/spreadsheets/d/1C3CXT74ZlgGe6_JY_1olB1XN4rF0dxEuIIF-xsYjHgg/edit?usp=sharing"",""พรบ!BY33"")"),304780)</f>
        <v>304780</v>
      </c>
      <c r="M232" s="54">
        <v>0</v>
      </c>
      <c r="N232" s="53">
        <f t="shared" ca="1" si="50"/>
        <v>0</v>
      </c>
    </row>
    <row r="233" spans="1:14" ht="21.75" customHeight="1" x14ac:dyDescent="0.4">
      <c r="A233" s="55"/>
      <c r="B233" s="155"/>
      <c r="C233" s="199" t="s">
        <v>101</v>
      </c>
      <c r="D233" s="75"/>
      <c r="E233" s="75"/>
      <c r="F233" s="75"/>
      <c r="G233" s="76"/>
      <c r="H233" s="60"/>
      <c r="I233" s="200"/>
      <c r="J233" s="200"/>
      <c r="K233" s="201"/>
      <c r="L233" s="61"/>
      <c r="M233" s="61"/>
      <c r="N233" s="202"/>
    </row>
    <row r="234" spans="1:14" ht="21.75" customHeight="1" x14ac:dyDescent="0.4">
      <c r="A234" s="55"/>
      <c r="B234" s="155"/>
      <c r="C234" s="56"/>
      <c r="D234" s="75"/>
      <c r="E234" s="74" t="s">
        <v>102</v>
      </c>
      <c r="F234" s="75"/>
      <c r="G234" s="76"/>
      <c r="H234" s="60" t="s">
        <v>16</v>
      </c>
      <c r="I234" s="67">
        <v>0</v>
      </c>
      <c r="J234" s="67">
        <f ca="1">IFERROR(__xludf.DUMMYFUNCTION("IMPORTRANGE(""https://docs.google.com/spreadsheets/d/1AGHcLOeeYFL3K4b9R1dSzyJy00PE_ra89DNTVfnxSWM/edit?usp=sharing"",""รวมที่ทำกิน!J22"")"),0)</f>
        <v>0</v>
      </c>
      <c r="K234" s="201">
        <f t="shared" ref="K234:K241" si="52">IF(I234&gt;0,J234*100/I234,0)</f>
        <v>0</v>
      </c>
      <c r="L234" s="61"/>
      <c r="M234" s="61"/>
      <c r="N234" s="202"/>
    </row>
    <row r="235" spans="1:14" ht="21.75" customHeight="1" x14ac:dyDescent="0.4">
      <c r="A235" s="55"/>
      <c r="B235" s="155"/>
      <c r="C235" s="56"/>
      <c r="D235" s="75"/>
      <c r="E235" s="75"/>
      <c r="F235" s="75"/>
      <c r="G235" s="76"/>
      <c r="H235" s="60" t="s">
        <v>103</v>
      </c>
      <c r="I235" s="67">
        <f ca="1">IFERROR(__xludf.DUMMYFUNCTION("IMPORTRANGE(""https://docs.google.com/spreadsheets/d/1C3CXT74ZlgGe6_JY_1olB1XN4rF0dxEuIIF-xsYjHgg/edit?usp=sharing"",""พรบ!BZ33"")"),700)</f>
        <v>700</v>
      </c>
      <c r="J235" s="67">
        <f ca="1">IFERROR(__xludf.DUMMYFUNCTION("IMPORTRANGE(""https://docs.google.com/spreadsheets/d/1AGHcLOeeYFL3K4b9R1dSzyJy00PE_ra89DNTVfnxSWM/edit?usp=sharing"",""รวมที่ทำกิน!L22"")"),0)</f>
        <v>0</v>
      </c>
      <c r="K235" s="201">
        <f t="shared" ca="1" si="52"/>
        <v>0</v>
      </c>
      <c r="L235" s="61"/>
      <c r="M235" s="61"/>
      <c r="N235" s="202"/>
    </row>
    <row r="236" spans="1:14" ht="21.75" customHeight="1" x14ac:dyDescent="0.4">
      <c r="A236" s="55"/>
      <c r="B236" s="155"/>
      <c r="C236" s="56"/>
      <c r="D236" s="75"/>
      <c r="E236" s="74" t="s">
        <v>104</v>
      </c>
      <c r="F236" s="75"/>
      <c r="G236" s="76"/>
      <c r="H236" s="60" t="s">
        <v>16</v>
      </c>
      <c r="I236" s="67">
        <f ca="1">IFERROR(__xludf.DUMMYFUNCTION("IMPORTRANGE(""https://docs.google.com/spreadsheets/d/1C3CXT74ZlgGe6_JY_1olB1XN4rF0dxEuIIF-xsYjHgg/edit?usp=sharing"",""พรบ!CA33"")"),222)</f>
        <v>222</v>
      </c>
      <c r="J236" s="67">
        <f ca="1">IFERROR(__xludf.DUMMYFUNCTION("IMPORTRANGE(""https://docs.google.com/spreadsheets/d/1AGHcLOeeYFL3K4b9R1dSzyJy00PE_ra89DNTVfnxSWM/edit?usp=sharing"",""รวมที่ทำกิน!O22"")"),15)</f>
        <v>15</v>
      </c>
      <c r="K236" s="201">
        <f t="shared" ca="1" si="52"/>
        <v>6.756756756756757</v>
      </c>
      <c r="L236" s="61"/>
      <c r="M236" s="61"/>
      <c r="N236" s="202"/>
    </row>
    <row r="237" spans="1:14" ht="21.75" customHeight="1" x14ac:dyDescent="0.4">
      <c r="A237" s="55"/>
      <c r="B237" s="155"/>
      <c r="C237" s="56"/>
      <c r="D237" s="75"/>
      <c r="E237" s="75"/>
      <c r="F237" s="75"/>
      <c r="G237" s="76"/>
      <c r="H237" s="60" t="s">
        <v>103</v>
      </c>
      <c r="I237" s="200">
        <v>0</v>
      </c>
      <c r="J237" s="67">
        <f ca="1">IFERROR(__xludf.DUMMYFUNCTION("IMPORTRANGE(""https://docs.google.com/spreadsheets/d/1AGHcLOeeYFL3K4b9R1dSzyJy00PE_ra89DNTVfnxSWM/edit?usp=sharing"",""รวมที่ทำกิน!Q22"")"),97.48)</f>
        <v>97.48</v>
      </c>
      <c r="K237" s="201">
        <f t="shared" si="52"/>
        <v>0</v>
      </c>
      <c r="L237" s="61"/>
      <c r="M237" s="61"/>
      <c r="N237" s="202"/>
    </row>
    <row r="238" spans="1:14" ht="21.75" customHeight="1" x14ac:dyDescent="0.4">
      <c r="A238" s="55"/>
      <c r="B238" s="155"/>
      <c r="C238" s="56"/>
      <c r="D238" s="75"/>
      <c r="E238" s="74" t="s">
        <v>105</v>
      </c>
      <c r="F238" s="75"/>
      <c r="G238" s="76"/>
      <c r="H238" s="60" t="s">
        <v>16</v>
      </c>
      <c r="I238" s="67">
        <f ca="1">IFERROR(__xludf.DUMMYFUNCTION("IMPORTRANGE(""https://docs.google.com/spreadsheets/d/1C3CXT74ZlgGe6_JY_1olB1XN4rF0dxEuIIF-xsYjHgg/edit?usp=sharing"",""พรบ!CB33"")"),222)</f>
        <v>222</v>
      </c>
      <c r="J238" s="67">
        <f ca="1">IFERROR(__xludf.DUMMYFUNCTION("IMPORTRANGE(""https://docs.google.com/spreadsheets/d/1AGHcLOeeYFL3K4b9R1dSzyJy00PE_ra89DNTVfnxSWM/edit?usp=sharing"",""รวมที่ทำกิน!S22"")"),0)</f>
        <v>0</v>
      </c>
      <c r="K238" s="201">
        <f t="shared" ca="1" si="52"/>
        <v>0</v>
      </c>
      <c r="L238" s="61"/>
      <c r="M238" s="61"/>
      <c r="N238" s="202"/>
    </row>
    <row r="239" spans="1:14" ht="21.75" customHeight="1" x14ac:dyDescent="0.4">
      <c r="A239" s="55"/>
      <c r="B239" s="155"/>
      <c r="C239" s="56"/>
      <c r="D239" s="75"/>
      <c r="E239" s="75"/>
      <c r="F239" s="75"/>
      <c r="G239" s="76"/>
      <c r="H239" s="60" t="s">
        <v>103</v>
      </c>
      <c r="I239" s="200">
        <v>0</v>
      </c>
      <c r="J239" s="67">
        <f ca="1">IFERROR(__xludf.DUMMYFUNCTION("IMPORTRANGE(""https://docs.google.com/spreadsheets/d/1AGHcLOeeYFL3K4b9R1dSzyJy00PE_ra89DNTVfnxSWM/edit?usp=sharing"",""รวมที่ทำกิน!U22"")"),0)</f>
        <v>0</v>
      </c>
      <c r="K239" s="201">
        <f t="shared" si="52"/>
        <v>0</v>
      </c>
      <c r="L239" s="61"/>
      <c r="M239" s="61"/>
      <c r="N239" s="202"/>
    </row>
    <row r="240" spans="1:14" ht="21.75" customHeight="1" x14ac:dyDescent="0.4">
      <c r="A240" s="55"/>
      <c r="B240" s="155"/>
      <c r="C240" s="56"/>
      <c r="D240" s="75"/>
      <c r="E240" s="74" t="s">
        <v>106</v>
      </c>
      <c r="F240" s="75"/>
      <c r="G240" s="76"/>
      <c r="H240" s="60" t="s">
        <v>16</v>
      </c>
      <c r="I240" s="67">
        <f ca="1">IFERROR(__xludf.DUMMYFUNCTION("IMPORTRANGE(""https://docs.google.com/spreadsheets/d/1C3CXT74ZlgGe6_JY_1olB1XN4rF0dxEuIIF-xsYjHgg/edit?usp=sharing"",""พรบ!CC33"")"),222)</f>
        <v>222</v>
      </c>
      <c r="J240" s="67">
        <f ca="1">IFERROR(__xludf.DUMMYFUNCTION("IMPORTRANGE(""https://docs.google.com/spreadsheets/d/1AGHcLOeeYFL3K4b9R1dSzyJy00PE_ra89DNTVfnxSWM/edit?usp=sharing"",""รวมที่ทำกิน!W22"")"),15)</f>
        <v>15</v>
      </c>
      <c r="K240" s="201">
        <f t="shared" ca="1" si="52"/>
        <v>6.756756756756757</v>
      </c>
      <c r="L240" s="61"/>
      <c r="M240" s="61"/>
      <c r="N240" s="202"/>
    </row>
    <row r="241" spans="1:14" ht="21.75" customHeight="1" x14ac:dyDescent="0.4">
      <c r="A241" s="105"/>
      <c r="B241" s="203"/>
      <c r="C241" s="106"/>
      <c r="D241" s="203"/>
      <c r="E241" s="204"/>
      <c r="F241" s="204"/>
      <c r="G241" s="205"/>
      <c r="H241" s="206" t="s">
        <v>103</v>
      </c>
      <c r="I241" s="207">
        <v>0</v>
      </c>
      <c r="J241" s="67">
        <f ca="1">IFERROR(__xludf.DUMMYFUNCTION("IMPORTRANGE(""https://docs.google.com/spreadsheets/d/1AGHcLOeeYFL3K4b9R1dSzyJy00PE_ra89DNTVfnxSWM/edit?usp=sharing"",""รวมที่ทำกิน!Y22"")"),97.48)</f>
        <v>97.48</v>
      </c>
      <c r="K241" s="201">
        <f t="shared" si="52"/>
        <v>0</v>
      </c>
      <c r="L241" s="115"/>
      <c r="M241" s="115"/>
      <c r="N241" s="208"/>
    </row>
    <row r="242" spans="1:14" ht="21.75" customHeight="1" x14ac:dyDescent="0.4">
      <c r="A242" s="209" t="s">
        <v>107</v>
      </c>
      <c r="B242" s="210"/>
      <c r="C242" s="210"/>
      <c r="D242" s="210"/>
      <c r="E242" s="210"/>
      <c r="F242" s="210"/>
      <c r="G242" s="211"/>
      <c r="H242" s="212"/>
      <c r="I242" s="213"/>
      <c r="J242" s="213"/>
      <c r="K242" s="214"/>
      <c r="L242" s="214">
        <f t="shared" ref="L242:M242" ca="1" si="53">SUM(L244,L275,L296,L330,L350,L426,L444,L457,L473,L490)</f>
        <v>2384110</v>
      </c>
      <c r="M242" s="214">
        <f t="shared" si="53"/>
        <v>0</v>
      </c>
      <c r="N242" s="214">
        <f ca="1">+IF(L242&gt;0,M242*100/L242,0)</f>
        <v>0</v>
      </c>
    </row>
    <row r="243" spans="1:14" ht="21.75" customHeight="1" x14ac:dyDescent="0.4">
      <c r="A243" s="215" t="s">
        <v>108</v>
      </c>
      <c r="B243" s="216"/>
      <c r="C243" s="216"/>
      <c r="D243" s="216"/>
      <c r="E243" s="216"/>
      <c r="F243" s="216"/>
      <c r="G243" s="217"/>
      <c r="H243" s="218"/>
      <c r="I243" s="219"/>
      <c r="J243" s="219"/>
      <c r="K243" s="220"/>
      <c r="L243" s="220"/>
      <c r="M243" s="220"/>
      <c r="N243" s="221"/>
    </row>
    <row r="244" spans="1:14" ht="21.75" customHeight="1" x14ac:dyDescent="0.4">
      <c r="A244" s="222"/>
      <c r="B244" s="223">
        <v>1</v>
      </c>
      <c r="C244" s="224" t="s">
        <v>109</v>
      </c>
      <c r="D244" s="224"/>
      <c r="E244" s="224"/>
      <c r="F244" s="224"/>
      <c r="G244" s="225"/>
      <c r="H244" s="226" t="s">
        <v>103</v>
      </c>
      <c r="I244" s="227">
        <f t="shared" ref="I244:J244" ca="1" si="54">I270</f>
        <v>200</v>
      </c>
      <c r="J244" s="227">
        <f t="shared" si="54"/>
        <v>0</v>
      </c>
      <c r="K244" s="228">
        <f t="shared" ref="K244:K245" ca="1" si="55">IF(I244&gt;0,J244*100/I244,0)</f>
        <v>0</v>
      </c>
      <c r="L244" s="229">
        <f t="shared" ref="L244:M244" ca="1" si="56">SUM(L246:L247)</f>
        <v>459380</v>
      </c>
      <c r="M244" s="229">
        <f t="shared" si="56"/>
        <v>0</v>
      </c>
      <c r="N244" s="229">
        <f ca="1">+IF(L244&gt;0,M244*100/L244,0)</f>
        <v>0</v>
      </c>
    </row>
    <row r="245" spans="1:14" ht="21.75" customHeight="1" x14ac:dyDescent="0.4">
      <c r="A245" s="222"/>
      <c r="B245" s="223"/>
      <c r="C245" s="224"/>
      <c r="D245" s="224"/>
      <c r="E245" s="224"/>
      <c r="F245" s="224"/>
      <c r="G245" s="225"/>
      <c r="H245" s="226" t="s">
        <v>16</v>
      </c>
      <c r="I245" s="227">
        <f ca="1">I263</f>
        <v>70</v>
      </c>
      <c r="J245" s="227">
        <f>+J263</f>
        <v>0</v>
      </c>
      <c r="K245" s="228">
        <f t="shared" ca="1" si="55"/>
        <v>0</v>
      </c>
      <c r="L245" s="229"/>
      <c r="M245" s="229"/>
      <c r="N245" s="229"/>
    </row>
    <row r="246" spans="1:14" ht="21.75" customHeight="1" x14ac:dyDescent="0.4">
      <c r="A246" s="42"/>
      <c r="B246" s="43"/>
      <c r="C246" s="43" t="s">
        <v>17</v>
      </c>
      <c r="D246" s="44" t="s">
        <v>18</v>
      </c>
      <c r="E246" s="45"/>
      <c r="F246" s="45"/>
      <c r="G246" s="46" t="s">
        <v>19</v>
      </c>
      <c r="H246" s="47" t="s">
        <v>20</v>
      </c>
      <c r="I246" s="48" t="s">
        <v>21</v>
      </c>
      <c r="J246" s="48"/>
      <c r="K246" s="49"/>
      <c r="L246" s="50">
        <v>0</v>
      </c>
      <c r="M246" s="50">
        <v>0</v>
      </c>
      <c r="N246" s="50">
        <f t="shared" ref="N246:N249" si="57">+IF(L246&gt;0,M246*100/L246,0)</f>
        <v>0</v>
      </c>
    </row>
    <row r="247" spans="1:14" ht="21.75" customHeight="1" x14ac:dyDescent="0.4">
      <c r="A247" s="42"/>
      <c r="B247" s="43"/>
      <c r="C247" s="43"/>
      <c r="D247" s="51"/>
      <c r="E247" s="45"/>
      <c r="F247" s="45" t="s">
        <v>21</v>
      </c>
      <c r="G247" s="46" t="s">
        <v>22</v>
      </c>
      <c r="H247" s="47" t="s">
        <v>20</v>
      </c>
      <c r="I247" s="48"/>
      <c r="J247" s="48"/>
      <c r="K247" s="49"/>
      <c r="L247" s="50">
        <f t="shared" ref="L247:M247" ca="1" si="58">SUM(L248:L249)</f>
        <v>459380</v>
      </c>
      <c r="M247" s="50">
        <f t="shared" si="58"/>
        <v>0</v>
      </c>
      <c r="N247" s="50">
        <f t="shared" ca="1" si="57"/>
        <v>0</v>
      </c>
    </row>
    <row r="248" spans="1:14" ht="21.75" customHeight="1" x14ac:dyDescent="0.4">
      <c r="A248" s="42"/>
      <c r="B248" s="43"/>
      <c r="C248" s="43"/>
      <c r="D248" s="51"/>
      <c r="E248" s="45"/>
      <c r="F248" s="45"/>
      <c r="G248" s="52" t="s">
        <v>110</v>
      </c>
      <c r="H248" s="47" t="s">
        <v>20</v>
      </c>
      <c r="I248" s="48"/>
      <c r="J248" s="48"/>
      <c r="K248" s="49"/>
      <c r="L248" s="53">
        <f ca="1">IFERROR(__xludf.DUMMYFUNCTION("IMPORTRANGE(""https://docs.google.com/spreadsheets/d/1C3CXT74ZlgGe6_JY_1olB1XN4rF0dxEuIIF-xsYjHgg/edit?usp=sharing"",""งบกองทุน!d33"")"),0)</f>
        <v>0</v>
      </c>
      <c r="M248" s="53">
        <v>0</v>
      </c>
      <c r="N248" s="53">
        <f t="shared" ca="1" si="57"/>
        <v>0</v>
      </c>
    </row>
    <row r="249" spans="1:14" ht="21.75" customHeight="1" x14ac:dyDescent="0.4">
      <c r="A249" s="42"/>
      <c r="B249" s="43"/>
      <c r="C249" s="43"/>
      <c r="D249" s="51"/>
      <c r="E249" s="45"/>
      <c r="F249" s="45"/>
      <c r="G249" s="52" t="s">
        <v>111</v>
      </c>
      <c r="H249" s="47" t="s">
        <v>20</v>
      </c>
      <c r="I249" s="48"/>
      <c r="J249" s="48"/>
      <c r="K249" s="49"/>
      <c r="L249" s="53">
        <f ca="1">IFERROR(__xludf.DUMMYFUNCTION("IMPORTRANGE(""https://docs.google.com/spreadsheets/d/1C3CXT74ZlgGe6_JY_1olB1XN4rF0dxEuIIF-xsYjHgg/edit?usp=sharing"",""งบกองทุน!e33"")"),459380)</f>
        <v>459380</v>
      </c>
      <c r="M249" s="53">
        <f>SUM(M250:M253)</f>
        <v>0</v>
      </c>
      <c r="N249" s="53">
        <f t="shared" ca="1" si="57"/>
        <v>0</v>
      </c>
    </row>
    <row r="250" spans="1:14" ht="21.75" customHeight="1" x14ac:dyDescent="0.4">
      <c r="A250" s="230"/>
      <c r="B250" s="231"/>
      <c r="C250" s="43"/>
      <c r="D250" s="232"/>
      <c r="E250" s="45"/>
      <c r="F250" s="45"/>
      <c r="G250" s="46" t="s">
        <v>112</v>
      </c>
      <c r="H250" s="47" t="s">
        <v>20</v>
      </c>
      <c r="I250" s="67"/>
      <c r="J250" s="67"/>
      <c r="K250" s="233"/>
      <c r="L250" s="53"/>
      <c r="M250" s="54">
        <v>0</v>
      </c>
      <c r="N250" s="53"/>
    </row>
    <row r="251" spans="1:14" ht="21.75" customHeight="1" x14ac:dyDescent="0.4">
      <c r="A251" s="230"/>
      <c r="B251" s="231"/>
      <c r="C251" s="43"/>
      <c r="D251" s="232"/>
      <c r="E251" s="45"/>
      <c r="F251" s="45"/>
      <c r="G251" s="46" t="s">
        <v>113</v>
      </c>
      <c r="H251" s="47" t="s">
        <v>20</v>
      </c>
      <c r="I251" s="67"/>
      <c r="J251" s="67"/>
      <c r="K251" s="233"/>
      <c r="L251" s="53"/>
      <c r="M251" s="54">
        <v>0</v>
      </c>
      <c r="N251" s="53"/>
    </row>
    <row r="252" spans="1:14" ht="21.75" customHeight="1" x14ac:dyDescent="0.4">
      <c r="A252" s="230"/>
      <c r="B252" s="231"/>
      <c r="C252" s="43"/>
      <c r="D252" s="232"/>
      <c r="E252" s="45"/>
      <c r="F252" s="45"/>
      <c r="G252" s="46" t="s">
        <v>114</v>
      </c>
      <c r="H252" s="47" t="s">
        <v>20</v>
      </c>
      <c r="I252" s="67"/>
      <c r="J252" s="67"/>
      <c r="K252" s="233"/>
      <c r="L252" s="53"/>
      <c r="M252" s="54">
        <v>0</v>
      </c>
      <c r="N252" s="53"/>
    </row>
    <row r="253" spans="1:14" ht="21.75" customHeight="1" x14ac:dyDescent="0.4">
      <c r="A253" s="230"/>
      <c r="B253" s="231"/>
      <c r="C253" s="43"/>
      <c r="D253" s="232"/>
      <c r="E253" s="45"/>
      <c r="F253" s="45"/>
      <c r="G253" s="46" t="s">
        <v>115</v>
      </c>
      <c r="H253" s="47" t="s">
        <v>20</v>
      </c>
      <c r="I253" s="67"/>
      <c r="J253" s="67"/>
      <c r="K253" s="233"/>
      <c r="L253" s="53"/>
      <c r="M253" s="54">
        <v>0</v>
      </c>
      <c r="N253" s="53"/>
    </row>
    <row r="254" spans="1:14" ht="21.75" customHeight="1" x14ac:dyDescent="0.4">
      <c r="A254" s="55"/>
      <c r="B254" s="56"/>
      <c r="C254" s="43" t="s">
        <v>17</v>
      </c>
      <c r="D254" s="57" t="s">
        <v>25</v>
      </c>
      <c r="E254" s="58"/>
      <c r="F254" s="58"/>
      <c r="G254" s="59"/>
      <c r="H254" s="60"/>
      <c r="I254" s="48"/>
      <c r="J254" s="48"/>
      <c r="K254" s="49"/>
      <c r="L254" s="61"/>
      <c r="M254" s="61"/>
      <c r="N254" s="61"/>
    </row>
    <row r="255" spans="1:14" ht="21.75" customHeight="1" x14ac:dyDescent="0.4">
      <c r="A255" s="55"/>
      <c r="B255" s="56"/>
      <c r="C255" s="56"/>
      <c r="D255" s="62">
        <v>1</v>
      </c>
      <c r="E255" s="63" t="s">
        <v>26</v>
      </c>
      <c r="F255" s="64"/>
      <c r="G255" s="65"/>
      <c r="H255" s="66"/>
      <c r="I255" s="67"/>
      <c r="J255" s="68">
        <v>0</v>
      </c>
      <c r="K255" s="49"/>
      <c r="L255" s="61"/>
      <c r="M255" s="61"/>
      <c r="N255" s="61"/>
    </row>
    <row r="256" spans="1:14" ht="21.75" customHeight="1" x14ac:dyDescent="0.4">
      <c r="A256" s="55"/>
      <c r="B256" s="56"/>
      <c r="C256" s="56"/>
      <c r="D256" s="69">
        <v>2</v>
      </c>
      <c r="E256" s="70" t="s">
        <v>27</v>
      </c>
      <c r="F256" s="71"/>
      <c r="G256" s="72"/>
      <c r="H256" s="66"/>
      <c r="I256" s="67"/>
      <c r="J256" s="68">
        <v>1</v>
      </c>
      <c r="K256" s="49"/>
      <c r="L256" s="61" t="s">
        <v>21</v>
      </c>
      <c r="M256" s="61" t="s">
        <v>21</v>
      </c>
      <c r="N256" s="61"/>
    </row>
    <row r="257" spans="1:14" ht="21.75" customHeight="1" x14ac:dyDescent="0.4">
      <c r="A257" s="55"/>
      <c r="B257" s="56"/>
      <c r="C257" s="56"/>
      <c r="D257" s="73"/>
      <c r="E257" s="74" t="s">
        <v>28</v>
      </c>
      <c r="F257" s="75"/>
      <c r="G257" s="76"/>
      <c r="H257" s="66"/>
      <c r="I257" s="67"/>
      <c r="J257" s="68">
        <v>0</v>
      </c>
      <c r="K257" s="49"/>
      <c r="L257" s="61"/>
      <c r="M257" s="61"/>
      <c r="N257" s="61"/>
    </row>
    <row r="258" spans="1:14" ht="21.75" customHeight="1" x14ac:dyDescent="0.4">
      <c r="A258" s="55"/>
      <c r="B258" s="56"/>
      <c r="C258" s="56"/>
      <c r="D258" s="73"/>
      <c r="E258" s="74" t="s">
        <v>29</v>
      </c>
      <c r="F258" s="75"/>
      <c r="G258" s="76"/>
      <c r="H258" s="66"/>
      <c r="I258" s="67"/>
      <c r="J258" s="68">
        <v>0</v>
      </c>
      <c r="K258" s="49"/>
      <c r="L258" s="61"/>
      <c r="M258" s="61"/>
      <c r="N258" s="61"/>
    </row>
    <row r="259" spans="1:14" ht="21.75" hidden="1" customHeight="1" x14ac:dyDescent="0.4">
      <c r="A259" s="55"/>
      <c r="B259" s="56"/>
      <c r="C259" s="56"/>
      <c r="D259" s="73"/>
      <c r="E259" s="77"/>
      <c r="F259" s="74" t="s">
        <v>50</v>
      </c>
      <c r="G259" s="76"/>
      <c r="H259" s="60"/>
      <c r="I259" s="67"/>
      <c r="J259" s="67">
        <f>+J260+J263+J268</f>
        <v>0</v>
      </c>
      <c r="K259" s="49"/>
      <c r="L259" s="61"/>
      <c r="M259" s="61"/>
      <c r="N259" s="61"/>
    </row>
    <row r="260" spans="1:14" ht="21.75" hidden="1" customHeight="1" x14ac:dyDescent="0.4">
      <c r="A260" s="55"/>
      <c r="B260" s="56"/>
      <c r="C260" s="56"/>
      <c r="D260" s="73"/>
      <c r="E260" s="77"/>
      <c r="F260" s="75"/>
      <c r="G260" s="99" t="s">
        <v>116</v>
      </c>
      <c r="H260" s="60" t="s">
        <v>16</v>
      </c>
      <c r="I260" s="67">
        <f ca="1">IFERROR(__xludf.DUMMYFUNCTION("IMPORTRANGE(""https://docs.google.com/spreadsheets/d/1C3CXT74ZlgGe6_JY_1olB1XN4rF0dxEuIIF-xsYjHgg/edit?usp=sharing"",""งบกองทุน!f33"")"),0)</f>
        <v>0</v>
      </c>
      <c r="J260" s="67">
        <v>0</v>
      </c>
      <c r="K260" s="49">
        <f ca="1">IF(I260&gt;0,J260*100/I260,0)</f>
        <v>0</v>
      </c>
      <c r="L260" s="61"/>
      <c r="M260" s="61"/>
      <c r="N260" s="61"/>
    </row>
    <row r="261" spans="1:14" ht="21.75" hidden="1" customHeight="1" x14ac:dyDescent="0.4">
      <c r="A261" s="55"/>
      <c r="B261" s="56"/>
      <c r="C261" s="56"/>
      <c r="D261" s="73"/>
      <c r="E261" s="77"/>
      <c r="F261" s="75"/>
      <c r="G261" s="76" t="s">
        <v>117</v>
      </c>
      <c r="H261" s="60"/>
      <c r="I261" s="48"/>
      <c r="J261" s="67"/>
      <c r="K261" s="49"/>
      <c r="L261" s="61"/>
      <c r="M261" s="61"/>
      <c r="N261" s="61"/>
    </row>
    <row r="262" spans="1:14" ht="21.75" hidden="1" customHeight="1" x14ac:dyDescent="0.4">
      <c r="A262" s="55"/>
      <c r="B262" s="56"/>
      <c r="C262" s="56"/>
      <c r="D262" s="73"/>
      <c r="E262" s="77"/>
      <c r="F262" s="75"/>
      <c r="G262" s="99" t="s">
        <v>118</v>
      </c>
      <c r="H262" s="66" t="s">
        <v>103</v>
      </c>
      <c r="I262" s="67">
        <f t="shared" ref="I262:J262" ca="1" si="59">SUM(I264,I266)</f>
        <v>200</v>
      </c>
      <c r="J262" s="67">
        <f t="shared" si="59"/>
        <v>0</v>
      </c>
      <c r="K262" s="49">
        <f t="shared" ref="K262:K268" ca="1" si="60">IF(I262&gt;0,J262*100/I262,0)</f>
        <v>0</v>
      </c>
      <c r="L262" s="61"/>
      <c r="M262" s="61"/>
      <c r="N262" s="61"/>
    </row>
    <row r="263" spans="1:14" ht="21.75" customHeight="1" x14ac:dyDescent="0.4">
      <c r="A263" s="55"/>
      <c r="B263" s="56"/>
      <c r="C263" s="56"/>
      <c r="D263" s="73"/>
      <c r="E263" s="77"/>
      <c r="F263" s="99" t="s">
        <v>119</v>
      </c>
      <c r="G263" s="76"/>
      <c r="H263" s="66" t="s">
        <v>16</v>
      </c>
      <c r="I263" s="48">
        <f ca="1">IFERROR(__xludf.DUMMYFUNCTION("IMPORTRANGE(""https://docs.google.com/spreadsheets/d/1C3CXT74ZlgGe6_JY_1olB1XN4rF0dxEuIIF-xsYjHgg/edit?usp=sharing"",""งบกองทุน!H33"")"),70)</f>
        <v>70</v>
      </c>
      <c r="J263" s="67">
        <f>J267</f>
        <v>0</v>
      </c>
      <c r="K263" s="49">
        <f t="shared" ca="1" si="60"/>
        <v>0</v>
      </c>
      <c r="L263" s="61"/>
      <c r="M263" s="61"/>
      <c r="N263" s="61"/>
    </row>
    <row r="264" spans="1:14" ht="21.75" hidden="1" customHeight="1" x14ac:dyDescent="0.4">
      <c r="A264" s="55"/>
      <c r="B264" s="56"/>
      <c r="C264" s="56"/>
      <c r="D264" s="73"/>
      <c r="E264" s="77"/>
      <c r="F264" s="75"/>
      <c r="H264" s="60" t="s">
        <v>103</v>
      </c>
      <c r="I264" s="48">
        <f ca="1">IFERROR(__xludf.DUMMYFUNCTION("IMPORTRANGE(""https://docs.google.com/spreadsheets/d/1C3CXT74ZlgGe6_JY_1olB1XN4rF0dxEuIIF-xsYjHgg/edit?usp=sharing"",""งบกองทุน!i33"")"),100)</f>
        <v>100</v>
      </c>
      <c r="J264" s="68">
        <v>0</v>
      </c>
      <c r="K264" s="49">
        <f t="shared" ca="1" si="60"/>
        <v>0</v>
      </c>
      <c r="L264" s="61"/>
      <c r="M264" s="61"/>
      <c r="N264" s="61"/>
    </row>
    <row r="265" spans="1:14" ht="21.75" customHeight="1" x14ac:dyDescent="0.4">
      <c r="A265" s="55"/>
      <c r="B265" s="56"/>
      <c r="C265" s="56"/>
      <c r="D265" s="73"/>
      <c r="E265" s="77"/>
      <c r="F265" s="75"/>
      <c r="G265" s="99" t="s">
        <v>219</v>
      </c>
      <c r="H265" s="60" t="s">
        <v>16</v>
      </c>
      <c r="I265" s="48">
        <f ca="1">I263</f>
        <v>70</v>
      </c>
      <c r="J265" s="68">
        <v>0</v>
      </c>
      <c r="K265" s="49">
        <f t="shared" ca="1" si="60"/>
        <v>0</v>
      </c>
      <c r="L265" s="61"/>
      <c r="M265" s="61"/>
      <c r="N265" s="61"/>
    </row>
    <row r="266" spans="1:14" ht="21.75" hidden="1" customHeight="1" x14ac:dyDescent="0.4">
      <c r="A266" s="55"/>
      <c r="B266" s="56"/>
      <c r="C266" s="56"/>
      <c r="D266" s="73"/>
      <c r="E266" s="77"/>
      <c r="F266" s="75"/>
      <c r="G266" s="76"/>
      <c r="H266" s="60" t="s">
        <v>103</v>
      </c>
      <c r="I266" s="48">
        <f ca="1">IFERROR(__xludf.DUMMYFUNCTION("IMPORTRANGE(""https://docs.google.com/spreadsheets/d/1C3CXT74ZlgGe6_JY_1olB1XN4rF0dxEuIIF-xsYjHgg/edit?usp=sharing"",""งบกองทุน!k33"")"),100)</f>
        <v>100</v>
      </c>
      <c r="J266" s="68">
        <v>0</v>
      </c>
      <c r="K266" s="49">
        <f t="shared" ca="1" si="60"/>
        <v>0</v>
      </c>
      <c r="L266" s="61"/>
      <c r="M266" s="61"/>
      <c r="N266" s="61"/>
    </row>
    <row r="267" spans="1:14" ht="21.75" customHeight="1" x14ac:dyDescent="0.4">
      <c r="A267" s="55"/>
      <c r="B267" s="56"/>
      <c r="C267" s="56"/>
      <c r="D267" s="73"/>
      <c r="E267" s="77"/>
      <c r="F267" s="75"/>
      <c r="G267" s="76" t="s">
        <v>220</v>
      </c>
      <c r="H267" s="60" t="s">
        <v>16</v>
      </c>
      <c r="I267" s="48">
        <f ca="1">I265</f>
        <v>70</v>
      </c>
      <c r="J267" s="68">
        <v>0</v>
      </c>
      <c r="K267" s="49">
        <f t="shared" ca="1" si="60"/>
        <v>0</v>
      </c>
      <c r="L267" s="61"/>
      <c r="M267" s="61"/>
      <c r="N267" s="61"/>
    </row>
    <row r="268" spans="1:14" ht="21.75" hidden="1" customHeight="1" x14ac:dyDescent="0.4">
      <c r="A268" s="55"/>
      <c r="B268" s="56"/>
      <c r="C268" s="56"/>
      <c r="D268" s="73"/>
      <c r="E268" s="77"/>
      <c r="F268" s="75"/>
      <c r="G268" s="99" t="s">
        <v>122</v>
      </c>
      <c r="H268" s="60" t="s">
        <v>16</v>
      </c>
      <c r="I268" s="67">
        <f ca="1">IFERROR(__xludf.DUMMYFUNCTION("IMPORTRANGE(""https://docs.google.com/spreadsheets/d/1C3CXT74ZlgGe6_JY_1olB1XN4rF0dxEuIIF-xsYjHgg/edit?usp=sharing"",""งบกองทุน!m33"")"),0)</f>
        <v>0</v>
      </c>
      <c r="J268" s="67">
        <v>0</v>
      </c>
      <c r="K268" s="49">
        <f t="shared" ca="1" si="60"/>
        <v>0</v>
      </c>
      <c r="L268" s="61"/>
      <c r="M268" s="61"/>
      <c r="N268" s="61"/>
    </row>
    <row r="269" spans="1:14" ht="21.75" hidden="1" customHeight="1" x14ac:dyDescent="0.4">
      <c r="A269" s="55"/>
      <c r="B269" s="56"/>
      <c r="C269" s="56"/>
      <c r="D269" s="73"/>
      <c r="E269" s="77"/>
      <c r="F269" s="75"/>
      <c r="G269" s="76" t="s">
        <v>123</v>
      </c>
      <c r="H269" s="60"/>
      <c r="I269" s="67"/>
      <c r="J269" s="67"/>
      <c r="K269" s="49"/>
      <c r="L269" s="61"/>
      <c r="M269" s="61"/>
      <c r="N269" s="61"/>
    </row>
    <row r="270" spans="1:14" ht="21.75" customHeight="1" x14ac:dyDescent="0.4">
      <c r="A270" s="55"/>
      <c r="B270" s="56"/>
      <c r="C270" s="56"/>
      <c r="D270" s="73"/>
      <c r="E270" s="75"/>
      <c r="F270" s="74" t="s">
        <v>34</v>
      </c>
      <c r="G270" s="76"/>
      <c r="H270" s="66" t="s">
        <v>103</v>
      </c>
      <c r="I270" s="67">
        <f t="shared" ref="I270:J270" ca="1" si="61">SUM(I271:I272)</f>
        <v>200</v>
      </c>
      <c r="J270" s="67">
        <f t="shared" si="61"/>
        <v>0</v>
      </c>
      <c r="K270" s="49">
        <f t="shared" ref="K270:K272" ca="1" si="62">IF(I270&gt;0,J270*100/I270,0)</f>
        <v>0</v>
      </c>
      <c r="L270" s="61"/>
      <c r="M270" s="61"/>
      <c r="N270" s="61"/>
    </row>
    <row r="271" spans="1:14" ht="21.75" customHeight="1" x14ac:dyDescent="0.4">
      <c r="A271" s="55"/>
      <c r="B271" s="56"/>
      <c r="C271" s="56"/>
      <c r="D271" s="73"/>
      <c r="E271" s="75"/>
      <c r="F271" s="75"/>
      <c r="G271" s="76" t="s">
        <v>124</v>
      </c>
      <c r="H271" s="66" t="s">
        <v>103</v>
      </c>
      <c r="I271" s="67">
        <f ca="1">IFERROR(__xludf.DUMMYFUNCTION("IMPORTRANGE(""https://docs.google.com/spreadsheets/d/1C3CXT74ZlgGe6_JY_1olB1XN4rF0dxEuIIF-xsYjHgg/edit?usp=sharing"",""งบกองทุน!o33"")"),100)</f>
        <v>100</v>
      </c>
      <c r="J271" s="68">
        <v>0</v>
      </c>
      <c r="K271" s="49">
        <f t="shared" ca="1" si="62"/>
        <v>0</v>
      </c>
      <c r="L271" s="61"/>
      <c r="M271" s="61"/>
      <c r="N271" s="61"/>
    </row>
    <row r="272" spans="1:14" ht="21.75" customHeight="1" x14ac:dyDescent="0.4">
      <c r="A272" s="55"/>
      <c r="B272" s="56"/>
      <c r="C272" s="56"/>
      <c r="D272" s="73"/>
      <c r="E272" s="75"/>
      <c r="F272" s="75"/>
      <c r="G272" s="76" t="s">
        <v>125</v>
      </c>
      <c r="H272" s="66" t="s">
        <v>103</v>
      </c>
      <c r="I272" s="67">
        <f ca="1">IFERROR(__xludf.DUMMYFUNCTION("IMPORTRANGE(""https://docs.google.com/spreadsheets/d/1C3CXT74ZlgGe6_JY_1olB1XN4rF0dxEuIIF-xsYjHgg/edit?usp=sharing"",""งบกองทุน!p33"")"),100)</f>
        <v>100</v>
      </c>
      <c r="J272" s="68">
        <v>0</v>
      </c>
      <c r="K272" s="49">
        <f t="shared" ca="1" si="62"/>
        <v>0</v>
      </c>
      <c r="L272" s="61"/>
      <c r="M272" s="61"/>
      <c r="N272" s="61"/>
    </row>
    <row r="273" spans="1:14" ht="21.75" customHeight="1" x14ac:dyDescent="0.4">
      <c r="A273" s="55"/>
      <c r="B273" s="56"/>
      <c r="C273" s="56"/>
      <c r="D273" s="73"/>
      <c r="E273" s="74" t="s">
        <v>35</v>
      </c>
      <c r="F273" s="75"/>
      <c r="G273" s="76"/>
      <c r="H273" s="66"/>
      <c r="I273" s="67"/>
      <c r="J273" s="68">
        <v>0</v>
      </c>
      <c r="K273" s="49"/>
      <c r="L273" s="61"/>
      <c r="M273" s="61"/>
      <c r="N273" s="61"/>
    </row>
    <row r="274" spans="1:14" ht="21.75" customHeight="1" x14ac:dyDescent="0.4">
      <c r="A274" s="55"/>
      <c r="B274" s="56"/>
      <c r="C274" s="56"/>
      <c r="D274" s="81">
        <v>3</v>
      </c>
      <c r="E274" s="82" t="s">
        <v>36</v>
      </c>
      <c r="F274" s="83"/>
      <c r="G274" s="84"/>
      <c r="H274" s="66"/>
      <c r="I274" s="67"/>
      <c r="J274" s="85">
        <v>0</v>
      </c>
      <c r="K274" s="49"/>
      <c r="L274" s="61"/>
      <c r="M274" s="61"/>
      <c r="N274" s="61"/>
    </row>
    <row r="275" spans="1:14" ht="21.75" customHeight="1" x14ac:dyDescent="0.4">
      <c r="A275" s="222"/>
      <c r="B275" s="223">
        <v>2</v>
      </c>
      <c r="C275" s="224" t="s">
        <v>126</v>
      </c>
      <c r="D275" s="224"/>
      <c r="E275" s="234"/>
      <c r="F275" s="234"/>
      <c r="G275" s="235"/>
      <c r="H275" s="226" t="s">
        <v>103</v>
      </c>
      <c r="I275" s="227">
        <f ca="1">I292</f>
        <v>1000</v>
      </c>
      <c r="J275" s="227">
        <f>+J292</f>
        <v>0</v>
      </c>
      <c r="K275" s="228">
        <f t="shared" ref="K275:K276" ca="1" si="63">IF(I275&gt;0,J275*100/I275,0)</f>
        <v>0</v>
      </c>
      <c r="L275" s="229">
        <f t="shared" ref="L275:M275" ca="1" si="64">SUM(L277:L278)</f>
        <v>1028520</v>
      </c>
      <c r="M275" s="229">
        <f t="shared" si="64"/>
        <v>0</v>
      </c>
      <c r="N275" s="229">
        <f ca="1">+IF(L275&gt;0,M275*100/L275,0)</f>
        <v>0</v>
      </c>
    </row>
    <row r="276" spans="1:14" ht="21.75" customHeight="1" x14ac:dyDescent="0.4">
      <c r="A276" s="222"/>
      <c r="B276" s="223"/>
      <c r="C276" s="224"/>
      <c r="D276" s="236"/>
      <c r="E276" s="237"/>
      <c r="F276" s="237"/>
      <c r="G276" s="238"/>
      <c r="H276" s="226" t="s">
        <v>16</v>
      </c>
      <c r="I276" s="227">
        <f ca="1">I291</f>
        <v>100</v>
      </c>
      <c r="J276" s="227">
        <f>+J291</f>
        <v>0</v>
      </c>
      <c r="K276" s="228">
        <f t="shared" ca="1" si="63"/>
        <v>0</v>
      </c>
      <c r="L276" s="229"/>
      <c r="M276" s="229"/>
      <c r="N276" s="229"/>
    </row>
    <row r="277" spans="1:14" ht="21.75" customHeight="1" x14ac:dyDescent="0.4">
      <c r="A277" s="42"/>
      <c r="B277" s="43"/>
      <c r="C277" s="43" t="s">
        <v>17</v>
      </c>
      <c r="D277" s="44" t="s">
        <v>18</v>
      </c>
      <c r="E277" s="45"/>
      <c r="F277" s="45"/>
      <c r="G277" s="46" t="s">
        <v>19</v>
      </c>
      <c r="H277" s="47" t="s">
        <v>20</v>
      </c>
      <c r="I277" s="48" t="s">
        <v>21</v>
      </c>
      <c r="J277" s="48"/>
      <c r="K277" s="49"/>
      <c r="L277" s="50">
        <v>0</v>
      </c>
      <c r="M277" s="50">
        <v>0</v>
      </c>
      <c r="N277" s="50">
        <f t="shared" ref="N277:N280" si="65">+IF(L277&gt;0,M277*100/L277,0)</f>
        <v>0</v>
      </c>
    </row>
    <row r="278" spans="1:14" ht="21.75" customHeight="1" x14ac:dyDescent="0.4">
      <c r="A278" s="42"/>
      <c r="B278" s="43"/>
      <c r="C278" s="43"/>
      <c r="D278" s="51"/>
      <c r="E278" s="45"/>
      <c r="F278" s="45" t="s">
        <v>21</v>
      </c>
      <c r="G278" s="46" t="s">
        <v>22</v>
      </c>
      <c r="H278" s="47" t="s">
        <v>20</v>
      </c>
      <c r="I278" s="48"/>
      <c r="J278" s="48"/>
      <c r="K278" s="49"/>
      <c r="L278" s="50">
        <f t="shared" ref="L278:M278" ca="1" si="66">SUM(L279:L280)</f>
        <v>1028520</v>
      </c>
      <c r="M278" s="50">
        <f t="shared" si="66"/>
        <v>0</v>
      </c>
      <c r="N278" s="50">
        <f t="shared" ca="1" si="65"/>
        <v>0</v>
      </c>
    </row>
    <row r="279" spans="1:14" ht="21.75" customHeight="1" x14ac:dyDescent="0.4">
      <c r="A279" s="42"/>
      <c r="B279" s="43"/>
      <c r="C279" s="43"/>
      <c r="D279" s="51"/>
      <c r="E279" s="45"/>
      <c r="F279" s="45"/>
      <c r="G279" s="52" t="s">
        <v>110</v>
      </c>
      <c r="H279" s="47" t="s">
        <v>20</v>
      </c>
      <c r="I279" s="48"/>
      <c r="J279" s="48"/>
      <c r="K279" s="49"/>
      <c r="L279" s="53">
        <f ca="1">IFERROR(__xludf.DUMMYFUNCTION("IMPORTRANGE(""https://docs.google.com/spreadsheets/d/1C3CXT74ZlgGe6_JY_1olB1XN4rF0dxEuIIF-xsYjHgg/edit?usp=sharing"",""งบกองทุน!r33"")"),0)</f>
        <v>0</v>
      </c>
      <c r="M279" s="53">
        <v>0</v>
      </c>
      <c r="N279" s="53">
        <f t="shared" ca="1" si="65"/>
        <v>0</v>
      </c>
    </row>
    <row r="280" spans="1:14" ht="21.75" customHeight="1" x14ac:dyDescent="0.4">
      <c r="A280" s="42"/>
      <c r="B280" s="43"/>
      <c r="C280" s="43"/>
      <c r="D280" s="51"/>
      <c r="E280" s="45"/>
      <c r="F280" s="45"/>
      <c r="G280" s="52" t="s">
        <v>111</v>
      </c>
      <c r="H280" s="47" t="s">
        <v>20</v>
      </c>
      <c r="I280" s="48"/>
      <c r="J280" s="48"/>
      <c r="K280" s="49"/>
      <c r="L280" s="53">
        <f ca="1">IFERROR(__xludf.DUMMYFUNCTION("IMPORTRANGE(""https://docs.google.com/spreadsheets/d/1C3CXT74ZlgGe6_JY_1olB1XN4rF0dxEuIIF-xsYjHgg/edit?usp=sharing"",""งบกองทุน!s33"")"),1028520)</f>
        <v>1028520</v>
      </c>
      <c r="M280" s="53">
        <f>SUM(M281:M284)</f>
        <v>0</v>
      </c>
      <c r="N280" s="53">
        <f t="shared" ca="1" si="65"/>
        <v>0</v>
      </c>
    </row>
    <row r="281" spans="1:14" ht="21.75" customHeight="1" x14ac:dyDescent="0.4">
      <c r="A281" s="230"/>
      <c r="B281" s="231"/>
      <c r="C281" s="43"/>
      <c r="D281" s="232"/>
      <c r="E281" s="45"/>
      <c r="F281" s="45"/>
      <c r="G281" s="46" t="s">
        <v>112</v>
      </c>
      <c r="H281" s="47" t="s">
        <v>20</v>
      </c>
      <c r="I281" s="67"/>
      <c r="J281" s="67"/>
      <c r="K281" s="233"/>
      <c r="L281" s="53"/>
      <c r="M281" s="54">
        <v>0</v>
      </c>
      <c r="N281" s="53"/>
    </row>
    <row r="282" spans="1:14" ht="21.75" customHeight="1" x14ac:dyDescent="0.4">
      <c r="A282" s="230"/>
      <c r="B282" s="231"/>
      <c r="C282" s="43"/>
      <c r="D282" s="232"/>
      <c r="E282" s="45"/>
      <c r="F282" s="45"/>
      <c r="G282" s="46" t="s">
        <v>113</v>
      </c>
      <c r="H282" s="47" t="s">
        <v>20</v>
      </c>
      <c r="I282" s="67"/>
      <c r="J282" s="67"/>
      <c r="K282" s="233"/>
      <c r="L282" s="53"/>
      <c r="M282" s="54">
        <v>0</v>
      </c>
      <c r="N282" s="53"/>
    </row>
    <row r="283" spans="1:14" ht="21.75" customHeight="1" x14ac:dyDescent="0.4">
      <c r="A283" s="230"/>
      <c r="B283" s="231"/>
      <c r="C283" s="43"/>
      <c r="D283" s="232"/>
      <c r="E283" s="45"/>
      <c r="F283" s="45"/>
      <c r="G283" s="46" t="s">
        <v>114</v>
      </c>
      <c r="H283" s="47" t="s">
        <v>20</v>
      </c>
      <c r="I283" s="67"/>
      <c r="J283" s="67"/>
      <c r="K283" s="233"/>
      <c r="L283" s="53"/>
      <c r="M283" s="54">
        <v>0</v>
      </c>
      <c r="N283" s="53"/>
    </row>
    <row r="284" spans="1:14" ht="21.75" customHeight="1" x14ac:dyDescent="0.4">
      <c r="A284" s="230"/>
      <c r="B284" s="231"/>
      <c r="C284" s="43"/>
      <c r="D284" s="232"/>
      <c r="E284" s="45"/>
      <c r="F284" s="45"/>
      <c r="G284" s="46" t="s">
        <v>115</v>
      </c>
      <c r="H284" s="47" t="s">
        <v>20</v>
      </c>
      <c r="I284" s="67"/>
      <c r="J284" s="67"/>
      <c r="K284" s="233"/>
      <c r="L284" s="53"/>
      <c r="M284" s="54">
        <v>0</v>
      </c>
      <c r="N284" s="53"/>
    </row>
    <row r="285" spans="1:14" ht="21.75" customHeight="1" x14ac:dyDescent="0.4">
      <c r="A285" s="55"/>
      <c r="B285" s="56"/>
      <c r="C285" s="43" t="s">
        <v>17</v>
      </c>
      <c r="D285" s="57" t="s">
        <v>25</v>
      </c>
      <c r="E285" s="58"/>
      <c r="F285" s="58"/>
      <c r="G285" s="59"/>
      <c r="H285" s="60"/>
      <c r="I285" s="48"/>
      <c r="J285" s="48"/>
      <c r="K285" s="49"/>
      <c r="L285" s="61"/>
      <c r="M285" s="61"/>
      <c r="N285" s="61"/>
    </row>
    <row r="286" spans="1:14" ht="21.75" customHeight="1" x14ac:dyDescent="0.4">
      <c r="A286" s="55"/>
      <c r="B286" s="56"/>
      <c r="C286" s="56"/>
      <c r="D286" s="62">
        <v>1</v>
      </c>
      <c r="E286" s="63" t="s">
        <v>26</v>
      </c>
      <c r="F286" s="64"/>
      <c r="G286" s="65"/>
      <c r="H286" s="66"/>
      <c r="I286" s="67"/>
      <c r="J286" s="68">
        <v>1</v>
      </c>
      <c r="K286" s="49"/>
      <c r="L286" s="61"/>
      <c r="M286" s="61"/>
      <c r="N286" s="61"/>
    </row>
    <row r="287" spans="1:14" ht="21.75" customHeight="1" x14ac:dyDescent="0.4">
      <c r="A287" s="55"/>
      <c r="B287" s="56"/>
      <c r="C287" s="56"/>
      <c r="D287" s="69">
        <v>2</v>
      </c>
      <c r="E287" s="70" t="s">
        <v>27</v>
      </c>
      <c r="F287" s="71"/>
      <c r="G287" s="72"/>
      <c r="H287" s="66"/>
      <c r="I287" s="67"/>
      <c r="J287" s="68">
        <v>0</v>
      </c>
      <c r="K287" s="49"/>
      <c r="L287" s="61" t="s">
        <v>21</v>
      </c>
      <c r="M287" s="61" t="s">
        <v>21</v>
      </c>
      <c r="N287" s="61"/>
    </row>
    <row r="288" spans="1:14" ht="21.75" customHeight="1" x14ac:dyDescent="0.4">
      <c r="A288" s="55"/>
      <c r="B288" s="56"/>
      <c r="C288" s="56"/>
      <c r="D288" s="73"/>
      <c r="E288" s="74" t="s">
        <v>28</v>
      </c>
      <c r="F288" s="75"/>
      <c r="G288" s="76"/>
      <c r="H288" s="66"/>
      <c r="I288" s="67"/>
      <c r="J288" s="68">
        <v>0</v>
      </c>
      <c r="K288" s="49"/>
      <c r="L288" s="61"/>
      <c r="M288" s="61"/>
      <c r="N288" s="61"/>
    </row>
    <row r="289" spans="1:14" ht="21.75" customHeight="1" x14ac:dyDescent="0.4">
      <c r="A289" s="55"/>
      <c r="B289" s="56"/>
      <c r="C289" s="56"/>
      <c r="D289" s="73"/>
      <c r="E289" s="74" t="s">
        <v>29</v>
      </c>
      <c r="F289" s="75"/>
      <c r="G289" s="76"/>
      <c r="H289" s="66"/>
      <c r="I289" s="67"/>
      <c r="J289" s="68">
        <v>0</v>
      </c>
      <c r="K289" s="49"/>
      <c r="L289" s="61"/>
      <c r="M289" s="61"/>
      <c r="N289" s="61"/>
    </row>
    <row r="290" spans="1:14" ht="21.75" customHeight="1" x14ac:dyDescent="0.4">
      <c r="A290" s="55"/>
      <c r="B290" s="56"/>
      <c r="C290" s="56"/>
      <c r="D290" s="73"/>
      <c r="E290" s="77"/>
      <c r="F290" s="74" t="s">
        <v>127</v>
      </c>
      <c r="G290" s="75"/>
      <c r="H290" s="66"/>
      <c r="I290" s="67"/>
      <c r="J290" s="67"/>
      <c r="K290" s="49"/>
      <c r="L290" s="61"/>
      <c r="M290" s="61"/>
      <c r="N290" s="61"/>
    </row>
    <row r="291" spans="1:14" ht="21.75" customHeight="1" x14ac:dyDescent="0.4">
      <c r="A291" s="55"/>
      <c r="B291" s="56"/>
      <c r="C291" s="56"/>
      <c r="D291" s="73"/>
      <c r="E291" s="77"/>
      <c r="F291" s="75"/>
      <c r="G291" s="99" t="s">
        <v>50</v>
      </c>
      <c r="H291" s="66" t="s">
        <v>16</v>
      </c>
      <c r="I291" s="67">
        <f ca="1">IFERROR(__xludf.DUMMYFUNCTION("IMPORTRANGE(""https://docs.google.com/spreadsheets/d/1C3CXT74ZlgGe6_JY_1olB1XN4rF0dxEuIIF-xsYjHgg/edit?usp=sharing"",""งบกองทุน!v33"")"),100)</f>
        <v>100</v>
      </c>
      <c r="J291" s="68">
        <v>0</v>
      </c>
      <c r="K291" s="49">
        <f t="shared" ref="K291:K293" ca="1" si="67">IF(I291&gt;0,J291*100/I291,0)</f>
        <v>0</v>
      </c>
      <c r="L291" s="61"/>
      <c r="M291" s="61"/>
      <c r="N291" s="61"/>
    </row>
    <row r="292" spans="1:14" ht="21.75" customHeight="1" x14ac:dyDescent="0.4">
      <c r="A292" s="55"/>
      <c r="B292" s="56"/>
      <c r="C292" s="56"/>
      <c r="D292" s="73"/>
      <c r="E292" s="77"/>
      <c r="F292" s="75"/>
      <c r="G292" s="76" t="s">
        <v>34</v>
      </c>
      <c r="H292" s="66" t="s">
        <v>103</v>
      </c>
      <c r="I292" s="67">
        <f ca="1">IFERROR(__xludf.DUMMYFUNCTION("IMPORTRANGE(""https://docs.google.com/spreadsheets/d/1C3CXT74ZlgGe6_JY_1olB1XN4rF0dxEuIIF-xsYjHgg/edit?usp=sharing"",""งบกองทุน!w33"")"),1000)</f>
        <v>1000</v>
      </c>
      <c r="J292" s="68">
        <v>0</v>
      </c>
      <c r="K292" s="49">
        <f t="shared" ca="1" si="67"/>
        <v>0</v>
      </c>
      <c r="L292" s="61"/>
      <c r="M292" s="61"/>
      <c r="N292" s="61"/>
    </row>
    <row r="293" spans="1:14" ht="21.75" customHeight="1" x14ac:dyDescent="0.4">
      <c r="A293" s="55"/>
      <c r="B293" s="56"/>
      <c r="C293" s="56"/>
      <c r="D293" s="73"/>
      <c r="E293" s="77"/>
      <c r="F293" s="75"/>
      <c r="G293" s="76"/>
      <c r="H293" s="66" t="s">
        <v>16</v>
      </c>
      <c r="I293" s="67">
        <f ca="1">IFERROR(__xludf.DUMMYFUNCTION("IMPORTRANGE(""https://docs.google.com/spreadsheets/d/1C3CXT74ZlgGe6_JY_1olB1XN4rF0dxEuIIF-xsYjHgg/edit?usp=sharing"",""งบกองทุน!x33"")"),100)</f>
        <v>100</v>
      </c>
      <c r="J293" s="68">
        <v>0</v>
      </c>
      <c r="K293" s="49">
        <f t="shared" ca="1" si="67"/>
        <v>0</v>
      </c>
      <c r="L293" s="61"/>
      <c r="M293" s="61"/>
      <c r="N293" s="61"/>
    </row>
    <row r="294" spans="1:14" ht="21.75" customHeight="1" x14ac:dyDescent="0.4">
      <c r="A294" s="55"/>
      <c r="B294" s="56"/>
      <c r="C294" s="56"/>
      <c r="D294" s="73"/>
      <c r="E294" s="74" t="s">
        <v>35</v>
      </c>
      <c r="F294" s="75"/>
      <c r="G294" s="76"/>
      <c r="H294" s="66"/>
      <c r="I294" s="67"/>
      <c r="J294" s="68">
        <v>0</v>
      </c>
      <c r="K294" s="49"/>
      <c r="L294" s="61"/>
      <c r="M294" s="61"/>
      <c r="N294" s="61"/>
    </row>
    <row r="295" spans="1:14" ht="21.75" customHeight="1" x14ac:dyDescent="0.4">
      <c r="A295" s="55"/>
      <c r="B295" s="56"/>
      <c r="C295" s="56"/>
      <c r="D295" s="81">
        <v>3</v>
      </c>
      <c r="E295" s="82" t="s">
        <v>36</v>
      </c>
      <c r="F295" s="83"/>
      <c r="G295" s="84"/>
      <c r="H295" s="66"/>
      <c r="I295" s="67"/>
      <c r="J295" s="85">
        <v>0</v>
      </c>
      <c r="K295" s="49"/>
      <c r="L295" s="61"/>
      <c r="M295" s="61"/>
      <c r="N295" s="61"/>
    </row>
    <row r="296" spans="1:14" ht="21.75" customHeight="1" x14ac:dyDescent="0.4">
      <c r="A296" s="222"/>
      <c r="B296" s="223">
        <v>3</v>
      </c>
      <c r="C296" s="223" t="s">
        <v>128</v>
      </c>
      <c r="D296" s="224"/>
      <c r="E296" s="224"/>
      <c r="F296" s="224"/>
      <c r="G296" s="225"/>
      <c r="H296" s="226" t="s">
        <v>103</v>
      </c>
      <c r="I296" s="227">
        <f ca="1">SUM(I313,I317,I322)</f>
        <v>165</v>
      </c>
      <c r="J296" s="227">
        <f>J313+J317+J322</f>
        <v>0</v>
      </c>
      <c r="K296" s="228">
        <f t="shared" ref="K296:K297" ca="1" si="68">IF(I296&gt;0,J296*100/I296,0)</f>
        <v>0</v>
      </c>
      <c r="L296" s="229">
        <f t="shared" ref="L296:M296" ca="1" si="69">SUM(L298:L299)</f>
        <v>188190</v>
      </c>
      <c r="M296" s="229">
        <f t="shared" si="69"/>
        <v>0</v>
      </c>
      <c r="N296" s="229">
        <f ca="1">+IF(L296&gt;0,M296*100/L296,0)</f>
        <v>0</v>
      </c>
    </row>
    <row r="297" spans="1:14" ht="21.75" customHeight="1" x14ac:dyDescent="0.4">
      <c r="A297" s="222"/>
      <c r="B297" s="223"/>
      <c r="C297" s="223"/>
      <c r="D297" s="236"/>
      <c r="E297" s="236"/>
      <c r="F297" s="236"/>
      <c r="G297" s="239"/>
      <c r="H297" s="226" t="s">
        <v>16</v>
      </c>
      <c r="I297" s="227">
        <f ca="1">SUM(I312,I316,I321)</f>
        <v>55</v>
      </c>
      <c r="J297" s="227">
        <f ca="1">J311</f>
        <v>0</v>
      </c>
      <c r="K297" s="228">
        <f t="shared" ca="1" si="68"/>
        <v>0</v>
      </c>
      <c r="L297" s="229"/>
      <c r="M297" s="229"/>
      <c r="N297" s="229"/>
    </row>
    <row r="298" spans="1:14" ht="21.75" customHeight="1" x14ac:dyDescent="0.4">
      <c r="A298" s="42"/>
      <c r="B298" s="43"/>
      <c r="C298" s="43" t="s">
        <v>17</v>
      </c>
      <c r="D298" s="44" t="s">
        <v>18</v>
      </c>
      <c r="E298" s="45"/>
      <c r="F298" s="45"/>
      <c r="G298" s="46" t="s">
        <v>19</v>
      </c>
      <c r="H298" s="47" t="s">
        <v>20</v>
      </c>
      <c r="I298" s="48" t="s">
        <v>21</v>
      </c>
      <c r="J298" s="48"/>
      <c r="K298" s="49"/>
      <c r="L298" s="50">
        <v>0</v>
      </c>
      <c r="M298" s="53">
        <v>0</v>
      </c>
      <c r="N298" s="53">
        <f t="shared" ref="N298:N301" si="70">+IF(L298&gt;0,M298*100/L298,0)</f>
        <v>0</v>
      </c>
    </row>
    <row r="299" spans="1:14" ht="21.75" customHeight="1" x14ac:dyDescent="0.4">
      <c r="A299" s="42"/>
      <c r="B299" s="43"/>
      <c r="C299" s="43"/>
      <c r="D299" s="51"/>
      <c r="E299" s="45"/>
      <c r="F299" s="45" t="s">
        <v>21</v>
      </c>
      <c r="G299" s="46" t="s">
        <v>22</v>
      </c>
      <c r="H299" s="47" t="s">
        <v>20</v>
      </c>
      <c r="I299" s="48"/>
      <c r="J299" s="48"/>
      <c r="K299" s="49"/>
      <c r="L299" s="50">
        <f t="shared" ref="L299:M299" ca="1" si="71">SUM(L300:L301)</f>
        <v>188190</v>
      </c>
      <c r="M299" s="53">
        <f t="shared" si="71"/>
        <v>0</v>
      </c>
      <c r="N299" s="53">
        <f t="shared" ca="1" si="70"/>
        <v>0</v>
      </c>
    </row>
    <row r="300" spans="1:14" ht="21.75" customHeight="1" x14ac:dyDescent="0.4">
      <c r="A300" s="42"/>
      <c r="B300" s="43"/>
      <c r="C300" s="43"/>
      <c r="D300" s="51"/>
      <c r="E300" s="45"/>
      <c r="F300" s="45"/>
      <c r="G300" s="52" t="s">
        <v>110</v>
      </c>
      <c r="H300" s="47" t="s">
        <v>20</v>
      </c>
      <c r="I300" s="48"/>
      <c r="J300" s="48"/>
      <c r="K300" s="49"/>
      <c r="L300" s="53">
        <f ca="1">IFERROR(__xludf.DUMMYFUNCTION("IMPORTRANGE(""https://docs.google.com/spreadsheets/d/1C3CXT74ZlgGe6_JY_1olB1XN4rF0dxEuIIF-xsYjHgg/edit?usp=sharing"",""งบกองทุน!z33"")"),0)</f>
        <v>0</v>
      </c>
      <c r="M300" s="53">
        <v>0</v>
      </c>
      <c r="N300" s="53">
        <f t="shared" ca="1" si="70"/>
        <v>0</v>
      </c>
    </row>
    <row r="301" spans="1:14" ht="21.75" customHeight="1" x14ac:dyDescent="0.4">
      <c r="A301" s="42"/>
      <c r="B301" s="43"/>
      <c r="C301" s="43"/>
      <c r="D301" s="51"/>
      <c r="E301" s="45"/>
      <c r="F301" s="45"/>
      <c r="G301" s="52" t="s">
        <v>111</v>
      </c>
      <c r="H301" s="47" t="s">
        <v>20</v>
      </c>
      <c r="I301" s="48"/>
      <c r="J301" s="48"/>
      <c r="K301" s="49"/>
      <c r="L301" s="53">
        <f ca="1">IFERROR(__xludf.DUMMYFUNCTION("IMPORTRANGE(""https://docs.google.com/spreadsheets/d/1C3CXT74ZlgGe6_JY_1olB1XN4rF0dxEuIIF-xsYjHgg/edit?usp=sharing"",""งบกองทุน!aa33"")"),188190)</f>
        <v>188190</v>
      </c>
      <c r="M301" s="53">
        <f>SUM(M302:M305)</f>
        <v>0</v>
      </c>
      <c r="N301" s="53">
        <f t="shared" ca="1" si="70"/>
        <v>0</v>
      </c>
    </row>
    <row r="302" spans="1:14" ht="21.75" customHeight="1" x14ac:dyDescent="0.4">
      <c r="A302" s="230"/>
      <c r="B302" s="231"/>
      <c r="C302" s="43"/>
      <c r="D302" s="232"/>
      <c r="E302" s="45"/>
      <c r="F302" s="45"/>
      <c r="G302" s="46" t="s">
        <v>112</v>
      </c>
      <c r="H302" s="47" t="s">
        <v>20</v>
      </c>
      <c r="I302" s="67"/>
      <c r="J302" s="67"/>
      <c r="K302" s="233"/>
      <c r="L302" s="53"/>
      <c r="M302" s="54">
        <v>0</v>
      </c>
      <c r="N302" s="53"/>
    </row>
    <row r="303" spans="1:14" ht="21.75" customHeight="1" x14ac:dyDescent="0.4">
      <c r="A303" s="230"/>
      <c r="B303" s="231"/>
      <c r="C303" s="43"/>
      <c r="D303" s="232"/>
      <c r="E303" s="45"/>
      <c r="F303" s="45"/>
      <c r="G303" s="46" t="s">
        <v>113</v>
      </c>
      <c r="H303" s="47" t="s">
        <v>20</v>
      </c>
      <c r="I303" s="67"/>
      <c r="J303" s="67"/>
      <c r="K303" s="233"/>
      <c r="L303" s="53"/>
      <c r="M303" s="54">
        <v>0</v>
      </c>
      <c r="N303" s="53"/>
    </row>
    <row r="304" spans="1:14" ht="21.75" customHeight="1" x14ac:dyDescent="0.4">
      <c r="A304" s="230"/>
      <c r="B304" s="231"/>
      <c r="C304" s="43"/>
      <c r="D304" s="232"/>
      <c r="E304" s="45"/>
      <c r="F304" s="45"/>
      <c r="G304" s="46" t="s">
        <v>114</v>
      </c>
      <c r="H304" s="47" t="s">
        <v>20</v>
      </c>
      <c r="I304" s="67"/>
      <c r="J304" s="67"/>
      <c r="K304" s="233"/>
      <c r="L304" s="53"/>
      <c r="M304" s="54">
        <v>0</v>
      </c>
      <c r="N304" s="53"/>
    </row>
    <row r="305" spans="1:14" ht="21.75" customHeight="1" x14ac:dyDescent="0.4">
      <c r="A305" s="230"/>
      <c r="B305" s="231"/>
      <c r="C305" s="43"/>
      <c r="D305" s="232"/>
      <c r="E305" s="45"/>
      <c r="F305" s="45"/>
      <c r="G305" s="46" t="s">
        <v>115</v>
      </c>
      <c r="H305" s="47" t="s">
        <v>20</v>
      </c>
      <c r="I305" s="67"/>
      <c r="J305" s="67"/>
      <c r="K305" s="233"/>
      <c r="L305" s="53"/>
      <c r="M305" s="54">
        <v>0</v>
      </c>
      <c r="N305" s="53"/>
    </row>
    <row r="306" spans="1:14" ht="21.75" customHeight="1" x14ac:dyDescent="0.4">
      <c r="A306" s="55"/>
      <c r="B306" s="56"/>
      <c r="C306" s="43" t="s">
        <v>17</v>
      </c>
      <c r="D306" s="57" t="s">
        <v>25</v>
      </c>
      <c r="E306" s="58"/>
      <c r="F306" s="58"/>
      <c r="G306" s="59"/>
      <c r="H306" s="60"/>
      <c r="I306" s="48"/>
      <c r="J306" s="48"/>
      <c r="K306" s="49"/>
      <c r="L306" s="61"/>
      <c r="M306" s="61"/>
      <c r="N306" s="61"/>
    </row>
    <row r="307" spans="1:14" ht="21.75" customHeight="1" x14ac:dyDescent="0.4">
      <c r="A307" s="55"/>
      <c r="B307" s="56"/>
      <c r="C307" s="56"/>
      <c r="D307" s="62">
        <v>1</v>
      </c>
      <c r="E307" s="63" t="s">
        <v>26</v>
      </c>
      <c r="F307" s="64"/>
      <c r="G307" s="65"/>
      <c r="H307" s="66"/>
      <c r="I307" s="67"/>
      <c r="J307" s="68">
        <v>1</v>
      </c>
      <c r="K307" s="49"/>
      <c r="L307" s="61"/>
      <c r="M307" s="61"/>
      <c r="N307" s="61"/>
    </row>
    <row r="308" spans="1:14" ht="21.75" customHeight="1" x14ac:dyDescent="0.4">
      <c r="A308" s="55"/>
      <c r="B308" s="56"/>
      <c r="C308" s="56"/>
      <c r="D308" s="69">
        <v>2</v>
      </c>
      <c r="E308" s="70" t="s">
        <v>27</v>
      </c>
      <c r="F308" s="71"/>
      <c r="G308" s="72"/>
      <c r="H308" s="66"/>
      <c r="I308" s="67"/>
      <c r="J308" s="68">
        <v>0</v>
      </c>
      <c r="K308" s="49"/>
      <c r="L308" s="61" t="s">
        <v>21</v>
      </c>
      <c r="M308" s="61" t="s">
        <v>21</v>
      </c>
      <c r="N308" s="61"/>
    </row>
    <row r="309" spans="1:14" ht="21.75" customHeight="1" x14ac:dyDescent="0.4">
      <c r="A309" s="55"/>
      <c r="B309" s="56"/>
      <c r="C309" s="56"/>
      <c r="D309" s="73"/>
      <c r="E309" s="74" t="s">
        <v>28</v>
      </c>
      <c r="F309" s="75"/>
      <c r="G309" s="76"/>
      <c r="H309" s="66"/>
      <c r="I309" s="67"/>
      <c r="J309" s="68">
        <v>0</v>
      </c>
      <c r="K309" s="49"/>
      <c r="L309" s="61"/>
      <c r="M309" s="61"/>
      <c r="N309" s="61"/>
    </row>
    <row r="310" spans="1:14" ht="21.75" customHeight="1" x14ac:dyDescent="0.4">
      <c r="A310" s="55"/>
      <c r="B310" s="56"/>
      <c r="C310" s="56"/>
      <c r="D310" s="73"/>
      <c r="E310" s="74" t="s">
        <v>29</v>
      </c>
      <c r="F310" s="75"/>
      <c r="G310" s="76"/>
      <c r="H310" s="66"/>
      <c r="I310" s="67"/>
      <c r="J310" s="68">
        <v>0</v>
      </c>
      <c r="K310" s="49"/>
      <c r="L310" s="61"/>
      <c r="M310" s="61"/>
      <c r="N310" s="61"/>
    </row>
    <row r="311" spans="1:14" ht="21.75" customHeight="1" x14ac:dyDescent="0.4">
      <c r="A311" s="55"/>
      <c r="B311" s="56"/>
      <c r="C311" s="56"/>
      <c r="D311" s="73"/>
      <c r="E311" s="77"/>
      <c r="F311" s="74" t="s">
        <v>50</v>
      </c>
      <c r="G311" s="240"/>
      <c r="H311" s="241" t="s">
        <v>16</v>
      </c>
      <c r="I311" s="79">
        <f t="shared" ref="I311:J311" ca="1" si="72">+I312+I316+I321</f>
        <v>55</v>
      </c>
      <c r="J311" s="79">
        <f t="shared" ca="1" si="72"/>
        <v>0</v>
      </c>
      <c r="K311" s="80">
        <f t="shared" ref="K311:K327" ca="1" si="73">IF(I311&gt;0,J311*100/I311,0)</f>
        <v>0</v>
      </c>
      <c r="L311" s="61"/>
      <c r="M311" s="61"/>
      <c r="N311" s="61"/>
    </row>
    <row r="312" spans="1:14" ht="21.75" customHeight="1" x14ac:dyDescent="0.4">
      <c r="A312" s="55"/>
      <c r="B312" s="56"/>
      <c r="C312" s="56"/>
      <c r="D312" s="73"/>
      <c r="E312" s="77"/>
      <c r="F312" s="242" t="s">
        <v>129</v>
      </c>
      <c r="G312" s="76"/>
      <c r="H312" s="78" t="s">
        <v>16</v>
      </c>
      <c r="I312" s="243">
        <f ca="1">IFERROR(__xludf.DUMMYFUNCTION("IMPORTRANGE(""https://docs.google.com/spreadsheets/d/1C3CXT74ZlgGe6_JY_1olB1XN4rF0dxEuIIF-xsYjHgg/edit?usp=sharing"",""งบกองทุน!ae33"")"),10)</f>
        <v>10</v>
      </c>
      <c r="J312" s="79">
        <f ca="1">IF(AND(J314=I314,J315=I315),I314,0)</f>
        <v>0</v>
      </c>
      <c r="K312" s="80">
        <f t="shared" ca="1" si="73"/>
        <v>0</v>
      </c>
      <c r="L312" s="61"/>
      <c r="M312" s="61"/>
      <c r="N312" s="61"/>
    </row>
    <row r="313" spans="1:14" ht="21.75" customHeight="1" x14ac:dyDescent="0.4">
      <c r="A313" s="55"/>
      <c r="B313" s="56"/>
      <c r="C313" s="56"/>
      <c r="D313" s="73"/>
      <c r="E313" s="77"/>
      <c r="F313" s="75"/>
      <c r="G313" s="76"/>
      <c r="H313" s="78" t="s">
        <v>103</v>
      </c>
      <c r="I313" s="243">
        <f ca="1">IFERROR(__xludf.DUMMYFUNCTION("IMPORTRANGE(""https://docs.google.com/spreadsheets/d/1C3CXT74ZlgGe6_JY_1olB1XN4rF0dxEuIIF-xsYjHgg/edit?usp=sharing"",""งบกองทุน!ad33"")"),30)</f>
        <v>30</v>
      </c>
      <c r="J313" s="154">
        <v>0</v>
      </c>
      <c r="K313" s="80">
        <f t="shared" ca="1" si="73"/>
        <v>0</v>
      </c>
      <c r="L313" s="61"/>
      <c r="M313" s="61"/>
      <c r="N313" s="61"/>
    </row>
    <row r="314" spans="1:14" ht="21.75" customHeight="1" x14ac:dyDescent="0.4">
      <c r="A314" s="55"/>
      <c r="B314" s="56"/>
      <c r="C314" s="56"/>
      <c r="D314" s="73"/>
      <c r="E314" s="77"/>
      <c r="F314" s="75"/>
      <c r="G314" s="99" t="s">
        <v>130</v>
      </c>
      <c r="H314" s="60" t="s">
        <v>16</v>
      </c>
      <c r="I314" s="200">
        <f ca="1">IFERROR(__xludf.DUMMYFUNCTION("IMPORTRANGE(""https://docs.google.com/spreadsheets/d/1C3CXT74ZlgGe6_JY_1olB1XN4rF0dxEuIIF-xsYjHgg/edit?usp=sharing"",""งบกองทุน!af33"")"),10)</f>
        <v>10</v>
      </c>
      <c r="J314" s="68">
        <v>0</v>
      </c>
      <c r="K314" s="49">
        <f t="shared" ca="1" si="73"/>
        <v>0</v>
      </c>
      <c r="L314" s="61"/>
      <c r="M314" s="61"/>
      <c r="N314" s="61"/>
    </row>
    <row r="315" spans="1:14" ht="21.75" customHeight="1" x14ac:dyDescent="0.4">
      <c r="A315" s="105"/>
      <c r="B315" s="106"/>
      <c r="C315" s="106"/>
      <c r="D315" s="244"/>
      <c r="E315" s="245"/>
      <c r="F315" s="204"/>
      <c r="G315" s="246" t="s">
        <v>131</v>
      </c>
      <c r="H315" s="206" t="s">
        <v>16</v>
      </c>
      <c r="I315" s="207">
        <f ca="1">IFERROR(__xludf.DUMMYFUNCTION("IMPORTRANGE(""https://docs.google.com/spreadsheets/d/1C3CXT74ZlgGe6_JY_1olB1XN4rF0dxEuIIF-xsYjHgg/edit?usp=sharing"",""งบกองทุน!ag33"")"),10)</f>
        <v>10</v>
      </c>
      <c r="J315" s="247">
        <v>0</v>
      </c>
      <c r="K315" s="114">
        <f t="shared" ca="1" si="73"/>
        <v>0</v>
      </c>
      <c r="L315" s="115"/>
      <c r="M315" s="115"/>
      <c r="N315" s="115"/>
    </row>
    <row r="316" spans="1:14" ht="21.75" customHeight="1" x14ac:dyDescent="0.4">
      <c r="A316" s="55"/>
      <c r="B316" s="56"/>
      <c r="C316" s="56"/>
      <c r="D316" s="73"/>
      <c r="E316" s="77"/>
      <c r="F316" s="242" t="s">
        <v>132</v>
      </c>
      <c r="G316" s="76"/>
      <c r="H316" s="78" t="s">
        <v>16</v>
      </c>
      <c r="I316" s="243">
        <f ca="1">IFERROR(__xludf.DUMMYFUNCTION("IMPORTRANGE(""https://docs.google.com/spreadsheets/d/1C3CXT74ZlgGe6_JY_1olB1XN4rF0dxEuIIF-xsYjHgg/edit?usp=sharing"",""งบกองทุน!ai33"")"),35)</f>
        <v>35</v>
      </c>
      <c r="J316" s="79">
        <f ca="1">IF(AND(J318=I318,J319=I319,J320=I320),I318,0)</f>
        <v>0</v>
      </c>
      <c r="K316" s="80">
        <f t="shared" ca="1" si="73"/>
        <v>0</v>
      </c>
      <c r="L316" s="61"/>
      <c r="M316" s="61"/>
      <c r="N316" s="61"/>
    </row>
    <row r="317" spans="1:14" ht="21.75" customHeight="1" x14ac:dyDescent="0.4">
      <c r="A317" s="55"/>
      <c r="B317" s="56"/>
      <c r="C317" s="56"/>
      <c r="D317" s="73"/>
      <c r="E317" s="77"/>
      <c r="F317" s="75"/>
      <c r="G317" s="76"/>
      <c r="H317" s="78" t="s">
        <v>103</v>
      </c>
      <c r="I317" s="243">
        <f ca="1">IFERROR(__xludf.DUMMYFUNCTION("IMPORTRANGE(""https://docs.google.com/spreadsheets/d/1C3CXT74ZlgGe6_JY_1olB1XN4rF0dxEuIIF-xsYjHgg/edit?usp=sharing"",""งบกองทุน!ah33"")"),105)</f>
        <v>105</v>
      </c>
      <c r="J317" s="154">
        <v>0</v>
      </c>
      <c r="K317" s="80">
        <f t="shared" ca="1" si="73"/>
        <v>0</v>
      </c>
      <c r="L317" s="61"/>
      <c r="M317" s="61"/>
      <c r="N317" s="61"/>
    </row>
    <row r="318" spans="1:14" ht="21.75" customHeight="1" x14ac:dyDescent="0.4">
      <c r="A318" s="55"/>
      <c r="B318" s="56"/>
      <c r="C318" s="56"/>
      <c r="D318" s="73"/>
      <c r="E318" s="77"/>
      <c r="F318" s="75"/>
      <c r="G318" s="99" t="s">
        <v>133</v>
      </c>
      <c r="H318" s="60" t="s">
        <v>16</v>
      </c>
      <c r="I318" s="200">
        <f ca="1">IFERROR(__xludf.DUMMYFUNCTION("IMPORTRANGE(""https://docs.google.com/spreadsheets/d/1C3CXT74ZlgGe6_JY_1olB1XN4rF0dxEuIIF-xsYjHgg/edit?usp=sharing"",""งบกองทุน!aj33"")"),35)</f>
        <v>35</v>
      </c>
      <c r="J318" s="68">
        <v>0</v>
      </c>
      <c r="K318" s="49">
        <f t="shared" ca="1" si="73"/>
        <v>0</v>
      </c>
      <c r="L318" s="61"/>
      <c r="M318" s="61"/>
      <c r="N318" s="61"/>
    </row>
    <row r="319" spans="1:14" ht="21.75" customHeight="1" x14ac:dyDescent="0.4">
      <c r="A319" s="55"/>
      <c r="B319" s="56"/>
      <c r="C319" s="56"/>
      <c r="D319" s="73"/>
      <c r="E319" s="77"/>
      <c r="F319" s="75"/>
      <c r="G319" s="99" t="s">
        <v>134</v>
      </c>
      <c r="H319" s="60" t="s">
        <v>16</v>
      </c>
      <c r="I319" s="200">
        <f ca="1">IFERROR(__xludf.DUMMYFUNCTION("IMPORTRANGE(""https://docs.google.com/spreadsheets/d/1C3CXT74ZlgGe6_JY_1olB1XN4rF0dxEuIIF-xsYjHgg/edit?usp=sharing"",""งบกองทุน!ak33"")"),35)</f>
        <v>35</v>
      </c>
      <c r="J319" s="68">
        <v>0</v>
      </c>
      <c r="K319" s="49">
        <f t="shared" ca="1" si="73"/>
        <v>0</v>
      </c>
      <c r="L319" s="61"/>
      <c r="M319" s="61"/>
      <c r="N319" s="61"/>
    </row>
    <row r="320" spans="1:14" ht="21.75" customHeight="1" x14ac:dyDescent="0.4">
      <c r="A320" s="55"/>
      <c r="B320" s="56"/>
      <c r="C320" s="56"/>
      <c r="D320" s="73"/>
      <c r="E320" s="77"/>
      <c r="F320" s="75"/>
      <c r="G320" s="99" t="s">
        <v>135</v>
      </c>
      <c r="H320" s="60" t="s">
        <v>16</v>
      </c>
      <c r="I320" s="200">
        <f ca="1">IFERROR(__xludf.DUMMYFUNCTION("IMPORTRANGE(""https://docs.google.com/spreadsheets/d/1C3CXT74ZlgGe6_JY_1olB1XN4rF0dxEuIIF-xsYjHgg/edit?usp=sharing"",""งบกองทุน!al33"")"),35)</f>
        <v>35</v>
      </c>
      <c r="J320" s="68">
        <v>0</v>
      </c>
      <c r="K320" s="49">
        <f t="shared" ca="1" si="73"/>
        <v>0</v>
      </c>
      <c r="L320" s="61"/>
      <c r="M320" s="61"/>
      <c r="N320" s="61"/>
    </row>
    <row r="321" spans="1:14" ht="21.75" customHeight="1" x14ac:dyDescent="0.4">
      <c r="A321" s="55"/>
      <c r="B321" s="56"/>
      <c r="C321" s="56"/>
      <c r="D321" s="73"/>
      <c r="E321" s="77"/>
      <c r="F321" s="242" t="s">
        <v>136</v>
      </c>
      <c r="G321" s="76"/>
      <c r="H321" s="78" t="s">
        <v>16</v>
      </c>
      <c r="I321" s="243">
        <f ca="1">IFERROR(__xludf.DUMMYFUNCTION("IMPORTRANGE(""https://docs.google.com/spreadsheets/d/1C3CXT74ZlgGe6_JY_1olB1XN4rF0dxEuIIF-xsYjHgg/edit?usp=sharing"",""งบกองทุน!an33"")"),10)</f>
        <v>10</v>
      </c>
      <c r="J321" s="79">
        <f ca="1">IF(AND(J323=I323,J324=I324),I323,0)</f>
        <v>0</v>
      </c>
      <c r="K321" s="80">
        <f t="shared" ca="1" si="73"/>
        <v>0</v>
      </c>
      <c r="L321" s="61"/>
      <c r="M321" s="61"/>
      <c r="N321" s="61"/>
    </row>
    <row r="322" spans="1:14" ht="21.75" customHeight="1" x14ac:dyDescent="0.4">
      <c r="A322" s="55"/>
      <c r="B322" s="56"/>
      <c r="C322" s="56"/>
      <c r="D322" s="73"/>
      <c r="E322" s="77"/>
      <c r="F322" s="75"/>
      <c r="G322" s="76"/>
      <c r="H322" s="78" t="s">
        <v>103</v>
      </c>
      <c r="I322" s="243">
        <f ca="1">IFERROR(__xludf.DUMMYFUNCTION("IMPORTRANGE(""https://docs.google.com/spreadsheets/d/1C3CXT74ZlgGe6_JY_1olB1XN4rF0dxEuIIF-xsYjHgg/edit?usp=sharing"",""งบกองทุน!am33"")"),30)</f>
        <v>30</v>
      </c>
      <c r="J322" s="154">
        <v>0</v>
      </c>
      <c r="K322" s="80">
        <f t="shared" ca="1" si="73"/>
        <v>0</v>
      </c>
      <c r="L322" s="61"/>
      <c r="M322" s="61"/>
      <c r="N322" s="61"/>
    </row>
    <row r="323" spans="1:14" ht="21.75" customHeight="1" x14ac:dyDescent="0.4">
      <c r="A323" s="55"/>
      <c r="B323" s="56"/>
      <c r="C323" s="56"/>
      <c r="D323" s="73"/>
      <c r="E323" s="77"/>
      <c r="F323" s="75"/>
      <c r="G323" s="99" t="s">
        <v>137</v>
      </c>
      <c r="H323" s="60" t="s">
        <v>16</v>
      </c>
      <c r="I323" s="248">
        <f ca="1">IFERROR(__xludf.DUMMYFUNCTION("IMPORTRANGE(""https://docs.google.com/spreadsheets/d/1C3CXT74ZlgGe6_JY_1olB1XN4rF0dxEuIIF-xsYjHgg/edit?usp=sharing"",""งบกองทุน!ao33"")"),10)</f>
        <v>10</v>
      </c>
      <c r="J323" s="68">
        <v>0</v>
      </c>
      <c r="K323" s="49">
        <f t="shared" ca="1" si="73"/>
        <v>0</v>
      </c>
      <c r="L323" s="61"/>
      <c r="M323" s="61"/>
      <c r="N323" s="61"/>
    </row>
    <row r="324" spans="1:14" ht="21.75" customHeight="1" x14ac:dyDescent="0.4">
      <c r="A324" s="55"/>
      <c r="B324" s="56"/>
      <c r="C324" s="56"/>
      <c r="D324" s="73"/>
      <c r="E324" s="77"/>
      <c r="F324" s="75"/>
      <c r="G324" s="99" t="s">
        <v>138</v>
      </c>
      <c r="H324" s="60" t="s">
        <v>16</v>
      </c>
      <c r="I324" s="248">
        <f ca="1">IFERROR(__xludf.DUMMYFUNCTION("IMPORTRANGE(""https://docs.google.com/spreadsheets/d/1C3CXT74ZlgGe6_JY_1olB1XN4rF0dxEuIIF-xsYjHgg/edit?usp=sharing"",""งบกองทุน!ap33"")"),10)</f>
        <v>10</v>
      </c>
      <c r="J324" s="68">
        <v>0</v>
      </c>
      <c r="K324" s="49">
        <f t="shared" ca="1" si="73"/>
        <v>0</v>
      </c>
      <c r="L324" s="61"/>
      <c r="M324" s="61"/>
      <c r="N324" s="61"/>
    </row>
    <row r="325" spans="1:14" ht="21.75" customHeight="1" x14ac:dyDescent="0.4">
      <c r="A325" s="55"/>
      <c r="B325" s="56"/>
      <c r="C325" s="56"/>
      <c r="D325" s="73"/>
      <c r="E325" s="77"/>
      <c r="F325" s="74" t="s">
        <v>34</v>
      </c>
      <c r="G325" s="240"/>
      <c r="H325" s="241" t="s">
        <v>16</v>
      </c>
      <c r="I325" s="79">
        <f ca="1">SUM(I326,I327)</f>
        <v>45</v>
      </c>
      <c r="J325" s="79">
        <f ca="1">IF(AND(J326=I326,J327=I327),I325,0)</f>
        <v>0</v>
      </c>
      <c r="K325" s="80">
        <f t="shared" ca="1" si="73"/>
        <v>0</v>
      </c>
      <c r="L325" s="61"/>
      <c r="M325" s="61"/>
      <c r="N325" s="61"/>
    </row>
    <row r="326" spans="1:14" ht="21.75" customHeight="1" x14ac:dyDescent="0.4">
      <c r="A326" s="249"/>
      <c r="B326" s="250"/>
      <c r="C326" s="250"/>
      <c r="D326" s="251"/>
      <c r="E326" s="77"/>
      <c r="F326" s="75"/>
      <c r="G326" s="99" t="s">
        <v>139</v>
      </c>
      <c r="H326" s="60" t="s">
        <v>16</v>
      </c>
      <c r="I326" s="248">
        <f ca="1">IFERROR(__xludf.DUMMYFUNCTION("IMPORTRANGE(""https://docs.google.com/spreadsheets/d/1C3CXT74ZlgGe6_JY_1olB1XN4rF0dxEuIIF-xsYjHgg/edit?usp=sharing"",""งบกองทุน!ar33"")"),10)</f>
        <v>10</v>
      </c>
      <c r="J326" s="68">
        <v>0</v>
      </c>
      <c r="K326" s="49">
        <f t="shared" ca="1" si="73"/>
        <v>0</v>
      </c>
      <c r="L326" s="61"/>
      <c r="M326" s="61"/>
      <c r="N326" s="61"/>
    </row>
    <row r="327" spans="1:14" ht="21.75" customHeight="1" x14ac:dyDescent="0.4">
      <c r="A327" s="249"/>
      <c r="B327" s="250"/>
      <c r="C327" s="250"/>
      <c r="D327" s="251"/>
      <c r="E327" s="77"/>
      <c r="F327" s="75"/>
      <c r="G327" s="99" t="s">
        <v>140</v>
      </c>
      <c r="H327" s="60" t="s">
        <v>16</v>
      </c>
      <c r="I327" s="248">
        <f ca="1">IFERROR(__xludf.DUMMYFUNCTION("IMPORTRANGE(""https://docs.google.com/spreadsheets/d/1C3CXT74ZlgGe6_JY_1olB1XN4rF0dxEuIIF-xsYjHgg/edit?usp=sharing"",""งบกองทุน!as33"")"),35)</f>
        <v>35</v>
      </c>
      <c r="J327" s="68">
        <v>0</v>
      </c>
      <c r="K327" s="49">
        <f t="shared" ca="1" si="73"/>
        <v>0</v>
      </c>
      <c r="L327" s="61"/>
      <c r="M327" s="61"/>
      <c r="N327" s="61"/>
    </row>
    <row r="328" spans="1:14" ht="21.75" customHeight="1" x14ac:dyDescent="0.4">
      <c r="A328" s="55"/>
      <c r="B328" s="56"/>
      <c r="C328" s="56"/>
      <c r="D328" s="73"/>
      <c r="E328" s="74" t="s">
        <v>35</v>
      </c>
      <c r="F328" s="75"/>
      <c r="G328" s="76"/>
      <c r="H328" s="66"/>
      <c r="I328" s="67"/>
      <c r="J328" s="68">
        <v>0</v>
      </c>
      <c r="K328" s="49"/>
      <c r="L328" s="61"/>
      <c r="M328" s="61"/>
      <c r="N328" s="61"/>
    </row>
    <row r="329" spans="1:14" ht="21.75" customHeight="1" x14ac:dyDescent="0.4">
      <c r="A329" s="55"/>
      <c r="B329" s="56"/>
      <c r="C329" s="56"/>
      <c r="D329" s="81">
        <v>3</v>
      </c>
      <c r="E329" s="82" t="s">
        <v>36</v>
      </c>
      <c r="F329" s="83"/>
      <c r="G329" s="84"/>
      <c r="H329" s="66"/>
      <c r="I329" s="67"/>
      <c r="J329" s="85">
        <v>0</v>
      </c>
      <c r="K329" s="49"/>
      <c r="L329" s="61"/>
      <c r="M329" s="61"/>
      <c r="N329" s="61"/>
    </row>
    <row r="330" spans="1:14" ht="21.75" customHeight="1" x14ac:dyDescent="0.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20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95000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4">
      <c r="A331" s="42"/>
      <c r="B331" s="43"/>
      <c r="C331" s="43" t="s">
        <v>17</v>
      </c>
      <c r="D331" s="44" t="s">
        <v>18</v>
      </c>
      <c r="E331" s="45"/>
      <c r="F331" s="45"/>
      <c r="G331" s="46" t="s">
        <v>19</v>
      </c>
      <c r="H331" s="47" t="s">
        <v>20</v>
      </c>
      <c r="I331" s="48" t="s">
        <v>21</v>
      </c>
      <c r="J331" s="48"/>
      <c r="K331" s="49"/>
      <c r="L331" s="50">
        <v>0</v>
      </c>
      <c r="M331" s="53">
        <v>0</v>
      </c>
      <c r="N331" s="53">
        <f t="shared" si="75"/>
        <v>0</v>
      </c>
    </row>
    <row r="332" spans="1:14" ht="21.75" customHeight="1" x14ac:dyDescent="0.4">
      <c r="A332" s="42"/>
      <c r="B332" s="43"/>
      <c r="C332" s="43"/>
      <c r="D332" s="51"/>
      <c r="E332" s="45"/>
      <c r="F332" s="45" t="s">
        <v>21</v>
      </c>
      <c r="G332" s="46" t="s">
        <v>22</v>
      </c>
      <c r="H332" s="47" t="s">
        <v>20</v>
      </c>
      <c r="I332" s="48"/>
      <c r="J332" s="48"/>
      <c r="K332" s="49"/>
      <c r="L332" s="50">
        <f t="shared" ref="L332:M332" ca="1" si="76">SUM(L333:L334)</f>
        <v>95000</v>
      </c>
      <c r="M332" s="53">
        <f t="shared" si="76"/>
        <v>0</v>
      </c>
      <c r="N332" s="53">
        <f t="shared" ca="1" si="75"/>
        <v>0</v>
      </c>
    </row>
    <row r="333" spans="1:14" ht="21.75" customHeight="1" x14ac:dyDescent="0.4">
      <c r="A333" s="42"/>
      <c r="B333" s="43"/>
      <c r="C333" s="43"/>
      <c r="D333" s="51"/>
      <c r="E333" s="45"/>
      <c r="F333" s="45"/>
      <c r="G333" s="52" t="s">
        <v>110</v>
      </c>
      <c r="H333" s="47" t="s">
        <v>20</v>
      </c>
      <c r="I333" s="48"/>
      <c r="J333" s="48"/>
      <c r="K333" s="49"/>
      <c r="L333" s="53">
        <f ca="1">IFERROR(__xludf.DUMMYFUNCTION("IMPORTRANGE(""https://docs.google.com/spreadsheets/d/1C3CXT74ZlgGe6_JY_1olB1XN4rF0dxEuIIF-xsYjHgg/edit?usp=sharing"",""งบกองทุน!au33"")"),0)</f>
        <v>0</v>
      </c>
      <c r="M333" s="53">
        <v>0</v>
      </c>
      <c r="N333" s="53">
        <f t="shared" ca="1" si="75"/>
        <v>0</v>
      </c>
    </row>
    <row r="334" spans="1:14" ht="21.75" customHeight="1" x14ac:dyDescent="0.4">
      <c r="A334" s="42"/>
      <c r="B334" s="43"/>
      <c r="C334" s="43"/>
      <c r="D334" s="51"/>
      <c r="E334" s="45"/>
      <c r="F334" s="45"/>
      <c r="G334" s="52" t="s">
        <v>111</v>
      </c>
      <c r="H334" s="47" t="s">
        <v>20</v>
      </c>
      <c r="I334" s="48"/>
      <c r="J334" s="48"/>
      <c r="K334" s="49"/>
      <c r="L334" s="53">
        <f ca="1">IFERROR(__xludf.DUMMYFUNCTION("IMPORTRANGE(""https://docs.google.com/spreadsheets/d/1C3CXT74ZlgGe6_JY_1olB1XN4rF0dxEuIIF-xsYjHgg/edit?usp=sharing"",""งบกองทุน!av33"")"),95000)</f>
        <v>95000</v>
      </c>
      <c r="M334" s="53">
        <f>SUM(M335:M338)</f>
        <v>0</v>
      </c>
      <c r="N334" s="53">
        <f t="shared" ca="1" si="75"/>
        <v>0</v>
      </c>
    </row>
    <row r="335" spans="1:14" ht="21.75" customHeight="1" x14ac:dyDescent="0.4">
      <c r="A335" s="230"/>
      <c r="B335" s="231"/>
      <c r="C335" s="43"/>
      <c r="D335" s="232"/>
      <c r="E335" s="45"/>
      <c r="F335" s="45"/>
      <c r="G335" s="46" t="s">
        <v>112</v>
      </c>
      <c r="H335" s="47" t="s">
        <v>20</v>
      </c>
      <c r="I335" s="67"/>
      <c r="J335" s="67"/>
      <c r="K335" s="233"/>
      <c r="L335" s="53"/>
      <c r="M335" s="54">
        <v>0</v>
      </c>
      <c r="N335" s="53"/>
    </row>
    <row r="336" spans="1:14" ht="21.75" customHeight="1" x14ac:dyDescent="0.4">
      <c r="A336" s="230"/>
      <c r="B336" s="231"/>
      <c r="C336" s="43"/>
      <c r="D336" s="232"/>
      <c r="E336" s="45"/>
      <c r="F336" s="45"/>
      <c r="G336" s="46" t="s">
        <v>113</v>
      </c>
      <c r="H336" s="47" t="s">
        <v>20</v>
      </c>
      <c r="I336" s="67"/>
      <c r="J336" s="67"/>
      <c r="K336" s="233"/>
      <c r="L336" s="53"/>
      <c r="M336" s="54">
        <v>0</v>
      </c>
      <c r="N336" s="53"/>
    </row>
    <row r="337" spans="1:14" ht="21.75" customHeight="1" x14ac:dyDescent="0.4">
      <c r="A337" s="230"/>
      <c r="B337" s="231"/>
      <c r="C337" s="43"/>
      <c r="D337" s="232"/>
      <c r="E337" s="45"/>
      <c r="F337" s="45"/>
      <c r="G337" s="46" t="s">
        <v>114</v>
      </c>
      <c r="H337" s="47" t="s">
        <v>20</v>
      </c>
      <c r="I337" s="67"/>
      <c r="J337" s="67"/>
      <c r="K337" s="233"/>
      <c r="L337" s="53"/>
      <c r="M337" s="54">
        <v>0</v>
      </c>
      <c r="N337" s="53"/>
    </row>
    <row r="338" spans="1:14" ht="21.75" customHeight="1" x14ac:dyDescent="0.4">
      <c r="A338" s="230"/>
      <c r="B338" s="231"/>
      <c r="C338" s="43"/>
      <c r="D338" s="232"/>
      <c r="E338" s="45"/>
      <c r="F338" s="45"/>
      <c r="G338" s="46" t="s">
        <v>115</v>
      </c>
      <c r="H338" s="47" t="s">
        <v>20</v>
      </c>
      <c r="I338" s="67"/>
      <c r="J338" s="67"/>
      <c r="K338" s="233"/>
      <c r="L338" s="53"/>
      <c r="M338" s="54">
        <v>0</v>
      </c>
      <c r="N338" s="53"/>
    </row>
    <row r="339" spans="1:14" ht="21.75" customHeight="1" x14ac:dyDescent="0.4">
      <c r="A339" s="55"/>
      <c r="B339" s="56"/>
      <c r="C339" s="43" t="s">
        <v>17</v>
      </c>
      <c r="D339" s="57" t="s">
        <v>25</v>
      </c>
      <c r="E339" s="58"/>
      <c r="F339" s="58"/>
      <c r="G339" s="59"/>
      <c r="H339" s="60"/>
      <c r="I339" s="48"/>
      <c r="J339" s="48"/>
      <c r="K339" s="49"/>
      <c r="L339" s="61"/>
      <c r="M339" s="61"/>
      <c r="N339" s="61"/>
    </row>
    <row r="340" spans="1:14" ht="21.75" customHeight="1" x14ac:dyDescent="0.4">
      <c r="A340" s="55"/>
      <c r="B340" s="56"/>
      <c r="C340" s="56"/>
      <c r="D340" s="62">
        <v>1</v>
      </c>
      <c r="E340" s="63" t="s">
        <v>26</v>
      </c>
      <c r="F340" s="64"/>
      <c r="G340" s="65"/>
      <c r="H340" s="66"/>
      <c r="I340" s="67"/>
      <c r="J340" s="85">
        <v>1</v>
      </c>
      <c r="K340" s="49"/>
      <c r="L340" s="61"/>
      <c r="M340" s="61"/>
      <c r="N340" s="61"/>
    </row>
    <row r="341" spans="1:14" ht="21.75" customHeight="1" x14ac:dyDescent="0.4">
      <c r="A341" s="55"/>
      <c r="B341" s="56"/>
      <c r="C341" s="56"/>
      <c r="D341" s="69">
        <v>2</v>
      </c>
      <c r="E341" s="70" t="s">
        <v>27</v>
      </c>
      <c r="F341" s="71"/>
      <c r="G341" s="72"/>
      <c r="H341" s="66"/>
      <c r="I341" s="67"/>
      <c r="J341" s="85">
        <v>0</v>
      </c>
      <c r="K341" s="49"/>
      <c r="L341" s="61" t="s">
        <v>21</v>
      </c>
      <c r="M341" s="61" t="s">
        <v>21</v>
      </c>
      <c r="N341" s="61"/>
    </row>
    <row r="342" spans="1:14" ht="21.75" customHeight="1" x14ac:dyDescent="0.4">
      <c r="A342" s="55"/>
      <c r="B342" s="56"/>
      <c r="C342" s="56"/>
      <c r="D342" s="73"/>
      <c r="E342" s="74" t="s">
        <v>142</v>
      </c>
      <c r="F342" s="75"/>
      <c r="G342" s="76"/>
      <c r="H342" s="66"/>
      <c r="I342" s="67"/>
      <c r="J342" s="68">
        <v>0</v>
      </c>
      <c r="K342" s="49"/>
      <c r="L342" s="61"/>
      <c r="M342" s="61"/>
      <c r="N342" s="61"/>
    </row>
    <row r="343" spans="1:14" ht="21.75" customHeight="1" x14ac:dyDescent="0.4">
      <c r="A343" s="55"/>
      <c r="B343" s="56"/>
      <c r="C343" s="56"/>
      <c r="D343" s="73"/>
      <c r="E343" s="74" t="s">
        <v>29</v>
      </c>
      <c r="F343" s="75"/>
      <c r="G343" s="76"/>
      <c r="H343" s="66"/>
      <c r="I343" s="67"/>
      <c r="J343" s="68">
        <v>0</v>
      </c>
      <c r="K343" s="49"/>
      <c r="L343" s="61"/>
      <c r="M343" s="61"/>
      <c r="N343" s="61"/>
    </row>
    <row r="344" spans="1:14" ht="21.75" customHeight="1" x14ac:dyDescent="0.4">
      <c r="A344" s="55"/>
      <c r="B344" s="56"/>
      <c r="C344" s="56"/>
      <c r="D344" s="73"/>
      <c r="E344" s="77"/>
      <c r="F344" s="260" t="s">
        <v>82</v>
      </c>
      <c r="G344" s="76"/>
      <c r="H344" s="66" t="s">
        <v>16</v>
      </c>
      <c r="I344" s="243">
        <f t="shared" ref="I344:J344" ca="1" si="77">+I345+I346+I347</f>
        <v>20</v>
      </c>
      <c r="J344" s="79">
        <f t="shared" si="77"/>
        <v>0</v>
      </c>
      <c r="K344" s="49">
        <f t="shared" ref="K344:K347" ca="1" si="78">IF(I344&gt;0,J344*100/I344,0)</f>
        <v>0</v>
      </c>
      <c r="L344" s="61"/>
      <c r="M344" s="61"/>
      <c r="N344" s="61"/>
    </row>
    <row r="345" spans="1:14" ht="21.75" customHeight="1" x14ac:dyDescent="0.4">
      <c r="A345" s="55"/>
      <c r="B345" s="56"/>
      <c r="C345" s="56"/>
      <c r="D345" s="73"/>
      <c r="E345" s="77"/>
      <c r="F345" s="75"/>
      <c r="G345" s="99" t="s">
        <v>143</v>
      </c>
      <c r="H345" s="66" t="s">
        <v>16</v>
      </c>
      <c r="I345" s="200">
        <f ca="1">IFERROR(__xludf.DUMMYFUNCTION("IMPORTRANGE(""https://docs.google.com/spreadsheets/d/1C3CXT74ZlgGe6_JY_1olB1XN4rF0dxEuIIF-xsYjHgg/edit?usp=sharing"",""งบกองทุน!ay33"")"),20)</f>
        <v>20</v>
      </c>
      <c r="J345" s="68">
        <v>0</v>
      </c>
      <c r="K345" s="49">
        <f t="shared" ca="1" si="78"/>
        <v>0</v>
      </c>
      <c r="L345" s="61"/>
      <c r="M345" s="61"/>
      <c r="N345" s="61"/>
    </row>
    <row r="346" spans="1:14" ht="21.75" customHeight="1" x14ac:dyDescent="0.4">
      <c r="A346" s="55"/>
      <c r="B346" s="56"/>
      <c r="C346" s="56"/>
      <c r="D346" s="73"/>
      <c r="E346" s="77"/>
      <c r="F346" s="75"/>
      <c r="G346" s="76" t="s">
        <v>144</v>
      </c>
      <c r="H346" s="66" t="s">
        <v>16</v>
      </c>
      <c r="I346" s="200">
        <f ca="1">IFERROR(__xludf.DUMMYFUNCTION("IMPORTRANGE(""https://docs.google.com/spreadsheets/d/1C3CXT74ZlgGe6_JY_1olB1XN4rF0dxEuIIF-xsYjHgg/edit?usp=sharing"",""งบกองทุน!az33"")"),0)</f>
        <v>0</v>
      </c>
      <c r="J346" s="68">
        <v>0</v>
      </c>
      <c r="K346" s="49">
        <f t="shared" ca="1" si="78"/>
        <v>0</v>
      </c>
      <c r="L346" s="61"/>
      <c r="M346" s="61"/>
      <c r="N346" s="61"/>
    </row>
    <row r="347" spans="1:14" ht="21.75" customHeight="1" x14ac:dyDescent="0.4">
      <c r="A347" s="55"/>
      <c r="B347" s="56"/>
      <c r="C347" s="56"/>
      <c r="D347" s="73"/>
      <c r="E347" s="77"/>
      <c r="F347" s="75"/>
      <c r="G347" s="76" t="s">
        <v>145</v>
      </c>
      <c r="H347" s="66" t="s">
        <v>16</v>
      </c>
      <c r="I347" s="67">
        <f ca="1">IFERROR(__xludf.DUMMYFUNCTION("IMPORTRANGE(""https://docs.google.com/spreadsheets/d/1C3CXT74ZlgGe6_JY_1olB1XN4rF0dxEuIIF-xsYjHgg/edit?usp=sharing"",""งบกองทุน!Ba33"")"),0)</f>
        <v>0</v>
      </c>
      <c r="J347" s="68">
        <v>0</v>
      </c>
      <c r="K347" s="49">
        <f t="shared" ca="1" si="78"/>
        <v>0</v>
      </c>
      <c r="L347" s="61"/>
      <c r="M347" s="61"/>
      <c r="N347" s="61"/>
    </row>
    <row r="348" spans="1:14" ht="21.75" customHeight="1" x14ac:dyDescent="0.4">
      <c r="A348" s="55"/>
      <c r="B348" s="56"/>
      <c r="C348" s="56"/>
      <c r="D348" s="73"/>
      <c r="E348" s="74" t="s">
        <v>35</v>
      </c>
      <c r="F348" s="75"/>
      <c r="G348" s="76"/>
      <c r="H348" s="66"/>
      <c r="I348" s="67"/>
      <c r="J348" s="68">
        <v>0</v>
      </c>
      <c r="K348" s="49"/>
      <c r="L348" s="61"/>
      <c r="M348" s="61"/>
      <c r="N348" s="61"/>
    </row>
    <row r="349" spans="1:14" ht="21.75" customHeight="1" x14ac:dyDescent="0.4">
      <c r="A349" s="55"/>
      <c r="B349" s="56"/>
      <c r="C349" s="56"/>
      <c r="D349" s="81">
        <v>3</v>
      </c>
      <c r="E349" s="82" t="s">
        <v>36</v>
      </c>
      <c r="F349" s="83"/>
      <c r="G349" s="84"/>
      <c r="H349" s="66"/>
      <c r="I349" s="67"/>
      <c r="J349" s="85">
        <v>0</v>
      </c>
      <c r="K349" s="49"/>
      <c r="L349" s="61"/>
      <c r="M349" s="61"/>
      <c r="N349" s="61"/>
    </row>
    <row r="350" spans="1:14" ht="21.75" customHeight="1" x14ac:dyDescent="0.4">
      <c r="A350" s="222"/>
      <c r="B350" s="223">
        <v>5</v>
      </c>
      <c r="C350" s="224" t="s">
        <v>146</v>
      </c>
      <c r="D350" s="224"/>
      <c r="E350" s="224"/>
      <c r="F350" s="224"/>
      <c r="G350" s="225"/>
      <c r="H350" s="226" t="s">
        <v>103</v>
      </c>
      <c r="I350" s="227">
        <f ca="1">I359</f>
        <v>38193</v>
      </c>
      <c r="J350" s="227">
        <f>+J359</f>
        <v>0</v>
      </c>
      <c r="K350" s="228">
        <f ca="1">IF(I350&gt;0,J350*100/I350,0)</f>
        <v>0</v>
      </c>
      <c r="L350" s="229">
        <f t="shared" ref="L350:M350" ca="1" si="79">SUM(L351:L352)</f>
        <v>447250</v>
      </c>
      <c r="M350" s="229">
        <f t="shared" si="79"/>
        <v>0</v>
      </c>
      <c r="N350" s="229">
        <f t="shared" ref="N350:N354" ca="1" si="80">+IF(L350&gt;0,M350*100/L350,0)</f>
        <v>0</v>
      </c>
    </row>
    <row r="351" spans="1:14" ht="21.75" customHeight="1" x14ac:dyDescent="0.4">
      <c r="A351" s="42"/>
      <c r="B351" s="43"/>
      <c r="C351" s="43" t="s">
        <v>17</v>
      </c>
      <c r="D351" s="44" t="s">
        <v>18</v>
      </c>
      <c r="E351" s="45"/>
      <c r="F351" s="45"/>
      <c r="G351" s="46" t="s">
        <v>19</v>
      </c>
      <c r="H351" s="47" t="s">
        <v>20</v>
      </c>
      <c r="I351" s="48" t="s">
        <v>21</v>
      </c>
      <c r="J351" s="48"/>
      <c r="K351" s="49"/>
      <c r="L351" s="50">
        <v>0</v>
      </c>
      <c r="M351" s="53">
        <v>0</v>
      </c>
      <c r="N351" s="53">
        <f t="shared" si="80"/>
        <v>0</v>
      </c>
    </row>
    <row r="352" spans="1:14" ht="21.75" customHeight="1" x14ac:dyDescent="0.4">
      <c r="A352" s="42"/>
      <c r="B352" s="43"/>
      <c r="C352" s="43"/>
      <c r="D352" s="51"/>
      <c r="E352" s="45"/>
      <c r="F352" s="45" t="s">
        <v>21</v>
      </c>
      <c r="G352" s="46" t="s">
        <v>22</v>
      </c>
      <c r="H352" s="47" t="s">
        <v>20</v>
      </c>
      <c r="I352" s="48"/>
      <c r="J352" s="48"/>
      <c r="K352" s="49"/>
      <c r="L352" s="50">
        <f t="shared" ref="L352:M352" ca="1" si="81">SUM(L353:L354)</f>
        <v>447250</v>
      </c>
      <c r="M352" s="53">
        <f t="shared" si="81"/>
        <v>0</v>
      </c>
      <c r="N352" s="53">
        <f t="shared" ca="1" si="80"/>
        <v>0</v>
      </c>
    </row>
    <row r="353" spans="1:14" ht="21.75" customHeight="1" x14ac:dyDescent="0.4">
      <c r="A353" s="42"/>
      <c r="B353" s="43"/>
      <c r="C353" s="43"/>
      <c r="D353" s="51"/>
      <c r="E353" s="45"/>
      <c r="F353" s="45"/>
      <c r="G353" s="52" t="s">
        <v>110</v>
      </c>
      <c r="H353" s="47" t="s">
        <v>20</v>
      </c>
      <c r="I353" s="48"/>
      <c r="J353" s="48"/>
      <c r="K353" s="49"/>
      <c r="L353" s="53">
        <f ca="1">IFERROR(__xludf.DUMMYFUNCTION("IMPORTRANGE(""https://docs.google.com/spreadsheets/d/1C3CXT74ZlgGe6_JY_1olB1XN4rF0dxEuIIF-xsYjHgg/edit?usp=sharing"",""งบกองทุน!Bc33"")"),0)</f>
        <v>0</v>
      </c>
      <c r="M353" s="53">
        <v>0</v>
      </c>
      <c r="N353" s="53">
        <f t="shared" ca="1" si="80"/>
        <v>0</v>
      </c>
    </row>
    <row r="354" spans="1:14" ht="21.75" customHeight="1" x14ac:dyDescent="0.4">
      <c r="A354" s="42"/>
      <c r="B354" s="43"/>
      <c r="C354" s="43"/>
      <c r="D354" s="51"/>
      <c r="E354" s="45"/>
      <c r="F354" s="45"/>
      <c r="G354" s="52" t="s">
        <v>111</v>
      </c>
      <c r="H354" s="47" t="s">
        <v>20</v>
      </c>
      <c r="I354" s="48"/>
      <c r="J354" s="48"/>
      <c r="K354" s="49"/>
      <c r="L354" s="53">
        <f ca="1">IFERROR(__xludf.DUMMYFUNCTION("IMPORTRANGE(""https://docs.google.com/spreadsheets/d/1C3CXT74ZlgGe6_JY_1olB1XN4rF0dxEuIIF-xsYjHgg/edit?usp=sharing"",""งบกองทุน!Bd33"")"),447250)</f>
        <v>447250</v>
      </c>
      <c r="M354" s="53">
        <f>SUM(M355:M358)</f>
        <v>0</v>
      </c>
      <c r="N354" s="53">
        <f t="shared" ca="1" si="80"/>
        <v>0</v>
      </c>
    </row>
    <row r="355" spans="1:14" ht="21.75" customHeight="1" x14ac:dyDescent="0.4">
      <c r="A355" s="230"/>
      <c r="B355" s="231"/>
      <c r="C355" s="43"/>
      <c r="D355" s="232"/>
      <c r="E355" s="45"/>
      <c r="F355" s="45"/>
      <c r="G355" s="46" t="s">
        <v>112</v>
      </c>
      <c r="H355" s="47" t="s">
        <v>20</v>
      </c>
      <c r="I355" s="67"/>
      <c r="J355" s="67"/>
      <c r="K355" s="233"/>
      <c r="L355" s="53"/>
      <c r="M355" s="53">
        <v>0</v>
      </c>
      <c r="N355" s="53"/>
    </row>
    <row r="356" spans="1:14" ht="21.75" customHeight="1" x14ac:dyDescent="0.4">
      <c r="A356" s="230"/>
      <c r="B356" s="231"/>
      <c r="C356" s="43"/>
      <c r="D356" s="232"/>
      <c r="E356" s="45"/>
      <c r="F356" s="45"/>
      <c r="G356" s="46" t="s">
        <v>113</v>
      </c>
      <c r="H356" s="47" t="s">
        <v>20</v>
      </c>
      <c r="I356" s="67"/>
      <c r="J356" s="67"/>
      <c r="K356" s="233"/>
      <c r="L356" s="53"/>
      <c r="M356" s="53">
        <v>0</v>
      </c>
      <c r="N356" s="53"/>
    </row>
    <row r="357" spans="1:14" ht="21.75" customHeight="1" x14ac:dyDescent="0.4">
      <c r="A357" s="230"/>
      <c r="B357" s="231"/>
      <c r="C357" s="43"/>
      <c r="D357" s="232"/>
      <c r="E357" s="45"/>
      <c r="F357" s="45"/>
      <c r="G357" s="46" t="s">
        <v>114</v>
      </c>
      <c r="H357" s="47" t="s">
        <v>20</v>
      </c>
      <c r="I357" s="67"/>
      <c r="J357" s="67"/>
      <c r="K357" s="233"/>
      <c r="L357" s="53"/>
      <c r="M357" s="54">
        <v>0</v>
      </c>
      <c r="N357" s="53"/>
    </row>
    <row r="358" spans="1:14" ht="21.75" customHeight="1" x14ac:dyDescent="0.4">
      <c r="A358" s="230"/>
      <c r="B358" s="231"/>
      <c r="C358" s="43"/>
      <c r="D358" s="232"/>
      <c r="E358" s="45"/>
      <c r="F358" s="45"/>
      <c r="G358" s="46" t="s">
        <v>115</v>
      </c>
      <c r="H358" s="47" t="s">
        <v>20</v>
      </c>
      <c r="I358" s="67"/>
      <c r="J358" s="67"/>
      <c r="K358" s="233"/>
      <c r="L358" s="53"/>
      <c r="M358" s="54">
        <v>0</v>
      </c>
      <c r="N358" s="53"/>
    </row>
    <row r="359" spans="1:14" ht="21.75" customHeight="1" x14ac:dyDescent="0.4">
      <c r="A359" s="55"/>
      <c r="B359" s="56"/>
      <c r="C359" s="261" t="s">
        <v>147</v>
      </c>
      <c r="D359" s="261"/>
      <c r="E359" s="262"/>
      <c r="F359" s="262"/>
      <c r="G359" s="263"/>
      <c r="H359" s="136" t="s">
        <v>103</v>
      </c>
      <c r="I359" s="137">
        <f ca="1">IFERROR(__xludf.DUMMYFUNCTION("IMPORTRANGE(""https://docs.google.com/spreadsheets/d/1C3CXT74ZlgGe6_JY_1olB1XN4rF0dxEuIIF-xsYjHgg/edit?usp=sharing"",""งบกองทุน!BE33"")"),38193)</f>
        <v>38193</v>
      </c>
      <c r="J359" s="137">
        <f>+J376</f>
        <v>0</v>
      </c>
      <c r="K359" s="138">
        <f t="shared" ref="K359:K425" ca="1" si="82">IF(I359&gt;0,J359*100/I359,0)</f>
        <v>0</v>
      </c>
      <c r="L359" s="140"/>
      <c r="M359" s="140"/>
      <c r="N359" s="140"/>
    </row>
    <row r="360" spans="1:14" ht="21.75" customHeight="1" x14ac:dyDescent="0.4">
      <c r="A360" s="249"/>
      <c r="B360" s="250"/>
      <c r="C360" s="250"/>
      <c r="D360" s="251"/>
      <c r="E360" s="73" t="s">
        <v>148</v>
      </c>
      <c r="F360" s="75"/>
      <c r="G360" s="76"/>
      <c r="H360" s="264" t="s">
        <v>103</v>
      </c>
      <c r="I360" s="265">
        <f ca="1">I359</f>
        <v>38193</v>
      </c>
      <c r="J360" s="265">
        <f t="shared" ref="J360:J361" si="83">+J362+J364+J366</f>
        <v>0</v>
      </c>
      <c r="K360" s="80">
        <f t="shared" ca="1" si="82"/>
        <v>0</v>
      </c>
      <c r="L360" s="61"/>
      <c r="M360" s="61"/>
      <c r="N360" s="61"/>
    </row>
    <row r="361" spans="1:14" ht="21.75" customHeight="1" x14ac:dyDescent="0.4">
      <c r="A361" s="249"/>
      <c r="B361" s="250"/>
      <c r="C361" s="250"/>
      <c r="D361" s="251"/>
      <c r="E361" s="75"/>
      <c r="F361" s="75"/>
      <c r="G361" s="76"/>
      <c r="H361" s="264" t="s">
        <v>15</v>
      </c>
      <c r="I361" s="79">
        <f ca="1">IFERROR(__xludf.DUMMYFUNCTION("IMPORTRANGE(""https://docs.google.com/spreadsheets/d/1C3CXT74ZlgGe6_JY_1olB1XN4rF0dxEuIIF-xsYjHgg/edit?usp=sharing"",""งบกองทุน!BF33"")"),6424)</f>
        <v>6424</v>
      </c>
      <c r="J361" s="265">
        <f t="shared" si="83"/>
        <v>0</v>
      </c>
      <c r="K361" s="80">
        <f t="shared" ca="1" si="82"/>
        <v>0</v>
      </c>
      <c r="L361" s="61"/>
      <c r="M361" s="61"/>
      <c r="N361" s="61"/>
    </row>
    <row r="362" spans="1:14" ht="21.75" customHeight="1" x14ac:dyDescent="0.4">
      <c r="A362" s="249"/>
      <c r="B362" s="250"/>
      <c r="C362" s="250"/>
      <c r="D362" s="251"/>
      <c r="E362" s="75"/>
      <c r="F362" s="242" t="s">
        <v>149</v>
      </c>
      <c r="G362" s="266"/>
      <c r="H362" s="267" t="s">
        <v>103</v>
      </c>
      <c r="I362" s="48">
        <v>0</v>
      </c>
      <c r="J362" s="68">
        <v>0</v>
      </c>
      <c r="K362" s="49">
        <f t="shared" si="82"/>
        <v>0</v>
      </c>
      <c r="L362" s="61"/>
      <c r="M362" s="61"/>
      <c r="N362" s="61"/>
    </row>
    <row r="363" spans="1:14" ht="21.75" customHeight="1" x14ac:dyDescent="0.4">
      <c r="A363" s="249"/>
      <c r="B363" s="250"/>
      <c r="C363" s="250"/>
      <c r="D363" s="251"/>
      <c r="E363" s="75"/>
      <c r="F363" s="75"/>
      <c r="G363" s="266"/>
      <c r="H363" s="267" t="s">
        <v>15</v>
      </c>
      <c r="I363" s="48">
        <v>0</v>
      </c>
      <c r="J363" s="68">
        <v>0</v>
      </c>
      <c r="K363" s="49">
        <f t="shared" si="82"/>
        <v>0</v>
      </c>
      <c r="L363" s="61"/>
      <c r="M363" s="61"/>
      <c r="N363" s="61"/>
    </row>
    <row r="364" spans="1:14" ht="21.75" customHeight="1" x14ac:dyDescent="0.4">
      <c r="A364" s="249"/>
      <c r="B364" s="250"/>
      <c r="C364" s="250"/>
      <c r="D364" s="251"/>
      <c r="E364" s="75"/>
      <c r="F364" s="242" t="s">
        <v>150</v>
      </c>
      <c r="G364" s="266"/>
      <c r="H364" s="267" t="s">
        <v>103</v>
      </c>
      <c r="I364" s="48">
        <v>0</v>
      </c>
      <c r="J364" s="68">
        <v>0</v>
      </c>
      <c r="K364" s="49">
        <f t="shared" si="82"/>
        <v>0</v>
      </c>
      <c r="L364" s="61"/>
      <c r="M364" s="61"/>
      <c r="N364" s="61"/>
    </row>
    <row r="365" spans="1:14" ht="21.75" customHeight="1" x14ac:dyDescent="0.4">
      <c r="A365" s="249"/>
      <c r="B365" s="250"/>
      <c r="C365" s="250"/>
      <c r="D365" s="251"/>
      <c r="E365" s="75"/>
      <c r="F365" s="75"/>
      <c r="G365" s="266"/>
      <c r="H365" s="267" t="s">
        <v>15</v>
      </c>
      <c r="I365" s="48">
        <v>0</v>
      </c>
      <c r="J365" s="68">
        <v>0</v>
      </c>
      <c r="K365" s="49">
        <f t="shared" si="82"/>
        <v>0</v>
      </c>
      <c r="L365" s="61"/>
      <c r="M365" s="61"/>
      <c r="N365" s="61"/>
    </row>
    <row r="366" spans="1:14" ht="21.75" customHeight="1" x14ac:dyDescent="0.4">
      <c r="A366" s="249"/>
      <c r="B366" s="250"/>
      <c r="C366" s="250"/>
      <c r="D366" s="251"/>
      <c r="E366" s="75"/>
      <c r="F366" s="242" t="s">
        <v>151</v>
      </c>
      <c r="G366" s="266"/>
      <c r="H366" s="267" t="s">
        <v>103</v>
      </c>
      <c r="I366" s="48">
        <v>0</v>
      </c>
      <c r="J366" s="68">
        <v>0</v>
      </c>
      <c r="K366" s="49">
        <f t="shared" si="82"/>
        <v>0</v>
      </c>
      <c r="L366" s="61"/>
      <c r="M366" s="61"/>
      <c r="N366" s="61"/>
    </row>
    <row r="367" spans="1:14" ht="21.75" customHeight="1" x14ac:dyDescent="0.4">
      <c r="A367" s="249"/>
      <c r="B367" s="250"/>
      <c r="C367" s="250"/>
      <c r="D367" s="251"/>
      <c r="E367" s="75"/>
      <c r="F367" s="75"/>
      <c r="G367" s="75"/>
      <c r="H367" s="267" t="s">
        <v>15</v>
      </c>
      <c r="I367" s="48">
        <v>0</v>
      </c>
      <c r="J367" s="68">
        <v>0</v>
      </c>
      <c r="K367" s="49">
        <f t="shared" si="82"/>
        <v>0</v>
      </c>
      <c r="L367" s="61"/>
      <c r="M367" s="61"/>
      <c r="N367" s="61"/>
    </row>
    <row r="368" spans="1:14" ht="21.75" customHeight="1" x14ac:dyDescent="0.4">
      <c r="A368" s="249"/>
      <c r="B368" s="250"/>
      <c r="C368" s="250"/>
      <c r="D368" s="251"/>
      <c r="E368" s="155" t="s">
        <v>152</v>
      </c>
      <c r="F368" s="75"/>
      <c r="G368" s="76"/>
      <c r="H368" s="264" t="s">
        <v>103</v>
      </c>
      <c r="I368" s="265">
        <f ca="1">+I359</f>
        <v>38193</v>
      </c>
      <c r="J368" s="265">
        <f t="shared" ref="J368:J369" si="84">+J370+J372+J374</f>
        <v>0</v>
      </c>
      <c r="K368" s="80">
        <f t="shared" ca="1" si="82"/>
        <v>0</v>
      </c>
      <c r="L368" s="61"/>
      <c r="M368" s="61"/>
      <c r="N368" s="61"/>
    </row>
    <row r="369" spans="1:14" ht="21.75" customHeight="1" x14ac:dyDescent="0.4">
      <c r="A369" s="249"/>
      <c r="B369" s="250"/>
      <c r="C369" s="250"/>
      <c r="D369" s="251"/>
      <c r="E369" s="75"/>
      <c r="F369" s="75"/>
      <c r="G369" s="76"/>
      <c r="H369" s="264" t="s">
        <v>15</v>
      </c>
      <c r="I369" s="265">
        <f ca="1">I361</f>
        <v>6424</v>
      </c>
      <c r="J369" s="265">
        <f t="shared" si="84"/>
        <v>0</v>
      </c>
      <c r="K369" s="80">
        <f t="shared" ca="1" si="82"/>
        <v>0</v>
      </c>
      <c r="L369" s="61"/>
      <c r="M369" s="61"/>
      <c r="N369" s="61"/>
    </row>
    <row r="370" spans="1:14" ht="21.75" customHeight="1" x14ac:dyDescent="0.4">
      <c r="A370" s="249"/>
      <c r="B370" s="250"/>
      <c r="C370" s="250"/>
      <c r="D370" s="251"/>
      <c r="E370" s="75"/>
      <c r="F370" s="74" t="s">
        <v>153</v>
      </c>
      <c r="G370" s="266"/>
      <c r="H370" s="267" t="s">
        <v>103</v>
      </c>
      <c r="I370" s="48">
        <v>0</v>
      </c>
      <c r="J370" s="68">
        <v>0</v>
      </c>
      <c r="K370" s="49">
        <f t="shared" si="82"/>
        <v>0</v>
      </c>
      <c r="L370" s="61"/>
      <c r="M370" s="61"/>
      <c r="N370" s="61"/>
    </row>
    <row r="371" spans="1:14" ht="21.75" customHeight="1" x14ac:dyDescent="0.4">
      <c r="A371" s="249"/>
      <c r="B371" s="250"/>
      <c r="C371" s="250"/>
      <c r="D371" s="251"/>
      <c r="E371" s="75"/>
      <c r="F371" s="75"/>
      <c r="G371" s="266"/>
      <c r="H371" s="267" t="s">
        <v>15</v>
      </c>
      <c r="I371" s="48">
        <v>0</v>
      </c>
      <c r="J371" s="68">
        <v>0</v>
      </c>
      <c r="K371" s="49">
        <f t="shared" si="82"/>
        <v>0</v>
      </c>
      <c r="L371" s="61"/>
      <c r="M371" s="61"/>
      <c r="N371" s="61"/>
    </row>
    <row r="372" spans="1:14" ht="21.75" customHeight="1" x14ac:dyDescent="0.4">
      <c r="A372" s="249"/>
      <c r="B372" s="250"/>
      <c r="C372" s="250"/>
      <c r="D372" s="251"/>
      <c r="E372" s="75"/>
      <c r="F372" s="74" t="s">
        <v>154</v>
      </c>
      <c r="G372" s="266"/>
      <c r="H372" s="267" t="s">
        <v>103</v>
      </c>
      <c r="I372" s="48">
        <v>0</v>
      </c>
      <c r="J372" s="68">
        <v>0</v>
      </c>
      <c r="K372" s="49">
        <f t="shared" si="82"/>
        <v>0</v>
      </c>
      <c r="L372" s="61"/>
      <c r="M372" s="61"/>
      <c r="N372" s="61"/>
    </row>
    <row r="373" spans="1:14" ht="21.75" customHeight="1" x14ac:dyDescent="0.4">
      <c r="A373" s="249"/>
      <c r="B373" s="250"/>
      <c r="C373" s="250"/>
      <c r="D373" s="251"/>
      <c r="E373" s="75"/>
      <c r="F373" s="75"/>
      <c r="G373" s="266"/>
      <c r="H373" s="267" t="s">
        <v>15</v>
      </c>
      <c r="I373" s="48">
        <v>0</v>
      </c>
      <c r="J373" s="68">
        <v>0</v>
      </c>
      <c r="K373" s="49">
        <f t="shared" si="82"/>
        <v>0</v>
      </c>
      <c r="L373" s="61"/>
      <c r="M373" s="61"/>
      <c r="N373" s="61"/>
    </row>
    <row r="374" spans="1:14" ht="21.75" customHeight="1" x14ac:dyDescent="0.4">
      <c r="A374" s="249"/>
      <c r="B374" s="250"/>
      <c r="C374" s="250"/>
      <c r="D374" s="251"/>
      <c r="E374" s="75"/>
      <c r="F374" s="74" t="s">
        <v>155</v>
      </c>
      <c r="G374" s="266"/>
      <c r="H374" s="267" t="s">
        <v>103</v>
      </c>
      <c r="I374" s="48">
        <v>0</v>
      </c>
      <c r="J374" s="68">
        <v>0</v>
      </c>
      <c r="K374" s="49">
        <f t="shared" si="82"/>
        <v>0</v>
      </c>
      <c r="L374" s="61"/>
      <c r="M374" s="61"/>
      <c r="N374" s="61"/>
    </row>
    <row r="375" spans="1:14" ht="21.75" customHeight="1" x14ac:dyDescent="0.4">
      <c r="A375" s="249"/>
      <c r="B375" s="250"/>
      <c r="C375" s="250"/>
      <c r="D375" s="251"/>
      <c r="E375" s="75"/>
      <c r="F375" s="75"/>
      <c r="G375" s="76"/>
      <c r="H375" s="267" t="s">
        <v>15</v>
      </c>
      <c r="I375" s="48">
        <v>0</v>
      </c>
      <c r="J375" s="68">
        <v>0</v>
      </c>
      <c r="K375" s="49">
        <f t="shared" si="82"/>
        <v>0</v>
      </c>
      <c r="L375" s="61"/>
      <c r="M375" s="61"/>
      <c r="N375" s="61"/>
    </row>
    <row r="376" spans="1:14" ht="21.75" customHeight="1" x14ac:dyDescent="0.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38193</v>
      </c>
      <c r="J376" s="265">
        <f t="shared" ref="J376:J377" si="85">+J378+J380+J382+J388</f>
        <v>0</v>
      </c>
      <c r="K376" s="80">
        <f t="shared" ca="1" si="82"/>
        <v>0</v>
      </c>
      <c r="L376" s="275"/>
      <c r="M376" s="275"/>
      <c r="N376" s="275"/>
    </row>
    <row r="377" spans="1:14" ht="21.75" customHeight="1" x14ac:dyDescent="0.4">
      <c r="A377" s="249"/>
      <c r="B377" s="250"/>
      <c r="C377" s="250"/>
      <c r="D377" s="251"/>
      <c r="E377" s="75"/>
      <c r="F377" s="75"/>
      <c r="G377" s="76"/>
      <c r="H377" s="264" t="s">
        <v>15</v>
      </c>
      <c r="I377" s="265">
        <f ca="1">I361</f>
        <v>6424</v>
      </c>
      <c r="J377" s="265">
        <f t="shared" si="85"/>
        <v>0</v>
      </c>
      <c r="K377" s="80">
        <f t="shared" ca="1" si="82"/>
        <v>0</v>
      </c>
      <c r="L377" s="61"/>
      <c r="M377" s="61"/>
      <c r="N377" s="61"/>
    </row>
    <row r="378" spans="1:14" ht="21.75" customHeight="1" x14ac:dyDescent="0.4">
      <c r="A378" s="249"/>
      <c r="B378" s="250"/>
      <c r="C378" s="250"/>
      <c r="D378" s="251"/>
      <c r="E378" s="75"/>
      <c r="F378" s="74" t="s">
        <v>157</v>
      </c>
      <c r="G378" s="266"/>
      <c r="H378" s="267" t="s">
        <v>103</v>
      </c>
      <c r="I378" s="48">
        <v>0</v>
      </c>
      <c r="J378" s="68">
        <v>0</v>
      </c>
      <c r="K378" s="80">
        <f t="shared" si="82"/>
        <v>0</v>
      </c>
      <c r="L378" s="61"/>
      <c r="M378" s="61"/>
      <c r="N378" s="61"/>
    </row>
    <row r="379" spans="1:14" ht="21.75" customHeight="1" x14ac:dyDescent="0.4">
      <c r="A379" s="249"/>
      <c r="B379" s="250"/>
      <c r="C379" s="250"/>
      <c r="D379" s="251"/>
      <c r="E379" s="75"/>
      <c r="F379" s="75"/>
      <c r="G379" s="266"/>
      <c r="H379" s="267" t="s">
        <v>15</v>
      </c>
      <c r="I379" s="48">
        <v>0</v>
      </c>
      <c r="J379" s="68">
        <v>0</v>
      </c>
      <c r="K379" s="80">
        <f t="shared" si="82"/>
        <v>0</v>
      </c>
      <c r="L379" s="61"/>
      <c r="M379" s="61"/>
      <c r="N379" s="61"/>
    </row>
    <row r="380" spans="1:14" ht="21.75" customHeight="1" x14ac:dyDescent="0.4">
      <c r="A380" s="249"/>
      <c r="B380" s="250"/>
      <c r="C380" s="250"/>
      <c r="D380" s="251"/>
      <c r="E380" s="75"/>
      <c r="F380" s="74" t="s">
        <v>158</v>
      </c>
      <c r="G380" s="266"/>
      <c r="H380" s="267" t="s">
        <v>103</v>
      </c>
      <c r="I380" s="48">
        <v>0</v>
      </c>
      <c r="J380" s="68">
        <v>0</v>
      </c>
      <c r="K380" s="80">
        <f t="shared" si="82"/>
        <v>0</v>
      </c>
      <c r="L380" s="61"/>
      <c r="M380" s="61"/>
      <c r="N380" s="61"/>
    </row>
    <row r="381" spans="1:14" ht="21.75" customHeight="1" x14ac:dyDescent="0.4">
      <c r="A381" s="249"/>
      <c r="B381" s="250"/>
      <c r="C381" s="250"/>
      <c r="D381" s="251"/>
      <c r="E381" s="75"/>
      <c r="F381" s="75"/>
      <c r="G381" s="266"/>
      <c r="H381" s="267" t="s">
        <v>15</v>
      </c>
      <c r="I381" s="48">
        <v>0</v>
      </c>
      <c r="J381" s="68">
        <v>0</v>
      </c>
      <c r="K381" s="80">
        <f t="shared" si="82"/>
        <v>0</v>
      </c>
      <c r="L381" s="61"/>
      <c r="M381" s="61"/>
      <c r="N381" s="61"/>
    </row>
    <row r="382" spans="1:14" ht="21.75" customHeight="1" x14ac:dyDescent="0.4">
      <c r="A382" s="249"/>
      <c r="B382" s="250"/>
      <c r="C382" s="250"/>
      <c r="D382" s="251"/>
      <c r="E382" s="75"/>
      <c r="F382" s="74" t="s">
        <v>159</v>
      </c>
      <c r="G382" s="266"/>
      <c r="H382" s="267" t="s">
        <v>103</v>
      </c>
      <c r="I382" s="48">
        <v>0</v>
      </c>
      <c r="J382" s="265">
        <f t="shared" ref="J382:J383" si="86">J384+J386</f>
        <v>0</v>
      </c>
      <c r="K382" s="49">
        <f t="shared" si="82"/>
        <v>0</v>
      </c>
      <c r="L382" s="61"/>
      <c r="M382" s="61"/>
      <c r="N382" s="61"/>
    </row>
    <row r="383" spans="1:14" ht="21.75" customHeight="1" x14ac:dyDescent="0.4">
      <c r="A383" s="249"/>
      <c r="B383" s="250"/>
      <c r="C383" s="250"/>
      <c r="D383" s="251"/>
      <c r="E383" s="75"/>
      <c r="F383" s="75"/>
      <c r="G383" s="75"/>
      <c r="H383" s="267" t="s">
        <v>15</v>
      </c>
      <c r="I383" s="48">
        <v>0</v>
      </c>
      <c r="J383" s="265">
        <f t="shared" si="86"/>
        <v>0</v>
      </c>
      <c r="K383" s="49">
        <f t="shared" si="82"/>
        <v>0</v>
      </c>
      <c r="L383" s="61"/>
      <c r="M383" s="61"/>
      <c r="N383" s="61"/>
    </row>
    <row r="384" spans="1:14" ht="21.75" customHeight="1" x14ac:dyDescent="0.4">
      <c r="A384" s="249"/>
      <c r="B384" s="250"/>
      <c r="C384" s="250"/>
      <c r="D384" s="251"/>
      <c r="E384" s="75"/>
      <c r="F384" s="75"/>
      <c r="G384" s="74" t="s">
        <v>160</v>
      </c>
      <c r="H384" s="267" t="s">
        <v>103</v>
      </c>
      <c r="I384" s="48">
        <v>0</v>
      </c>
      <c r="J384" s="68">
        <v>0</v>
      </c>
      <c r="K384" s="49">
        <f t="shared" si="82"/>
        <v>0</v>
      </c>
      <c r="L384" s="61"/>
      <c r="M384" s="61"/>
      <c r="N384" s="61"/>
    </row>
    <row r="385" spans="1:14" ht="21.75" customHeight="1" x14ac:dyDescent="0.4">
      <c r="A385" s="249"/>
      <c r="B385" s="250"/>
      <c r="C385" s="250"/>
      <c r="D385" s="251"/>
      <c r="E385" s="75"/>
      <c r="F385" s="75"/>
      <c r="G385" s="75"/>
      <c r="H385" s="267" t="s">
        <v>15</v>
      </c>
      <c r="I385" s="48">
        <v>0</v>
      </c>
      <c r="J385" s="68">
        <v>0</v>
      </c>
      <c r="K385" s="49">
        <f t="shared" si="82"/>
        <v>0</v>
      </c>
      <c r="L385" s="61"/>
      <c r="M385" s="61"/>
      <c r="N385" s="61"/>
    </row>
    <row r="386" spans="1:14" ht="21.75" customHeight="1" x14ac:dyDescent="0.4">
      <c r="A386" s="249"/>
      <c r="B386" s="250"/>
      <c r="C386" s="250"/>
      <c r="D386" s="251"/>
      <c r="E386" s="75"/>
      <c r="F386" s="75"/>
      <c r="G386" s="74" t="s">
        <v>161</v>
      </c>
      <c r="H386" s="267" t="s">
        <v>103</v>
      </c>
      <c r="I386" s="48">
        <v>0</v>
      </c>
      <c r="J386" s="68">
        <v>0</v>
      </c>
      <c r="K386" s="49">
        <f t="shared" si="82"/>
        <v>0</v>
      </c>
      <c r="L386" s="61"/>
      <c r="M386" s="61"/>
      <c r="N386" s="61"/>
    </row>
    <row r="387" spans="1:14" ht="21.75" customHeight="1" x14ac:dyDescent="0.4">
      <c r="A387" s="249"/>
      <c r="B387" s="250"/>
      <c r="C387" s="250"/>
      <c r="D387" s="251"/>
      <c r="E387" s="75"/>
      <c r="F387" s="75"/>
      <c r="G387" s="76"/>
      <c r="H387" s="267" t="s">
        <v>15</v>
      </c>
      <c r="I387" s="48">
        <v>0</v>
      </c>
      <c r="J387" s="68">
        <v>0</v>
      </c>
      <c r="K387" s="49">
        <f t="shared" si="82"/>
        <v>0</v>
      </c>
      <c r="L387" s="61"/>
      <c r="M387" s="61"/>
      <c r="N387" s="61"/>
    </row>
    <row r="388" spans="1:14" ht="21.75" customHeight="1" x14ac:dyDescent="0.4">
      <c r="A388" s="249"/>
      <c r="B388" s="250"/>
      <c r="C388" s="250"/>
      <c r="D388" s="251"/>
      <c r="E388" s="75"/>
      <c r="F388" s="74" t="s">
        <v>162</v>
      </c>
      <c r="G388" s="266"/>
      <c r="H388" s="267" t="s">
        <v>103</v>
      </c>
      <c r="I388" s="48">
        <v>0</v>
      </c>
      <c r="J388" s="68">
        <v>0</v>
      </c>
      <c r="K388" s="49">
        <f t="shared" si="82"/>
        <v>0</v>
      </c>
      <c r="L388" s="61"/>
      <c r="M388" s="61"/>
      <c r="N388" s="61"/>
    </row>
    <row r="389" spans="1:14" ht="21.75" customHeight="1" x14ac:dyDescent="0.4">
      <c r="A389" s="276"/>
      <c r="B389" s="277"/>
      <c r="C389" s="277"/>
      <c r="D389" s="278"/>
      <c r="E389" s="204"/>
      <c r="F389" s="204"/>
      <c r="G389" s="204"/>
      <c r="H389" s="279" t="s">
        <v>15</v>
      </c>
      <c r="I389" s="48">
        <v>0</v>
      </c>
      <c r="J389" s="68">
        <v>0</v>
      </c>
      <c r="K389" s="49">
        <f t="shared" si="82"/>
        <v>0</v>
      </c>
      <c r="L389" s="115"/>
      <c r="M389" s="115"/>
      <c r="N389" s="115"/>
    </row>
    <row r="390" spans="1:14" ht="21.75" customHeight="1" x14ac:dyDescent="0.4">
      <c r="A390" s="55"/>
      <c r="B390" s="56"/>
      <c r="C390" s="261" t="s">
        <v>163</v>
      </c>
      <c r="D390" s="261"/>
      <c r="E390" s="262"/>
      <c r="F390" s="262"/>
      <c r="G390" s="263"/>
      <c r="H390" s="136" t="s">
        <v>103</v>
      </c>
      <c r="I390" s="137">
        <f ca="1">IFERROR(__xludf.DUMMYFUNCTION("IMPORTRANGE(""https://docs.google.com/spreadsheets/d/1C3CXT74ZlgGe6_JY_1olB1XN4rF0dxEuIIF-xsYjHgg/edit?usp=sharing"",""งบกองทุน!cd33"")"),143)</f>
        <v>143</v>
      </c>
      <c r="J390" s="137">
        <f>J391</f>
        <v>0</v>
      </c>
      <c r="K390" s="138">
        <f t="shared" ca="1" si="82"/>
        <v>0</v>
      </c>
      <c r="L390" s="140"/>
      <c r="M390" s="140"/>
      <c r="N390" s="140"/>
    </row>
    <row r="391" spans="1:14" ht="21.75" customHeight="1" x14ac:dyDescent="0.4">
      <c r="A391" s="55"/>
      <c r="B391" s="56"/>
      <c r="C391" s="56"/>
      <c r="D391" s="251"/>
      <c r="E391" s="280" t="s">
        <v>164</v>
      </c>
      <c r="F391" s="281"/>
      <c r="G391" s="282"/>
      <c r="H391" s="283" t="s">
        <v>103</v>
      </c>
      <c r="I391" s="79">
        <f ca="1">IFERROR(__xludf.DUMMYFUNCTION("IMPORTRANGE(""https://docs.google.com/spreadsheets/d/1C3CXT74ZlgGe6_JY_1olB1XN4rF0dxEuIIF-xsYjHgg/edit?usp=sharing"",""งบกองทุน!cd33"")"),143)</f>
        <v>143</v>
      </c>
      <c r="J391" s="265">
        <f t="shared" ref="J391:J392" si="87">J393+J401+J407</f>
        <v>0</v>
      </c>
      <c r="K391" s="362">
        <f t="shared" ca="1" si="82"/>
        <v>0</v>
      </c>
      <c r="L391" s="61"/>
      <c r="M391" s="61"/>
      <c r="N391" s="61"/>
    </row>
    <row r="392" spans="1:14" ht="21.75" customHeight="1" x14ac:dyDescent="0.4">
      <c r="A392" s="55"/>
      <c r="B392" s="56"/>
      <c r="C392" s="56"/>
      <c r="D392" s="73"/>
      <c r="E392" s="281"/>
      <c r="F392" s="281"/>
      <c r="G392" s="282"/>
      <c r="H392" s="283" t="s">
        <v>15</v>
      </c>
      <c r="I392" s="79">
        <f ca="1">IFERROR(__xludf.DUMMYFUNCTION("IMPORTRANGE(""https://docs.google.com/spreadsheets/d/1C3CXT74ZlgGe6_JY_1olB1XN4rF0dxEuIIF-xsYjHgg/edit?usp=sharing"",""งบกองทุน!cc33"")"),18)</f>
        <v>18</v>
      </c>
      <c r="J392" s="265">
        <f t="shared" si="87"/>
        <v>0</v>
      </c>
      <c r="K392" s="362">
        <f t="shared" ca="1" si="82"/>
        <v>0</v>
      </c>
      <c r="L392" s="61"/>
      <c r="M392" s="61"/>
      <c r="N392" s="61"/>
    </row>
    <row r="393" spans="1:14" ht="21.75" customHeight="1" x14ac:dyDescent="0.4">
      <c r="A393" s="55"/>
      <c r="B393" s="56"/>
      <c r="C393" s="56"/>
      <c r="D393" s="251"/>
      <c r="E393" s="251" t="s">
        <v>165</v>
      </c>
      <c r="F393" s="75"/>
      <c r="G393" s="76"/>
      <c r="H393" s="267" t="s">
        <v>103</v>
      </c>
      <c r="I393" s="48">
        <v>0</v>
      </c>
      <c r="J393" s="48">
        <f t="shared" ref="J393:J394" si="88">J395+J397+J399</f>
        <v>0</v>
      </c>
      <c r="K393" s="233">
        <f t="shared" si="82"/>
        <v>0</v>
      </c>
      <c r="L393" s="61"/>
      <c r="M393" s="61"/>
      <c r="N393" s="61"/>
    </row>
    <row r="394" spans="1:14" ht="21.75" customHeight="1" x14ac:dyDescent="0.4">
      <c r="A394" s="55"/>
      <c r="B394" s="56"/>
      <c r="C394" s="56"/>
      <c r="D394" s="73"/>
      <c r="E394" s="75"/>
      <c r="F394" s="75"/>
      <c r="G394" s="76"/>
      <c r="H394" s="267" t="s">
        <v>15</v>
      </c>
      <c r="I394" s="48">
        <v>0</v>
      </c>
      <c r="J394" s="48">
        <f t="shared" si="88"/>
        <v>0</v>
      </c>
      <c r="K394" s="233">
        <f t="shared" si="82"/>
        <v>0</v>
      </c>
      <c r="L394" s="61"/>
      <c r="M394" s="61"/>
      <c r="N394" s="61"/>
    </row>
    <row r="395" spans="1:14" ht="21.75" customHeight="1" x14ac:dyDescent="0.4">
      <c r="A395" s="55"/>
      <c r="B395" s="56"/>
      <c r="C395" s="56"/>
      <c r="D395" s="73"/>
      <c r="E395" s="75"/>
      <c r="F395" s="242" t="s">
        <v>166</v>
      </c>
      <c r="G395" s="266"/>
      <c r="H395" s="267" t="s">
        <v>103</v>
      </c>
      <c r="I395" s="48">
        <v>0</v>
      </c>
      <c r="J395" s="68">
        <v>0</v>
      </c>
      <c r="K395" s="233">
        <f t="shared" si="82"/>
        <v>0</v>
      </c>
      <c r="L395" s="61"/>
      <c r="M395" s="61"/>
      <c r="N395" s="61"/>
    </row>
    <row r="396" spans="1:14" ht="21.75" customHeight="1" x14ac:dyDescent="0.4">
      <c r="A396" s="55"/>
      <c r="B396" s="56"/>
      <c r="C396" s="56"/>
      <c r="D396" s="73"/>
      <c r="E396" s="75"/>
      <c r="F396" s="75"/>
      <c r="G396" s="266"/>
      <c r="H396" s="267" t="s">
        <v>15</v>
      </c>
      <c r="I396" s="48">
        <v>0</v>
      </c>
      <c r="J396" s="68">
        <v>0</v>
      </c>
      <c r="K396" s="233">
        <f t="shared" si="82"/>
        <v>0</v>
      </c>
      <c r="L396" s="61"/>
      <c r="M396" s="61"/>
      <c r="N396" s="61"/>
    </row>
    <row r="397" spans="1:14" ht="21.75" customHeight="1" x14ac:dyDescent="0.4">
      <c r="A397" s="55"/>
      <c r="B397" s="56"/>
      <c r="C397" s="56"/>
      <c r="D397" s="73"/>
      <c r="E397" s="75"/>
      <c r="F397" s="242" t="s">
        <v>167</v>
      </c>
      <c r="G397" s="266"/>
      <c r="H397" s="267" t="s">
        <v>103</v>
      </c>
      <c r="I397" s="48">
        <v>0</v>
      </c>
      <c r="J397" s="68">
        <v>0</v>
      </c>
      <c r="K397" s="233">
        <f t="shared" si="82"/>
        <v>0</v>
      </c>
      <c r="L397" s="61"/>
      <c r="M397" s="61"/>
      <c r="N397" s="61"/>
    </row>
    <row r="398" spans="1:14" ht="21.75" customHeight="1" x14ac:dyDescent="0.4">
      <c r="A398" s="55"/>
      <c r="B398" s="56"/>
      <c r="C398" s="56"/>
      <c r="D398" s="73"/>
      <c r="E398" s="75"/>
      <c r="F398" s="75"/>
      <c r="G398" s="266"/>
      <c r="H398" s="267" t="s">
        <v>15</v>
      </c>
      <c r="I398" s="48">
        <v>0</v>
      </c>
      <c r="J398" s="68">
        <v>0</v>
      </c>
      <c r="K398" s="233">
        <f t="shared" si="82"/>
        <v>0</v>
      </c>
      <c r="L398" s="61"/>
      <c r="M398" s="61"/>
      <c r="N398" s="61"/>
    </row>
    <row r="399" spans="1:14" ht="21.75" customHeight="1" x14ac:dyDescent="0.4">
      <c r="A399" s="55"/>
      <c r="B399" s="56"/>
      <c r="C399" s="56"/>
      <c r="D399" s="73"/>
      <c r="E399" s="75"/>
      <c r="F399" s="242" t="s">
        <v>168</v>
      </c>
      <c r="G399" s="266"/>
      <c r="H399" s="267" t="s">
        <v>103</v>
      </c>
      <c r="I399" s="48">
        <v>0</v>
      </c>
      <c r="J399" s="68">
        <v>0</v>
      </c>
      <c r="K399" s="233">
        <f t="shared" si="82"/>
        <v>0</v>
      </c>
      <c r="L399" s="61"/>
      <c r="M399" s="61"/>
      <c r="N399" s="61"/>
    </row>
    <row r="400" spans="1:14" ht="21.75" customHeight="1" x14ac:dyDescent="0.4">
      <c r="A400" s="55"/>
      <c r="B400" s="56"/>
      <c r="C400" s="56"/>
      <c r="D400" s="73"/>
      <c r="E400" s="75"/>
      <c r="F400" s="75"/>
      <c r="G400" s="75"/>
      <c r="H400" s="267" t="s">
        <v>15</v>
      </c>
      <c r="I400" s="48">
        <v>0</v>
      </c>
      <c r="J400" s="68">
        <v>0</v>
      </c>
      <c r="K400" s="233">
        <f t="shared" si="82"/>
        <v>0</v>
      </c>
      <c r="L400" s="61"/>
      <c r="M400" s="61"/>
      <c r="N400" s="61"/>
    </row>
    <row r="401" spans="1:14" ht="21.75" customHeight="1" x14ac:dyDescent="0.4">
      <c r="A401" s="55"/>
      <c r="B401" s="56"/>
      <c r="C401" s="56"/>
      <c r="D401" s="73"/>
      <c r="E401" s="74" t="s">
        <v>169</v>
      </c>
      <c r="F401" s="75"/>
      <c r="G401" s="266"/>
      <c r="H401" s="267" t="s">
        <v>103</v>
      </c>
      <c r="I401" s="48">
        <v>0</v>
      </c>
      <c r="J401" s="48">
        <f t="shared" ref="J401:J402" si="89">+J403+J405</f>
        <v>0</v>
      </c>
      <c r="K401" s="233">
        <f t="shared" si="82"/>
        <v>0</v>
      </c>
      <c r="L401" s="61"/>
      <c r="M401" s="61"/>
      <c r="N401" s="61"/>
    </row>
    <row r="402" spans="1:14" ht="21.75" customHeight="1" x14ac:dyDescent="0.4">
      <c r="A402" s="55"/>
      <c r="B402" s="56"/>
      <c r="C402" s="56"/>
      <c r="D402" s="73"/>
      <c r="E402" s="75"/>
      <c r="F402" s="75"/>
      <c r="G402" s="75"/>
      <c r="H402" s="267" t="s">
        <v>15</v>
      </c>
      <c r="I402" s="48">
        <v>0</v>
      </c>
      <c r="J402" s="48">
        <f t="shared" si="89"/>
        <v>0</v>
      </c>
      <c r="K402" s="233">
        <f t="shared" si="82"/>
        <v>0</v>
      </c>
      <c r="L402" s="61"/>
      <c r="M402" s="61"/>
      <c r="N402" s="61"/>
    </row>
    <row r="403" spans="1:14" ht="21.75" customHeight="1" x14ac:dyDescent="0.4">
      <c r="A403" s="55"/>
      <c r="B403" s="56"/>
      <c r="C403" s="56"/>
      <c r="D403" s="73"/>
      <c r="E403" s="75"/>
      <c r="F403" s="74" t="s">
        <v>170</v>
      </c>
      <c r="G403" s="75"/>
      <c r="H403" s="267" t="s">
        <v>103</v>
      </c>
      <c r="I403" s="48">
        <v>0</v>
      </c>
      <c r="J403" s="68">
        <v>0</v>
      </c>
      <c r="K403" s="233">
        <f t="shared" si="82"/>
        <v>0</v>
      </c>
      <c r="L403" s="61"/>
      <c r="M403" s="61"/>
      <c r="N403" s="61"/>
    </row>
    <row r="404" spans="1:14" ht="21.75" customHeight="1" x14ac:dyDescent="0.4">
      <c r="A404" s="55"/>
      <c r="B404" s="56"/>
      <c r="C404" s="56"/>
      <c r="D404" s="73"/>
      <c r="E404" s="75"/>
      <c r="F404" s="75"/>
      <c r="G404" s="75"/>
      <c r="H404" s="267" t="s">
        <v>15</v>
      </c>
      <c r="I404" s="48">
        <v>0</v>
      </c>
      <c r="J404" s="68">
        <v>0</v>
      </c>
      <c r="K404" s="233">
        <f t="shared" si="82"/>
        <v>0</v>
      </c>
      <c r="L404" s="61"/>
      <c r="M404" s="61"/>
      <c r="N404" s="61"/>
    </row>
    <row r="405" spans="1:14" ht="21.75" customHeight="1" x14ac:dyDescent="0.4">
      <c r="A405" s="55"/>
      <c r="B405" s="56"/>
      <c r="C405" s="56"/>
      <c r="D405" s="73"/>
      <c r="E405" s="75"/>
      <c r="F405" s="74" t="s">
        <v>171</v>
      </c>
      <c r="G405" s="75"/>
      <c r="H405" s="267" t="s">
        <v>103</v>
      </c>
      <c r="I405" s="48">
        <v>0</v>
      </c>
      <c r="J405" s="68">
        <v>0</v>
      </c>
      <c r="K405" s="233">
        <f t="shared" si="82"/>
        <v>0</v>
      </c>
      <c r="L405" s="61"/>
      <c r="M405" s="61"/>
      <c r="N405" s="61"/>
    </row>
    <row r="406" spans="1:14" ht="21.75" customHeight="1" x14ac:dyDescent="0.4">
      <c r="A406" s="55"/>
      <c r="B406" s="56"/>
      <c r="C406" s="56"/>
      <c r="D406" s="73"/>
      <c r="E406" s="75"/>
      <c r="F406" s="75"/>
      <c r="G406" s="76"/>
      <c r="H406" s="267" t="s">
        <v>15</v>
      </c>
      <c r="I406" s="48">
        <v>0</v>
      </c>
      <c r="J406" s="68">
        <v>0</v>
      </c>
      <c r="K406" s="233">
        <f t="shared" si="82"/>
        <v>0</v>
      </c>
      <c r="L406" s="61"/>
      <c r="M406" s="61"/>
      <c r="N406" s="61"/>
    </row>
    <row r="407" spans="1:14" ht="21.75" customHeight="1" x14ac:dyDescent="0.4">
      <c r="A407" s="55"/>
      <c r="B407" s="56"/>
      <c r="C407" s="56"/>
      <c r="D407" s="251"/>
      <c r="E407" s="251" t="s">
        <v>225</v>
      </c>
      <c r="F407" s="75"/>
      <c r="G407" s="76"/>
      <c r="H407" s="267" t="s">
        <v>103</v>
      </c>
      <c r="I407" s="48">
        <v>0</v>
      </c>
      <c r="J407" s="68">
        <v>0</v>
      </c>
      <c r="K407" s="233">
        <f t="shared" si="82"/>
        <v>0</v>
      </c>
      <c r="L407" s="61"/>
      <c r="M407" s="61"/>
      <c r="N407" s="61"/>
    </row>
    <row r="408" spans="1:14" ht="21.75" customHeight="1" x14ac:dyDescent="0.4">
      <c r="A408" s="55"/>
      <c r="B408" s="56"/>
      <c r="C408" s="56"/>
      <c r="D408" s="73"/>
      <c r="E408" s="75"/>
      <c r="F408" s="75"/>
      <c r="G408" s="76"/>
      <c r="H408" s="267" t="s">
        <v>15</v>
      </c>
      <c r="I408" s="48">
        <v>0</v>
      </c>
      <c r="J408" s="68">
        <v>0</v>
      </c>
      <c r="K408" s="233">
        <f t="shared" si="82"/>
        <v>0</v>
      </c>
      <c r="L408" s="61"/>
      <c r="M408" s="61"/>
      <c r="N408" s="61"/>
    </row>
    <row r="409" spans="1:14" ht="21.75" customHeight="1" x14ac:dyDescent="0.4">
      <c r="A409" s="55"/>
      <c r="B409" s="56"/>
      <c r="C409" s="261" t="s">
        <v>173</v>
      </c>
      <c r="D409" s="261"/>
      <c r="E409" s="285"/>
      <c r="F409" s="285"/>
      <c r="G409" s="286"/>
      <c r="H409" s="287" t="s">
        <v>103</v>
      </c>
      <c r="I409" s="137">
        <f ca="1">IFERROR(__xludf.DUMMYFUNCTION("IMPORTRANGE(""https://docs.google.com/spreadsheets/d/1C3CXT74ZlgGe6_JY_1olB1XN4rF0dxEuIIF-xsYjHgg/edit?usp=sharing"",""งบกองทุน!cz33"")"),0)</f>
        <v>0</v>
      </c>
      <c r="J409" s="137">
        <f ca="1">+J412+J414</f>
        <v>0</v>
      </c>
      <c r="K409" s="138">
        <f t="shared" ca="1" si="82"/>
        <v>0</v>
      </c>
      <c r="L409" s="61"/>
      <c r="M409" s="61"/>
      <c r="N409" s="61"/>
    </row>
    <row r="410" spans="1:14" ht="21.75" customHeight="1" x14ac:dyDescent="0.4">
      <c r="A410" s="55"/>
      <c r="B410" s="56"/>
      <c r="C410" s="288"/>
      <c r="D410" s="288"/>
      <c r="E410" s="288" t="s">
        <v>174</v>
      </c>
      <c r="F410" s="289"/>
      <c r="G410" s="290"/>
      <c r="H410" s="363" t="s">
        <v>103</v>
      </c>
      <c r="I410" s="150">
        <f ca="1">IFERROR(__xludf.DUMMYFUNCTION("IMPORTRANGE(""https://docs.google.com/spreadsheets/d/1C3CXT74ZlgGe6_JY_1olB1XN4rF0dxEuIIF-xsYjHgg/edit?usp=sharing"",""งบกองทุน!cz33"")"),0)</f>
        <v>0</v>
      </c>
      <c r="J410" s="150">
        <f t="shared" ref="J410:J411" ca="1" si="90">SUM(J412,J414)</f>
        <v>0</v>
      </c>
      <c r="K410" s="151">
        <f t="shared" ca="1" si="82"/>
        <v>0</v>
      </c>
      <c r="L410" s="61"/>
      <c r="M410" s="61"/>
      <c r="N410" s="61"/>
    </row>
    <row r="411" spans="1:14" ht="21.75" customHeight="1" x14ac:dyDescent="0.4">
      <c r="A411" s="55"/>
      <c r="B411" s="56"/>
      <c r="C411" s="288"/>
      <c r="D411" s="288"/>
      <c r="E411" s="288" t="s">
        <v>175</v>
      </c>
      <c r="F411" s="289"/>
      <c r="G411" s="290"/>
      <c r="H411" s="363" t="s">
        <v>15</v>
      </c>
      <c r="I411" s="150">
        <f ca="1">IFERROR(__xludf.DUMMYFUNCTION("IMPORTRANGE(""https://docs.google.com/spreadsheets/d/1C3CXT74ZlgGe6_JY_1olB1XN4rF0dxEuIIF-xsYjHgg/edit?usp=sharing"",""งบกองทุน!cy33"")"),0)</f>
        <v>0</v>
      </c>
      <c r="J411" s="150">
        <f t="shared" ca="1" si="90"/>
        <v>0</v>
      </c>
      <c r="K411" s="151">
        <f t="shared" ca="1" si="82"/>
        <v>0</v>
      </c>
      <c r="L411" s="61"/>
      <c r="M411" s="61"/>
      <c r="N411" s="61"/>
    </row>
    <row r="412" spans="1:14" ht="21.75" customHeight="1" x14ac:dyDescent="0.4">
      <c r="A412" s="55"/>
      <c r="B412" s="56"/>
      <c r="C412" s="56"/>
      <c r="D412" s="73"/>
      <c r="E412" s="75"/>
      <c r="F412" s="75"/>
      <c r="G412" s="99" t="s">
        <v>176</v>
      </c>
      <c r="H412" s="364" t="s">
        <v>103</v>
      </c>
      <c r="I412" s="365">
        <v>0</v>
      </c>
      <c r="J412" s="366">
        <f ca="1">IFERROR(__xludf.DUMMYFUNCTION("IMPORTRANGE(""https://docs.google.com/spreadsheets/d/1C3CXT74ZlgGe6_JY_1olB1XN4rF0dxEuIIF-xsYjHgg/edit?usp=sharing"",""งบกองทุน!db33"")"),0)</f>
        <v>0</v>
      </c>
      <c r="K412" s="367">
        <f t="shared" si="82"/>
        <v>0</v>
      </c>
      <c r="L412" s="61"/>
      <c r="M412" s="61"/>
      <c r="N412" s="61"/>
    </row>
    <row r="413" spans="1:14" ht="21.75" customHeight="1" x14ac:dyDescent="0.4">
      <c r="A413" s="55"/>
      <c r="B413" s="56"/>
      <c r="C413" s="56"/>
      <c r="D413" s="73"/>
      <c r="E413" s="75"/>
      <c r="F413" s="75"/>
      <c r="G413" s="76"/>
      <c r="H413" s="364" t="s">
        <v>15</v>
      </c>
      <c r="I413" s="365">
        <v>0</v>
      </c>
      <c r="J413" s="366">
        <f ca="1">IFERROR(__xludf.DUMMYFUNCTION("IMPORTRANGE(""https://docs.google.com/spreadsheets/d/1C3CXT74ZlgGe6_JY_1olB1XN4rF0dxEuIIF-xsYjHgg/edit?usp=sharing"",""งบกองทุน!da33"")"),0)</f>
        <v>0</v>
      </c>
      <c r="K413" s="367">
        <f t="shared" si="82"/>
        <v>0</v>
      </c>
      <c r="L413" s="61"/>
      <c r="M413" s="61"/>
      <c r="N413" s="61"/>
    </row>
    <row r="414" spans="1:14" ht="21.75" customHeight="1" x14ac:dyDescent="0.4">
      <c r="A414" s="55"/>
      <c r="B414" s="56"/>
      <c r="C414" s="56"/>
      <c r="D414" s="73"/>
      <c r="E414" s="75"/>
      <c r="F414" s="75"/>
      <c r="G414" s="99" t="s">
        <v>177</v>
      </c>
      <c r="H414" s="364" t="s">
        <v>103</v>
      </c>
      <c r="I414" s="365">
        <v>0</v>
      </c>
      <c r="J414" s="366">
        <f ca="1">IFERROR(__xludf.DUMMYFUNCTION("IMPORTRANGE(""https://docs.google.com/spreadsheets/d/1C3CXT74ZlgGe6_JY_1olB1XN4rF0dxEuIIF-xsYjHgg/edit?usp=sharing"",""งบกองทุน!dd33"")"),0)</f>
        <v>0</v>
      </c>
      <c r="K414" s="367">
        <f t="shared" si="82"/>
        <v>0</v>
      </c>
      <c r="L414" s="61"/>
      <c r="M414" s="61"/>
      <c r="N414" s="61"/>
    </row>
    <row r="415" spans="1:14" ht="21.75" customHeight="1" x14ac:dyDescent="0.4">
      <c r="A415" s="55"/>
      <c r="B415" s="56"/>
      <c r="C415" s="56"/>
      <c r="D415" s="73"/>
      <c r="E415" s="75"/>
      <c r="F415" s="75"/>
      <c r="G415" s="76"/>
      <c r="H415" s="364" t="s">
        <v>15</v>
      </c>
      <c r="I415" s="365">
        <v>0</v>
      </c>
      <c r="J415" s="366">
        <f ca="1">IFERROR(__xludf.DUMMYFUNCTION("IMPORTRANGE(""https://docs.google.com/spreadsheets/d/1C3CXT74ZlgGe6_JY_1olB1XN4rF0dxEuIIF-xsYjHgg/edit?usp=sharing"",""งบกองทุน!dc33"")"),0)</f>
        <v>0</v>
      </c>
      <c r="K415" s="367">
        <f t="shared" si="82"/>
        <v>0</v>
      </c>
      <c r="L415" s="61"/>
      <c r="M415" s="61"/>
      <c r="N415" s="61"/>
    </row>
    <row r="416" spans="1:14" ht="21.75" customHeight="1" x14ac:dyDescent="0.4">
      <c r="A416" s="55"/>
      <c r="B416" s="56"/>
      <c r="C416" s="56"/>
      <c r="D416" s="73"/>
      <c r="E416" s="75"/>
      <c r="F416" s="75"/>
      <c r="G416" s="99" t="s">
        <v>178</v>
      </c>
      <c r="H416" s="364" t="s">
        <v>103</v>
      </c>
      <c r="I416" s="365">
        <v>0</v>
      </c>
      <c r="J416" s="366">
        <f ca="1">IFERROR(__xludf.DUMMYFUNCTION("IMPORTRANGE(""https://docs.google.com/spreadsheets/d/1C3CXT74ZlgGe6_JY_1olB1XN4rF0dxEuIIF-xsYjHgg/edit?usp=sharing"",""งบกองทุน!df33"")"),0)</f>
        <v>0</v>
      </c>
      <c r="K416" s="367">
        <f t="shared" si="82"/>
        <v>0</v>
      </c>
      <c r="L416" s="61"/>
      <c r="M416" s="61"/>
      <c r="N416" s="61"/>
    </row>
    <row r="417" spans="1:14" ht="21.75" customHeight="1" x14ac:dyDescent="0.4">
      <c r="A417" s="55"/>
      <c r="B417" s="56"/>
      <c r="C417" s="56"/>
      <c r="D417" s="73"/>
      <c r="E417" s="75"/>
      <c r="F417" s="75"/>
      <c r="G417" s="76"/>
      <c r="H417" s="364" t="s">
        <v>15</v>
      </c>
      <c r="I417" s="365">
        <v>0</v>
      </c>
      <c r="J417" s="366">
        <f ca="1">IFERROR(__xludf.DUMMYFUNCTION("IMPORTRANGE(""https://docs.google.com/spreadsheets/d/1C3CXT74ZlgGe6_JY_1olB1XN4rF0dxEuIIF-xsYjHgg/edit?usp=sharing"",""งบกองทุน!de33"")"),0)</f>
        <v>0</v>
      </c>
      <c r="K417" s="367">
        <f t="shared" si="82"/>
        <v>0</v>
      </c>
      <c r="L417" s="61"/>
      <c r="M417" s="61"/>
      <c r="N417" s="61"/>
    </row>
    <row r="418" spans="1:14" ht="21.75" customHeight="1" x14ac:dyDescent="0.4">
      <c r="A418" s="55"/>
      <c r="B418" s="56"/>
      <c r="C418" s="288"/>
      <c r="D418" s="288"/>
      <c r="E418" s="288" t="s">
        <v>179</v>
      </c>
      <c r="F418" s="289"/>
      <c r="G418" s="290"/>
      <c r="H418" s="363" t="s">
        <v>103</v>
      </c>
      <c r="I418" s="368">
        <f t="shared" ref="I418:I419" ca="1" si="91">J416</f>
        <v>0</v>
      </c>
      <c r="J418" s="150">
        <f t="shared" ref="J418:J419" si="92">SUM(J420,J422,J424)</f>
        <v>0</v>
      </c>
      <c r="K418" s="369">
        <f t="shared" ca="1" si="82"/>
        <v>0</v>
      </c>
      <c r="L418" s="61"/>
      <c r="M418" s="61"/>
      <c r="N418" s="61"/>
    </row>
    <row r="419" spans="1:14" ht="21.75" customHeight="1" x14ac:dyDescent="0.4">
      <c r="A419" s="55"/>
      <c r="B419" s="56"/>
      <c r="C419" s="288"/>
      <c r="D419" s="288"/>
      <c r="E419" s="288" t="s">
        <v>180</v>
      </c>
      <c r="F419" s="289"/>
      <c r="G419" s="290"/>
      <c r="H419" s="363" t="s">
        <v>15</v>
      </c>
      <c r="I419" s="368">
        <f t="shared" ca="1" si="91"/>
        <v>0</v>
      </c>
      <c r="J419" s="150">
        <f t="shared" si="92"/>
        <v>0</v>
      </c>
      <c r="K419" s="369">
        <f t="shared" ca="1" si="82"/>
        <v>0</v>
      </c>
      <c r="L419" s="61"/>
      <c r="M419" s="61"/>
      <c r="N419" s="61"/>
    </row>
    <row r="420" spans="1:14" ht="21.75" customHeight="1" x14ac:dyDescent="0.4">
      <c r="A420" s="55"/>
      <c r="B420" s="56"/>
      <c r="C420" s="56"/>
      <c r="D420" s="73"/>
      <c r="E420" s="75"/>
      <c r="F420" s="75"/>
      <c r="G420" s="99" t="s">
        <v>176</v>
      </c>
      <c r="H420" s="364" t="s">
        <v>103</v>
      </c>
      <c r="I420" s="365">
        <v>0</v>
      </c>
      <c r="J420" s="68">
        <v>0</v>
      </c>
      <c r="K420" s="370">
        <f t="shared" si="82"/>
        <v>0</v>
      </c>
      <c r="L420" s="61"/>
      <c r="M420" s="61"/>
      <c r="N420" s="61"/>
    </row>
    <row r="421" spans="1:14" ht="21.75" customHeight="1" x14ac:dyDescent="0.4">
      <c r="A421" s="55"/>
      <c r="B421" s="56"/>
      <c r="C421" s="56"/>
      <c r="D421" s="73"/>
      <c r="E421" s="75"/>
      <c r="F421" s="75"/>
      <c r="G421" s="76"/>
      <c r="H421" s="364" t="s">
        <v>15</v>
      </c>
      <c r="I421" s="365">
        <v>0</v>
      </c>
      <c r="J421" s="68">
        <v>0</v>
      </c>
      <c r="K421" s="370">
        <f t="shared" si="82"/>
        <v>0</v>
      </c>
      <c r="L421" s="61"/>
      <c r="M421" s="61"/>
      <c r="N421" s="61"/>
    </row>
    <row r="422" spans="1:14" ht="21.75" customHeight="1" x14ac:dyDescent="0.4">
      <c r="A422" s="55"/>
      <c r="B422" s="56"/>
      <c r="C422" s="56"/>
      <c r="D422" s="73"/>
      <c r="E422" s="75"/>
      <c r="F422" s="75"/>
      <c r="G422" s="99" t="s">
        <v>177</v>
      </c>
      <c r="H422" s="364" t="s">
        <v>103</v>
      </c>
      <c r="I422" s="365">
        <v>0</v>
      </c>
      <c r="J422" s="68">
        <v>0</v>
      </c>
      <c r="K422" s="370">
        <f t="shared" si="82"/>
        <v>0</v>
      </c>
      <c r="L422" s="61"/>
      <c r="M422" s="61"/>
      <c r="N422" s="61"/>
    </row>
    <row r="423" spans="1:14" ht="21.75" customHeight="1" x14ac:dyDescent="0.4">
      <c r="A423" s="55"/>
      <c r="B423" s="56"/>
      <c r="C423" s="56"/>
      <c r="D423" s="73"/>
      <c r="E423" s="75"/>
      <c r="F423" s="75"/>
      <c r="G423" s="76"/>
      <c r="H423" s="364" t="s">
        <v>15</v>
      </c>
      <c r="I423" s="365">
        <v>0</v>
      </c>
      <c r="J423" s="68">
        <v>0</v>
      </c>
      <c r="K423" s="370">
        <f t="shared" si="82"/>
        <v>0</v>
      </c>
      <c r="L423" s="61"/>
      <c r="M423" s="61"/>
      <c r="N423" s="61"/>
    </row>
    <row r="424" spans="1:14" ht="21.75" customHeight="1" x14ac:dyDescent="0.4">
      <c r="A424" s="55"/>
      <c r="B424" s="56"/>
      <c r="C424" s="56"/>
      <c r="D424" s="73"/>
      <c r="E424" s="75"/>
      <c r="F424" s="75"/>
      <c r="G424" s="99" t="s">
        <v>181</v>
      </c>
      <c r="H424" s="364" t="s">
        <v>103</v>
      </c>
      <c r="I424" s="365">
        <v>0</v>
      </c>
      <c r="J424" s="68">
        <v>0</v>
      </c>
      <c r="K424" s="370">
        <f t="shared" si="82"/>
        <v>0</v>
      </c>
      <c r="L424" s="61"/>
      <c r="M424" s="61"/>
      <c r="N424" s="61"/>
    </row>
    <row r="425" spans="1:14" ht="21.75" customHeight="1" x14ac:dyDescent="0.4">
      <c r="A425" s="292"/>
      <c r="B425" s="293"/>
      <c r="C425" s="293"/>
      <c r="D425" s="294"/>
      <c r="E425" s="295"/>
      <c r="F425" s="295"/>
      <c r="G425" s="296"/>
      <c r="H425" s="371" t="s">
        <v>15</v>
      </c>
      <c r="I425" s="372">
        <v>0</v>
      </c>
      <c r="J425" s="247">
        <v>0</v>
      </c>
      <c r="K425" s="373">
        <f t="shared" si="82"/>
        <v>0</v>
      </c>
      <c r="L425" s="300"/>
      <c r="M425" s="300"/>
      <c r="N425" s="300"/>
    </row>
    <row r="426" spans="1:14" ht="21.75" customHeight="1" x14ac:dyDescent="0.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374" t="s">
        <v>16</v>
      </c>
      <c r="I426" s="375">
        <f t="shared" ref="I426:J426" ca="1" si="93">I440</f>
        <v>22</v>
      </c>
      <c r="J426" s="375">
        <f t="shared" si="93"/>
        <v>0</v>
      </c>
      <c r="K426" s="301">
        <f ca="1">IF(I426&gt;0,J426*100/I426,0)</f>
        <v>0</v>
      </c>
      <c r="L426" s="259">
        <f t="shared" ref="L426:M426" ca="1" si="94">SUM(L427:L428)</f>
        <v>34340</v>
      </c>
      <c r="M426" s="259">
        <f t="shared" si="94"/>
        <v>0</v>
      </c>
      <c r="N426" s="259">
        <f t="shared" ref="N426:N430" ca="1" si="95">+IF(L426&gt;0,M426*100/L426,0)</f>
        <v>0</v>
      </c>
    </row>
    <row r="427" spans="1:14" ht="21.75" customHeight="1" x14ac:dyDescent="0.4">
      <c r="A427" s="42"/>
      <c r="B427" s="43"/>
      <c r="C427" s="43" t="s">
        <v>17</v>
      </c>
      <c r="D427" s="44" t="s">
        <v>18</v>
      </c>
      <c r="E427" s="45"/>
      <c r="F427" s="45"/>
      <c r="G427" s="46" t="s">
        <v>19</v>
      </c>
      <c r="H427" s="47" t="s">
        <v>20</v>
      </c>
      <c r="I427" s="48" t="s">
        <v>21</v>
      </c>
      <c r="J427" s="48"/>
      <c r="K427" s="49"/>
      <c r="L427" s="50">
        <v>0</v>
      </c>
      <c r="M427" s="53">
        <v>0</v>
      </c>
      <c r="N427" s="53">
        <f t="shared" si="95"/>
        <v>0</v>
      </c>
    </row>
    <row r="428" spans="1:14" ht="21.75" customHeight="1" x14ac:dyDescent="0.4">
      <c r="A428" s="42"/>
      <c r="B428" s="43"/>
      <c r="C428" s="43"/>
      <c r="D428" s="51"/>
      <c r="E428" s="45"/>
      <c r="F428" s="45" t="s">
        <v>21</v>
      </c>
      <c r="G428" s="46" t="s">
        <v>22</v>
      </c>
      <c r="H428" s="47" t="s">
        <v>20</v>
      </c>
      <c r="I428" s="48"/>
      <c r="J428" s="48"/>
      <c r="K428" s="49"/>
      <c r="L428" s="50">
        <f t="shared" ref="L428:M428" ca="1" si="96">SUM(L429:L430)</f>
        <v>34340</v>
      </c>
      <c r="M428" s="53">
        <f t="shared" si="96"/>
        <v>0</v>
      </c>
      <c r="N428" s="53">
        <f t="shared" ca="1" si="95"/>
        <v>0</v>
      </c>
    </row>
    <row r="429" spans="1:14" ht="21.75" customHeight="1" x14ac:dyDescent="0.4">
      <c r="A429" s="42"/>
      <c r="B429" s="43"/>
      <c r="C429" s="43"/>
      <c r="D429" s="51"/>
      <c r="E429" s="45"/>
      <c r="F429" s="45"/>
      <c r="G429" s="52" t="s">
        <v>110</v>
      </c>
      <c r="H429" s="47" t="s">
        <v>20</v>
      </c>
      <c r="I429" s="48"/>
      <c r="J429" s="48"/>
      <c r="K429" s="49"/>
      <c r="L429" s="53">
        <f ca="1">IFERROR(__xludf.DUMMYFUNCTION("IMPORTRANGE(""https://docs.google.com/spreadsheets/d/1C3CXT74ZlgGe6_JY_1olB1XN4rF0dxEuIIF-xsYjHgg/edit?usp=sharing"",""งบกองทุน!dn33"")"),0)</f>
        <v>0</v>
      </c>
      <c r="M429" s="53">
        <v>0</v>
      </c>
      <c r="N429" s="53">
        <f t="shared" ca="1" si="95"/>
        <v>0</v>
      </c>
    </row>
    <row r="430" spans="1:14" ht="21.75" customHeight="1" x14ac:dyDescent="0.4">
      <c r="A430" s="42"/>
      <c r="B430" s="43"/>
      <c r="C430" s="43"/>
      <c r="D430" s="51"/>
      <c r="E430" s="45"/>
      <c r="F430" s="45"/>
      <c r="G430" s="52" t="s">
        <v>111</v>
      </c>
      <c r="H430" s="47" t="s">
        <v>20</v>
      </c>
      <c r="I430" s="48"/>
      <c r="J430" s="48"/>
      <c r="K430" s="49"/>
      <c r="L430" s="53">
        <f ca="1">IFERROR(__xludf.DUMMYFUNCTION("IMPORTRANGE(""https://docs.google.com/spreadsheets/d/1C3CXT74ZlgGe6_JY_1olB1XN4rF0dxEuIIF-xsYjHgg/edit?usp=sharing"",""งบกองทุน!do33"")"),34340)</f>
        <v>34340</v>
      </c>
      <c r="M430" s="53">
        <f>SUM(M431:M434)</f>
        <v>0</v>
      </c>
      <c r="N430" s="53">
        <f t="shared" ca="1" si="95"/>
        <v>0</v>
      </c>
    </row>
    <row r="431" spans="1:14" ht="21.75" customHeight="1" x14ac:dyDescent="0.4">
      <c r="A431" s="230"/>
      <c r="B431" s="231"/>
      <c r="C431" s="43"/>
      <c r="D431" s="232"/>
      <c r="E431" s="45"/>
      <c r="F431" s="45"/>
      <c r="G431" s="46" t="s">
        <v>112</v>
      </c>
      <c r="H431" s="47" t="s">
        <v>20</v>
      </c>
      <c r="I431" s="67"/>
      <c r="J431" s="67"/>
      <c r="K431" s="233"/>
      <c r="L431" s="53"/>
      <c r="M431" s="54">
        <v>0</v>
      </c>
      <c r="N431" s="53"/>
    </row>
    <row r="432" spans="1:14" ht="21.75" customHeight="1" x14ac:dyDescent="0.4">
      <c r="A432" s="230"/>
      <c r="B432" s="231"/>
      <c r="C432" s="43"/>
      <c r="D432" s="232"/>
      <c r="E432" s="45"/>
      <c r="F432" s="45"/>
      <c r="G432" s="46" t="s">
        <v>113</v>
      </c>
      <c r="H432" s="47" t="s">
        <v>20</v>
      </c>
      <c r="I432" s="67"/>
      <c r="J432" s="67"/>
      <c r="K432" s="233"/>
      <c r="L432" s="53"/>
      <c r="M432" s="54">
        <v>0</v>
      </c>
      <c r="N432" s="53"/>
    </row>
    <row r="433" spans="1:14" ht="21.75" customHeight="1" x14ac:dyDescent="0.4">
      <c r="A433" s="230"/>
      <c r="B433" s="231"/>
      <c r="C433" s="43"/>
      <c r="D433" s="232"/>
      <c r="E433" s="45"/>
      <c r="F433" s="45"/>
      <c r="G433" s="46" t="s">
        <v>114</v>
      </c>
      <c r="H433" s="47" t="s">
        <v>20</v>
      </c>
      <c r="I433" s="67"/>
      <c r="J433" s="67"/>
      <c r="K433" s="233"/>
      <c r="L433" s="53"/>
      <c r="M433" s="54">
        <v>0</v>
      </c>
      <c r="N433" s="53"/>
    </row>
    <row r="434" spans="1:14" ht="21.75" customHeight="1" x14ac:dyDescent="0.4">
      <c r="A434" s="230"/>
      <c r="B434" s="231"/>
      <c r="C434" s="43"/>
      <c r="D434" s="232"/>
      <c r="E434" s="45"/>
      <c r="F434" s="45"/>
      <c r="G434" s="46" t="s">
        <v>115</v>
      </c>
      <c r="H434" s="47" t="s">
        <v>20</v>
      </c>
      <c r="I434" s="67"/>
      <c r="J434" s="67"/>
      <c r="K434" s="233"/>
      <c r="L434" s="53"/>
      <c r="M434" s="54">
        <v>0</v>
      </c>
      <c r="N434" s="53"/>
    </row>
    <row r="435" spans="1:14" ht="21.75" customHeight="1" x14ac:dyDescent="0.4">
      <c r="A435" s="55"/>
      <c r="B435" s="56"/>
      <c r="C435" s="43" t="s">
        <v>17</v>
      </c>
      <c r="D435" s="57" t="s">
        <v>25</v>
      </c>
      <c r="E435" s="58"/>
      <c r="F435" s="58"/>
      <c r="G435" s="59"/>
      <c r="H435" s="60"/>
      <c r="I435" s="48"/>
      <c r="J435" s="48"/>
      <c r="K435" s="49"/>
      <c r="L435" s="61"/>
      <c r="M435" s="61"/>
      <c r="N435" s="61"/>
    </row>
    <row r="436" spans="1:14" ht="21.75" customHeight="1" x14ac:dyDescent="0.4">
      <c r="A436" s="55"/>
      <c r="B436" s="56"/>
      <c r="C436" s="56"/>
      <c r="D436" s="62">
        <v>1</v>
      </c>
      <c r="E436" s="63" t="s">
        <v>26</v>
      </c>
      <c r="F436" s="64"/>
      <c r="G436" s="65"/>
      <c r="H436" s="66"/>
      <c r="I436" s="67"/>
      <c r="J436" s="68">
        <v>0</v>
      </c>
      <c r="K436" s="49"/>
      <c r="L436" s="61"/>
      <c r="M436" s="61"/>
      <c r="N436" s="61"/>
    </row>
    <row r="437" spans="1:14" ht="21.75" customHeight="1" x14ac:dyDescent="0.4">
      <c r="A437" s="55"/>
      <c r="B437" s="56"/>
      <c r="C437" s="56"/>
      <c r="D437" s="69">
        <v>2</v>
      </c>
      <c r="E437" s="70" t="s">
        <v>27</v>
      </c>
      <c r="F437" s="71"/>
      <c r="G437" s="72"/>
      <c r="H437" s="66"/>
      <c r="I437" s="67"/>
      <c r="J437" s="68">
        <v>1</v>
      </c>
      <c r="K437" s="49"/>
      <c r="L437" s="61" t="s">
        <v>21</v>
      </c>
      <c r="M437" s="61" t="s">
        <v>21</v>
      </c>
      <c r="N437" s="61"/>
    </row>
    <row r="438" spans="1:14" ht="21.75" customHeight="1" x14ac:dyDescent="0.4">
      <c r="A438" s="55"/>
      <c r="B438" s="56"/>
      <c r="C438" s="56"/>
      <c r="D438" s="73"/>
      <c r="E438" s="74" t="s">
        <v>28</v>
      </c>
      <c r="F438" s="75"/>
      <c r="G438" s="76"/>
      <c r="H438" s="66"/>
      <c r="I438" s="67"/>
      <c r="J438" s="68">
        <v>0</v>
      </c>
      <c r="K438" s="49"/>
      <c r="L438" s="61"/>
      <c r="M438" s="61"/>
      <c r="N438" s="61"/>
    </row>
    <row r="439" spans="1:14" ht="21.75" customHeight="1" x14ac:dyDescent="0.4">
      <c r="A439" s="55"/>
      <c r="B439" s="56"/>
      <c r="C439" s="56"/>
      <c r="D439" s="73"/>
      <c r="E439" s="74" t="s">
        <v>29</v>
      </c>
      <c r="F439" s="75"/>
      <c r="G439" s="76"/>
      <c r="H439" s="66"/>
      <c r="I439" s="67"/>
      <c r="J439" s="68">
        <v>0</v>
      </c>
      <c r="K439" s="49"/>
      <c r="L439" s="61"/>
      <c r="M439" s="61"/>
      <c r="N439" s="61"/>
    </row>
    <row r="440" spans="1:14" ht="21.75" customHeight="1" x14ac:dyDescent="0.4">
      <c r="A440" s="55"/>
      <c r="B440" s="56"/>
      <c r="C440" s="56"/>
      <c r="D440" s="73"/>
      <c r="E440" s="77"/>
      <c r="F440" s="75"/>
      <c r="G440" s="99" t="s">
        <v>183</v>
      </c>
      <c r="H440" s="66" t="s">
        <v>16</v>
      </c>
      <c r="I440" s="200">
        <f ca="1">IFERROR(__xludf.DUMMYFUNCTION("IMPORTRANGE(""https://docs.google.com/spreadsheets/d/1C3CXT74ZlgGe6_JY_1olB1XN4rF0dxEuIIF-xsYjHgg/edit?usp=sharing"",""งบกองทุน!dq33"")"),22)</f>
        <v>22</v>
      </c>
      <c r="J440" s="68">
        <v>0</v>
      </c>
      <c r="K440" s="49">
        <f t="shared" ref="K440:K441" ca="1" si="97">IF(I440&gt;0,J440*100/I440,0)</f>
        <v>0</v>
      </c>
      <c r="L440" s="61"/>
      <c r="M440" s="61"/>
      <c r="N440" s="61"/>
    </row>
    <row r="441" spans="1:14" ht="21.75" hidden="1" customHeight="1" x14ac:dyDescent="0.4">
      <c r="A441" s="55"/>
      <c r="B441" s="56"/>
      <c r="C441" s="56"/>
      <c r="D441" s="73"/>
      <c r="E441" s="77"/>
      <c r="F441" s="75"/>
      <c r="G441" s="99" t="s">
        <v>184</v>
      </c>
      <c r="H441" s="66" t="s">
        <v>16</v>
      </c>
      <c r="I441" s="200">
        <f ca="1">IFERROR(__xludf.DUMMYFUNCTION("IMPORTRANGE(""https://docs.google.com/spreadsheets/d/1C3CXT74ZlgGe6_JY_1olB1XN4rF0dxEuIIF-xsYjHgg/edit?usp=sharing"",""งบกองทุน!dr33"")"),22)</f>
        <v>22</v>
      </c>
      <c r="J441" s="68">
        <v>0</v>
      </c>
      <c r="K441" s="49">
        <f t="shared" ca="1" si="97"/>
        <v>0</v>
      </c>
      <c r="L441" s="61"/>
      <c r="M441" s="61"/>
      <c r="N441" s="61"/>
    </row>
    <row r="442" spans="1:14" ht="21.75" customHeight="1" x14ac:dyDescent="0.4">
      <c r="A442" s="55"/>
      <c r="B442" s="56"/>
      <c r="C442" s="56"/>
      <c r="D442" s="73"/>
      <c r="E442" s="74" t="s">
        <v>35</v>
      </c>
      <c r="F442" s="75"/>
      <c r="G442" s="76"/>
      <c r="H442" s="66"/>
      <c r="I442" s="67"/>
      <c r="J442" s="68">
        <v>0</v>
      </c>
      <c r="K442" s="49"/>
      <c r="L442" s="61"/>
      <c r="M442" s="61"/>
      <c r="N442" s="61"/>
    </row>
    <row r="443" spans="1:14" ht="21.75" customHeight="1" x14ac:dyDescent="0.4">
      <c r="A443" s="292"/>
      <c r="B443" s="293"/>
      <c r="C443" s="293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309"/>
      <c r="L443" s="300"/>
      <c r="M443" s="300"/>
      <c r="N443" s="300"/>
    </row>
    <row r="444" spans="1:14" ht="21.75" customHeight="1" x14ac:dyDescent="0.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8">SUM(I453,I455)</f>
        <v>0</v>
      </c>
      <c r="J444" s="257">
        <f t="shared" si="98"/>
        <v>0</v>
      </c>
      <c r="K444" s="258">
        <f ca="1">IF(I444&gt;0,J444*100/I444,0)</f>
        <v>0</v>
      </c>
      <c r="L444" s="259">
        <f t="shared" ref="L444:M444" ca="1" si="99">SUM(L445:L446)</f>
        <v>0</v>
      </c>
      <c r="M444" s="259">
        <f t="shared" si="99"/>
        <v>0</v>
      </c>
      <c r="N444" s="259">
        <f t="shared" ref="N444:N448" ca="1" si="100">+IF(L444&gt;0,M444*100/L444,0)</f>
        <v>0</v>
      </c>
    </row>
    <row r="445" spans="1:14" ht="21.75" customHeight="1" x14ac:dyDescent="0.4">
      <c r="A445" s="42"/>
      <c r="B445" s="43"/>
      <c r="C445" s="43" t="s">
        <v>17</v>
      </c>
      <c r="D445" s="44" t="s">
        <v>18</v>
      </c>
      <c r="E445" s="45"/>
      <c r="F445" s="45"/>
      <c r="G445" s="46" t="s">
        <v>19</v>
      </c>
      <c r="H445" s="47" t="s">
        <v>20</v>
      </c>
      <c r="I445" s="48" t="s">
        <v>21</v>
      </c>
      <c r="J445" s="48"/>
      <c r="K445" s="49"/>
      <c r="L445" s="50">
        <v>0</v>
      </c>
      <c r="M445" s="53">
        <v>0</v>
      </c>
      <c r="N445" s="53">
        <f t="shared" si="100"/>
        <v>0</v>
      </c>
    </row>
    <row r="446" spans="1:14" ht="21.75" customHeight="1" x14ac:dyDescent="0.4">
      <c r="A446" s="42"/>
      <c r="B446" s="43"/>
      <c r="C446" s="43"/>
      <c r="D446" s="51"/>
      <c r="E446" s="45"/>
      <c r="F446" s="45" t="s">
        <v>21</v>
      </c>
      <c r="G446" s="46" t="s">
        <v>22</v>
      </c>
      <c r="H446" s="47" t="s">
        <v>20</v>
      </c>
      <c r="I446" s="48"/>
      <c r="J446" s="48"/>
      <c r="K446" s="49"/>
      <c r="L446" s="50">
        <f t="shared" ref="L446:M446" ca="1" si="101">SUM(L447:L448)</f>
        <v>0</v>
      </c>
      <c r="M446" s="53">
        <f t="shared" si="101"/>
        <v>0</v>
      </c>
      <c r="N446" s="53">
        <f t="shared" ca="1" si="100"/>
        <v>0</v>
      </c>
    </row>
    <row r="447" spans="1:14" ht="21.75" customHeight="1" x14ac:dyDescent="0.4">
      <c r="A447" s="42"/>
      <c r="B447" s="43"/>
      <c r="C447" s="43"/>
      <c r="D447" s="51"/>
      <c r="E447" s="45"/>
      <c r="F447" s="45"/>
      <c r="G447" s="52" t="s">
        <v>110</v>
      </c>
      <c r="H447" s="47" t="s">
        <v>20</v>
      </c>
      <c r="I447" s="48"/>
      <c r="J447" s="48"/>
      <c r="K447" s="49"/>
      <c r="L447" s="53">
        <f ca="1">IFERROR(__xludf.DUMMYFUNCTION("IMPORTRANGE(""https://docs.google.com/spreadsheets/d/1C3CXT74ZlgGe6_JY_1olB1XN4rF0dxEuIIF-xsYjHgg/edit?usp=sharing"",""งบกองทุน!dt33"")"),0)</f>
        <v>0</v>
      </c>
      <c r="M447" s="53">
        <v>0</v>
      </c>
      <c r="N447" s="53">
        <f t="shared" ca="1" si="100"/>
        <v>0</v>
      </c>
    </row>
    <row r="448" spans="1:14" ht="21.75" customHeight="1" x14ac:dyDescent="0.4">
      <c r="A448" s="42"/>
      <c r="B448" s="43"/>
      <c r="C448" s="43"/>
      <c r="D448" s="51"/>
      <c r="E448" s="45"/>
      <c r="F448" s="45"/>
      <c r="G448" s="52" t="s">
        <v>111</v>
      </c>
      <c r="H448" s="47" t="s">
        <v>20</v>
      </c>
      <c r="I448" s="48"/>
      <c r="J448" s="48"/>
      <c r="K448" s="49"/>
      <c r="L448" s="53">
        <f ca="1">IFERROR(__xludf.DUMMYFUNCTION("IMPORTRANGE(""https://docs.google.com/spreadsheets/d/1C3CXT74ZlgGe6_JY_1olB1XN4rF0dxEuIIF-xsYjHgg/edit?usp=sharing"",""งบกองทุน!du33"")"),0)</f>
        <v>0</v>
      </c>
      <c r="M448" s="53">
        <f>SUM(M449:M452)</f>
        <v>0</v>
      </c>
      <c r="N448" s="53">
        <f t="shared" ca="1" si="100"/>
        <v>0</v>
      </c>
    </row>
    <row r="449" spans="1:14" ht="21.75" customHeight="1" x14ac:dyDescent="0.4">
      <c r="A449" s="230"/>
      <c r="B449" s="231"/>
      <c r="C449" s="43"/>
      <c r="D449" s="232"/>
      <c r="E449" s="45"/>
      <c r="F449" s="45"/>
      <c r="G449" s="46" t="s">
        <v>112</v>
      </c>
      <c r="H449" s="47" t="s">
        <v>20</v>
      </c>
      <c r="I449" s="67"/>
      <c r="J449" s="67"/>
      <c r="K449" s="233"/>
      <c r="L449" s="53"/>
      <c r="M449" s="54">
        <v>0</v>
      </c>
      <c r="N449" s="53"/>
    </row>
    <row r="450" spans="1:14" ht="21.75" customHeight="1" x14ac:dyDescent="0.4">
      <c r="A450" s="230"/>
      <c r="B450" s="231"/>
      <c r="C450" s="43"/>
      <c r="D450" s="232"/>
      <c r="E450" s="45"/>
      <c r="F450" s="45"/>
      <c r="G450" s="46" t="s">
        <v>113</v>
      </c>
      <c r="H450" s="47" t="s">
        <v>20</v>
      </c>
      <c r="I450" s="67"/>
      <c r="J450" s="67"/>
      <c r="K450" s="233"/>
      <c r="L450" s="53"/>
      <c r="M450" s="54">
        <v>0</v>
      </c>
      <c r="N450" s="53"/>
    </row>
    <row r="451" spans="1:14" ht="21.75" customHeight="1" x14ac:dyDescent="0.4">
      <c r="A451" s="230"/>
      <c r="B451" s="231"/>
      <c r="C451" s="43"/>
      <c r="D451" s="232"/>
      <c r="E451" s="45"/>
      <c r="F451" s="45"/>
      <c r="G451" s="46" t="s">
        <v>114</v>
      </c>
      <c r="H451" s="47" t="s">
        <v>20</v>
      </c>
      <c r="I451" s="67"/>
      <c r="J451" s="67"/>
      <c r="K451" s="233"/>
      <c r="L451" s="53"/>
      <c r="M451" s="54">
        <v>0</v>
      </c>
      <c r="N451" s="53"/>
    </row>
    <row r="452" spans="1:14" ht="21.75" customHeight="1" x14ac:dyDescent="0.4">
      <c r="A452" s="230"/>
      <c r="B452" s="231"/>
      <c r="C452" s="43"/>
      <c r="D452" s="232"/>
      <c r="E452" s="45"/>
      <c r="F452" s="45"/>
      <c r="G452" s="46" t="s">
        <v>115</v>
      </c>
      <c r="H452" s="47" t="s">
        <v>20</v>
      </c>
      <c r="I452" s="67"/>
      <c r="J452" s="67"/>
      <c r="K452" s="233"/>
      <c r="L452" s="53"/>
      <c r="M452" s="54">
        <v>0</v>
      </c>
      <c r="N452" s="53"/>
    </row>
    <row r="453" spans="1:14" ht="21.75" customHeight="1" x14ac:dyDescent="0.4">
      <c r="A453" s="230"/>
      <c r="B453" s="231"/>
      <c r="C453" s="231"/>
      <c r="D453" s="310"/>
      <c r="E453" s="311"/>
      <c r="F453" s="311" t="s">
        <v>186</v>
      </c>
      <c r="G453" s="312"/>
      <c r="H453" s="313" t="s">
        <v>103</v>
      </c>
      <c r="I453" s="67">
        <f ca="1">IFERROR(__xludf.DUMMYFUNCTION("IMPORTRANGE(""https://docs.google.com/spreadsheets/d/1C3CXT74ZlgGe6_JY_1olB1XN4rF0dxEuIIF-xsYjHgg/edit?usp=sharing"",""งบกองทุน!dw33"")"),0)</f>
        <v>0</v>
      </c>
      <c r="J453" s="67">
        <v>0</v>
      </c>
      <c r="K453" s="233">
        <f t="shared" ref="K453:K457" ca="1" si="102">IF(I453&gt;0,J453*100/I453,0)</f>
        <v>0</v>
      </c>
      <c r="L453" s="53"/>
      <c r="M453" s="53"/>
      <c r="N453" s="53"/>
    </row>
    <row r="454" spans="1:14" ht="21.75" customHeight="1" x14ac:dyDescent="0.4">
      <c r="A454" s="230"/>
      <c r="B454" s="231"/>
      <c r="C454" s="231"/>
      <c r="D454" s="310"/>
      <c r="E454" s="311"/>
      <c r="F454" s="311"/>
      <c r="G454" s="312"/>
      <c r="H454" s="313" t="s">
        <v>15</v>
      </c>
      <c r="I454" s="67">
        <f ca="1">IFERROR(__xludf.DUMMYFUNCTION("IMPORTRANGE(""https://docs.google.com/spreadsheets/d/1C3CXT74ZlgGe6_JY_1olB1XN4rF0dxEuIIF-xsYjHgg/edit?usp=sharing"",""งบกองทุน!dx33"")"),0)</f>
        <v>0</v>
      </c>
      <c r="J454" s="67">
        <v>0</v>
      </c>
      <c r="K454" s="233">
        <f t="shared" ca="1" si="102"/>
        <v>0</v>
      </c>
      <c r="L454" s="53"/>
      <c r="M454" s="53"/>
      <c r="N454" s="53"/>
    </row>
    <row r="455" spans="1:14" ht="21.75" customHeight="1" x14ac:dyDescent="0.4">
      <c r="A455" s="230"/>
      <c r="B455" s="231"/>
      <c r="C455" s="231"/>
      <c r="D455" s="310"/>
      <c r="E455" s="311"/>
      <c r="F455" s="311" t="s">
        <v>187</v>
      </c>
      <c r="G455" s="312"/>
      <c r="H455" s="313" t="s">
        <v>103</v>
      </c>
      <c r="I455" s="67">
        <f ca="1">IFERROR(__xludf.DUMMYFUNCTION("IMPORTRANGE(""https://docs.google.com/spreadsheets/d/1C3CXT74ZlgGe6_JY_1olB1XN4rF0dxEuIIF-xsYjHgg/edit?usp=sharing"",""งบกองทุน!dy33"")"),0)</f>
        <v>0</v>
      </c>
      <c r="J455" s="67">
        <v>0</v>
      </c>
      <c r="K455" s="233">
        <f t="shared" ca="1" si="102"/>
        <v>0</v>
      </c>
      <c r="L455" s="53"/>
      <c r="M455" s="53"/>
      <c r="N455" s="53"/>
    </row>
    <row r="456" spans="1:14" ht="21.75" customHeight="1" x14ac:dyDescent="0.4">
      <c r="A456" s="230"/>
      <c r="B456" s="231"/>
      <c r="C456" s="231"/>
      <c r="D456" s="310"/>
      <c r="E456" s="311"/>
      <c r="F456" s="311"/>
      <c r="G456" s="312"/>
      <c r="H456" s="313" t="s">
        <v>15</v>
      </c>
      <c r="I456" s="67">
        <f ca="1">IFERROR(__xludf.DUMMYFUNCTION("IMPORTRANGE(""https://docs.google.com/spreadsheets/d/1C3CXT74ZlgGe6_JY_1olB1XN4rF0dxEuIIF-xsYjHgg/edit?usp=sharing"",""งบกองทุน!dz33"")"),0)</f>
        <v>0</v>
      </c>
      <c r="J456" s="67">
        <v>0</v>
      </c>
      <c r="K456" s="233">
        <f t="shared" ca="1" si="102"/>
        <v>0</v>
      </c>
      <c r="L456" s="53"/>
      <c r="M456" s="53"/>
      <c r="N456" s="53"/>
    </row>
    <row r="457" spans="1:14" ht="21.75" customHeight="1" x14ac:dyDescent="0.4">
      <c r="A457" s="222"/>
      <c r="B457" s="223">
        <v>8</v>
      </c>
      <c r="C457" s="224" t="s">
        <v>188</v>
      </c>
      <c r="D457" s="224"/>
      <c r="E457" s="224"/>
      <c r="F457" s="224"/>
      <c r="G457" s="225"/>
      <c r="H457" s="226" t="s">
        <v>16</v>
      </c>
      <c r="I457" s="227">
        <f ca="1">I466</f>
        <v>650</v>
      </c>
      <c r="J457" s="227">
        <f>+J466</f>
        <v>0</v>
      </c>
      <c r="K457" s="228">
        <f t="shared" ca="1" si="102"/>
        <v>0</v>
      </c>
      <c r="L457" s="229">
        <f t="shared" ref="L457:M457" ca="1" si="103">SUM(L458:L459)</f>
        <v>126880</v>
      </c>
      <c r="M457" s="229">
        <f t="shared" si="103"/>
        <v>0</v>
      </c>
      <c r="N457" s="229">
        <f t="shared" ref="N457:N461" ca="1" si="104">+IF(L457&gt;0,M457*100/L457,0)</f>
        <v>0</v>
      </c>
    </row>
    <row r="458" spans="1:14" ht="21.75" customHeight="1" x14ac:dyDescent="0.4">
      <c r="A458" s="42"/>
      <c r="B458" s="43"/>
      <c r="C458" s="43" t="s">
        <v>17</v>
      </c>
      <c r="D458" s="44" t="s">
        <v>18</v>
      </c>
      <c r="E458" s="45"/>
      <c r="F458" s="45"/>
      <c r="G458" s="46" t="s">
        <v>19</v>
      </c>
      <c r="H458" s="47" t="s">
        <v>20</v>
      </c>
      <c r="I458" s="48" t="s">
        <v>21</v>
      </c>
      <c r="J458" s="48"/>
      <c r="K458" s="49"/>
      <c r="L458" s="50">
        <v>0</v>
      </c>
      <c r="M458" s="53">
        <v>0</v>
      </c>
      <c r="N458" s="53">
        <f t="shared" si="104"/>
        <v>0</v>
      </c>
    </row>
    <row r="459" spans="1:14" ht="21.75" customHeight="1" x14ac:dyDescent="0.4">
      <c r="A459" s="42"/>
      <c r="B459" s="43"/>
      <c r="C459" s="43"/>
      <c r="D459" s="51"/>
      <c r="E459" s="45"/>
      <c r="F459" s="45" t="s">
        <v>21</v>
      </c>
      <c r="G459" s="46" t="s">
        <v>22</v>
      </c>
      <c r="H459" s="47" t="s">
        <v>20</v>
      </c>
      <c r="I459" s="48"/>
      <c r="J459" s="48"/>
      <c r="K459" s="49"/>
      <c r="L459" s="50">
        <f t="shared" ref="L459:M459" ca="1" si="105">SUM(L460:L461)</f>
        <v>126880</v>
      </c>
      <c r="M459" s="53">
        <f t="shared" si="105"/>
        <v>0</v>
      </c>
      <c r="N459" s="53">
        <f t="shared" ca="1" si="104"/>
        <v>0</v>
      </c>
    </row>
    <row r="460" spans="1:14" ht="21.75" customHeight="1" x14ac:dyDescent="0.4">
      <c r="A460" s="42"/>
      <c r="B460" s="43"/>
      <c r="C460" s="43"/>
      <c r="D460" s="51"/>
      <c r="E460" s="45"/>
      <c r="F460" s="45"/>
      <c r="G460" s="52" t="s">
        <v>110</v>
      </c>
      <c r="H460" s="47" t="s">
        <v>20</v>
      </c>
      <c r="I460" s="48"/>
      <c r="J460" s="48"/>
      <c r="K460" s="49"/>
      <c r="L460" s="53">
        <f ca="1">IFERROR(__xludf.DUMMYFUNCTION("IMPORTRANGE(""https://docs.google.com/spreadsheets/d/1C3CXT74ZlgGe6_JY_1olB1XN4rF0dxEuIIF-xsYjHgg/edit?usp=sharing"",""งบกองทุน!Eb33"")"),0)</f>
        <v>0</v>
      </c>
      <c r="M460" s="53">
        <v>0</v>
      </c>
      <c r="N460" s="53">
        <f t="shared" ca="1" si="104"/>
        <v>0</v>
      </c>
    </row>
    <row r="461" spans="1:14" ht="21.75" customHeight="1" x14ac:dyDescent="0.4">
      <c r="A461" s="42"/>
      <c r="B461" s="43"/>
      <c r="C461" s="43"/>
      <c r="D461" s="51"/>
      <c r="E461" s="45"/>
      <c r="F461" s="45"/>
      <c r="G461" s="52" t="s">
        <v>111</v>
      </c>
      <c r="H461" s="47" t="s">
        <v>20</v>
      </c>
      <c r="I461" s="48"/>
      <c r="J461" s="48"/>
      <c r="K461" s="49"/>
      <c r="L461" s="53">
        <f ca="1">IFERROR(__xludf.DUMMYFUNCTION("IMPORTRANGE(""https://docs.google.com/spreadsheets/d/1C3CXT74ZlgGe6_JY_1olB1XN4rF0dxEuIIF-xsYjHgg/edit?usp=sharing"",""งบกองทุน!Ec33"")"),126880)</f>
        <v>126880</v>
      </c>
      <c r="M461" s="53">
        <f>SUM(M462:M465)</f>
        <v>0</v>
      </c>
      <c r="N461" s="53">
        <f t="shared" ca="1" si="104"/>
        <v>0</v>
      </c>
    </row>
    <row r="462" spans="1:14" ht="21.75" customHeight="1" x14ac:dyDescent="0.4">
      <c r="A462" s="230"/>
      <c r="B462" s="231"/>
      <c r="C462" s="43"/>
      <c r="D462" s="232"/>
      <c r="E462" s="45"/>
      <c r="F462" s="45"/>
      <c r="G462" s="46" t="s">
        <v>112</v>
      </c>
      <c r="H462" s="47" t="s">
        <v>20</v>
      </c>
      <c r="I462" s="67"/>
      <c r="J462" s="67"/>
      <c r="K462" s="233"/>
      <c r="L462" s="53"/>
      <c r="M462" s="53">
        <v>0</v>
      </c>
      <c r="N462" s="53"/>
    </row>
    <row r="463" spans="1:14" ht="21.75" customHeight="1" x14ac:dyDescent="0.4">
      <c r="A463" s="230"/>
      <c r="B463" s="231"/>
      <c r="C463" s="43"/>
      <c r="D463" s="232"/>
      <c r="E463" s="45"/>
      <c r="F463" s="45"/>
      <c r="G463" s="46" t="s">
        <v>113</v>
      </c>
      <c r="H463" s="47" t="s">
        <v>20</v>
      </c>
      <c r="I463" s="67"/>
      <c r="J463" s="67"/>
      <c r="K463" s="233"/>
      <c r="L463" s="53"/>
      <c r="M463" s="53">
        <v>0</v>
      </c>
      <c r="N463" s="53"/>
    </row>
    <row r="464" spans="1:14" ht="21.75" customHeight="1" x14ac:dyDescent="0.4">
      <c r="A464" s="230"/>
      <c r="B464" s="231"/>
      <c r="C464" s="43"/>
      <c r="D464" s="232"/>
      <c r="E464" s="45"/>
      <c r="F464" s="45"/>
      <c r="G464" s="46" t="s">
        <v>114</v>
      </c>
      <c r="H464" s="47" t="s">
        <v>20</v>
      </c>
      <c r="I464" s="67"/>
      <c r="J464" s="67"/>
      <c r="K464" s="233"/>
      <c r="L464" s="53"/>
      <c r="M464" s="54">
        <v>0</v>
      </c>
      <c r="N464" s="53"/>
    </row>
    <row r="465" spans="1:14" ht="21.75" customHeight="1" x14ac:dyDescent="0.4">
      <c r="A465" s="230"/>
      <c r="B465" s="231"/>
      <c r="C465" s="43"/>
      <c r="D465" s="232"/>
      <c r="E465" s="45"/>
      <c r="F465" s="45"/>
      <c r="G465" s="46" t="s">
        <v>115</v>
      </c>
      <c r="H465" s="47" t="s">
        <v>20</v>
      </c>
      <c r="I465" s="67"/>
      <c r="J465" s="67"/>
      <c r="K465" s="233"/>
      <c r="L465" s="53"/>
      <c r="M465" s="54">
        <v>0</v>
      </c>
      <c r="N465" s="53"/>
    </row>
    <row r="466" spans="1:14" ht="21.75" customHeight="1" x14ac:dyDescent="0.4">
      <c r="A466" s="55"/>
      <c r="B466" s="56"/>
      <c r="C466" s="56"/>
      <c r="D466" s="75"/>
      <c r="E466" s="74" t="s">
        <v>21</v>
      </c>
      <c r="F466" s="260" t="s">
        <v>189</v>
      </c>
      <c r="G466" s="240"/>
      <c r="H466" s="314" t="s">
        <v>16</v>
      </c>
      <c r="I466" s="265">
        <f ca="1">IFERROR(__xludf.DUMMYFUNCTION("IMPORTRANGE(""https://docs.google.com/spreadsheets/d/1C3CXT74ZlgGe6_JY_1olB1XN4rF0dxEuIIF-xsYjHgg/edit?usp=sharing"",""งบกองทุน!Ed33"")"),650)</f>
        <v>650</v>
      </c>
      <c r="J466" s="265">
        <f>+J469+J470+J471+J472</f>
        <v>0</v>
      </c>
      <c r="K466" s="80">
        <f ca="1">IF(I466&gt;0,J466*100/I466,0)</f>
        <v>0</v>
      </c>
      <c r="L466" s="61"/>
      <c r="M466" s="61"/>
      <c r="N466" s="61"/>
    </row>
    <row r="467" spans="1:14" ht="21.75" customHeight="1" x14ac:dyDescent="0.4">
      <c r="A467" s="55"/>
      <c r="B467" s="56"/>
      <c r="C467" s="56"/>
      <c r="D467" s="75"/>
      <c r="E467" s="75"/>
      <c r="F467" s="74" t="s">
        <v>190</v>
      </c>
      <c r="G467" s="76"/>
      <c r="H467" s="315"/>
      <c r="I467" s="48"/>
      <c r="J467" s="48"/>
      <c r="K467" s="49"/>
      <c r="L467" s="61"/>
      <c r="M467" s="61"/>
      <c r="N467" s="61"/>
    </row>
    <row r="468" spans="1:14" ht="21.75" customHeight="1" x14ac:dyDescent="0.4">
      <c r="A468" s="55"/>
      <c r="B468" s="56"/>
      <c r="C468" s="56"/>
      <c r="D468" s="75"/>
      <c r="E468" s="74" t="s">
        <v>21</v>
      </c>
      <c r="F468" s="74" t="s">
        <v>191</v>
      </c>
      <c r="G468" s="76"/>
      <c r="H468" s="315" t="s">
        <v>57</v>
      </c>
      <c r="I468" s="48">
        <v>0</v>
      </c>
      <c r="J468" s="68">
        <v>0</v>
      </c>
      <c r="K468" s="49">
        <f t="shared" ref="K468:K472" si="106">IF(I468&gt;0,J468*100/I468,0)</f>
        <v>0</v>
      </c>
      <c r="L468" s="61"/>
      <c r="M468" s="61"/>
      <c r="N468" s="61"/>
    </row>
    <row r="469" spans="1:14" ht="21.75" customHeight="1" x14ac:dyDescent="0.4">
      <c r="A469" s="55"/>
      <c r="B469" s="56"/>
      <c r="C469" s="56"/>
      <c r="D469" s="75"/>
      <c r="E469" s="75"/>
      <c r="F469" s="74" t="s">
        <v>192</v>
      </c>
      <c r="G469" s="76"/>
      <c r="H469" s="315" t="s">
        <v>16</v>
      </c>
      <c r="I469" s="48">
        <v>0</v>
      </c>
      <c r="J469" s="68">
        <v>0</v>
      </c>
      <c r="K469" s="49">
        <f t="shared" si="106"/>
        <v>0</v>
      </c>
      <c r="L469" s="61"/>
      <c r="M469" s="61"/>
      <c r="N469" s="61"/>
    </row>
    <row r="470" spans="1:14" ht="21.75" customHeight="1" x14ac:dyDescent="0.4">
      <c r="A470" s="55"/>
      <c r="B470" s="56"/>
      <c r="C470" s="56"/>
      <c r="D470" s="75"/>
      <c r="E470" s="75"/>
      <c r="F470" s="74" t="s">
        <v>193</v>
      </c>
      <c r="G470" s="76"/>
      <c r="H470" s="315" t="s">
        <v>16</v>
      </c>
      <c r="I470" s="48">
        <v>0</v>
      </c>
      <c r="J470" s="68">
        <v>0</v>
      </c>
      <c r="K470" s="49">
        <f t="shared" si="106"/>
        <v>0</v>
      </c>
      <c r="L470" s="61"/>
      <c r="M470" s="61"/>
      <c r="N470" s="61"/>
    </row>
    <row r="471" spans="1:14" ht="21.75" customHeight="1" x14ac:dyDescent="0.4">
      <c r="A471" s="55"/>
      <c r="B471" s="56"/>
      <c r="C471" s="56"/>
      <c r="D471" s="75"/>
      <c r="E471" s="75"/>
      <c r="F471" s="74" t="s">
        <v>194</v>
      </c>
      <c r="G471" s="266"/>
      <c r="H471" s="315" t="s">
        <v>16</v>
      </c>
      <c r="I471" s="48">
        <v>0</v>
      </c>
      <c r="J471" s="68">
        <v>0</v>
      </c>
      <c r="K471" s="49">
        <f t="shared" si="106"/>
        <v>0</v>
      </c>
      <c r="L471" s="61"/>
      <c r="M471" s="61"/>
      <c r="N471" s="61"/>
    </row>
    <row r="472" spans="1:14" ht="21.75" customHeight="1" x14ac:dyDescent="0.4">
      <c r="A472" s="55"/>
      <c r="B472" s="56"/>
      <c r="C472" s="56"/>
      <c r="D472" s="75"/>
      <c r="E472" s="75"/>
      <c r="F472" s="74" t="s">
        <v>195</v>
      </c>
      <c r="G472" s="266"/>
      <c r="H472" s="315" t="s">
        <v>16</v>
      </c>
      <c r="I472" s="48">
        <v>0</v>
      </c>
      <c r="J472" s="68">
        <v>0</v>
      </c>
      <c r="K472" s="49">
        <f t="shared" si="106"/>
        <v>0</v>
      </c>
      <c r="L472" s="61"/>
      <c r="M472" s="61"/>
      <c r="N472" s="61"/>
    </row>
    <row r="473" spans="1:14" ht="21.75" customHeight="1" x14ac:dyDescent="0.4">
      <c r="A473" s="222"/>
      <c r="B473" s="223">
        <v>9</v>
      </c>
      <c r="C473" s="224" t="s">
        <v>196</v>
      </c>
      <c r="D473" s="224"/>
      <c r="E473" s="224"/>
      <c r="F473" s="224"/>
      <c r="G473" s="225"/>
      <c r="H473" s="226" t="s">
        <v>16</v>
      </c>
      <c r="I473" s="227">
        <f ca="1">I484</f>
        <v>0</v>
      </c>
      <c r="J473" s="227">
        <f ca="1">J488</f>
        <v>0</v>
      </c>
      <c r="K473" s="228">
        <f ca="1">IF(I473&gt;0,J473*100/I473,0)</f>
        <v>0</v>
      </c>
      <c r="L473" s="229">
        <f ca="1">SUM(L474,L475)</f>
        <v>0</v>
      </c>
      <c r="M473" s="229">
        <f>SUM(M474:M475)</f>
        <v>0</v>
      </c>
      <c r="N473" s="229">
        <f t="shared" ref="N473:N477" ca="1" si="107">+IF(L473&gt;0,M473*100/L473,0)</f>
        <v>0</v>
      </c>
    </row>
    <row r="474" spans="1:14" ht="21.75" customHeight="1" x14ac:dyDescent="0.4">
      <c r="A474" s="42"/>
      <c r="B474" s="43"/>
      <c r="C474" s="43" t="s">
        <v>17</v>
      </c>
      <c r="D474" s="44" t="s">
        <v>18</v>
      </c>
      <c r="E474" s="45"/>
      <c r="F474" s="45"/>
      <c r="G474" s="46" t="s">
        <v>19</v>
      </c>
      <c r="H474" s="47" t="s">
        <v>20</v>
      </c>
      <c r="I474" s="67" t="s">
        <v>21</v>
      </c>
      <c r="J474" s="67"/>
      <c r="K474" s="233"/>
      <c r="L474" s="50">
        <v>0</v>
      </c>
      <c r="M474" s="53">
        <v>0</v>
      </c>
      <c r="N474" s="53">
        <f t="shared" si="107"/>
        <v>0</v>
      </c>
    </row>
    <row r="475" spans="1:14" ht="21.75" customHeight="1" x14ac:dyDescent="0.4">
      <c r="A475" s="42"/>
      <c r="B475" s="43"/>
      <c r="C475" s="43"/>
      <c r="D475" s="51"/>
      <c r="E475" s="45"/>
      <c r="F475" s="45" t="s">
        <v>21</v>
      </c>
      <c r="G475" s="46" t="s">
        <v>22</v>
      </c>
      <c r="H475" s="47" t="s">
        <v>20</v>
      </c>
      <c r="I475" s="67"/>
      <c r="J475" s="67"/>
      <c r="K475" s="233"/>
      <c r="L475" s="50">
        <f t="shared" ref="L475:M475" ca="1" si="108">SUM(L476:L477)</f>
        <v>0</v>
      </c>
      <c r="M475" s="53">
        <f t="shared" si="108"/>
        <v>0</v>
      </c>
      <c r="N475" s="53">
        <f t="shared" ca="1" si="107"/>
        <v>0</v>
      </c>
    </row>
    <row r="476" spans="1:14" ht="21.75" customHeight="1" x14ac:dyDescent="0.4">
      <c r="A476" s="42"/>
      <c r="B476" s="43"/>
      <c r="C476" s="43"/>
      <c r="D476" s="51"/>
      <c r="E476" s="45"/>
      <c r="F476" s="45"/>
      <c r="G476" s="52" t="s">
        <v>110</v>
      </c>
      <c r="H476" s="47" t="s">
        <v>20</v>
      </c>
      <c r="I476" s="67"/>
      <c r="J476" s="67"/>
      <c r="K476" s="233"/>
      <c r="L476" s="53">
        <f ca="1">IFERROR(__xludf.DUMMYFUNCTION("IMPORTRANGE(""https://docs.google.com/spreadsheets/d/1C3CXT74ZlgGe6_JY_1olB1XN4rF0dxEuIIF-xsYjHgg/edit?usp=sharing"",""งบกองทุน!Ek33"")"),0)</f>
        <v>0</v>
      </c>
      <c r="M476" s="53">
        <v>0</v>
      </c>
      <c r="N476" s="53">
        <f t="shared" ca="1" si="107"/>
        <v>0</v>
      </c>
    </row>
    <row r="477" spans="1:14" ht="21.75" customHeight="1" x14ac:dyDescent="0.4">
      <c r="A477" s="42"/>
      <c r="B477" s="43"/>
      <c r="C477" s="43"/>
      <c r="D477" s="51"/>
      <c r="E477" s="45"/>
      <c r="F477" s="45"/>
      <c r="G477" s="52" t="s">
        <v>111</v>
      </c>
      <c r="H477" s="47" t="s">
        <v>20</v>
      </c>
      <c r="I477" s="67"/>
      <c r="J477" s="67"/>
      <c r="K477" s="233"/>
      <c r="L477" s="53">
        <f ca="1">IFERROR(__xludf.DUMMYFUNCTION("IMPORTRANGE(""https://docs.google.com/spreadsheets/d/1C3CXT74ZlgGe6_JY_1olB1XN4rF0dxEuIIF-xsYjHgg/edit?usp=sharing"",""งบกองทุน!El33"")"),0)</f>
        <v>0</v>
      </c>
      <c r="M477" s="53">
        <f>SUM(M478:M481)</f>
        <v>0</v>
      </c>
      <c r="N477" s="53">
        <f t="shared" ca="1" si="107"/>
        <v>0</v>
      </c>
    </row>
    <row r="478" spans="1:14" ht="21.75" customHeight="1" x14ac:dyDescent="0.4">
      <c r="A478" s="230"/>
      <c r="B478" s="231"/>
      <c r="C478" s="43"/>
      <c r="D478" s="232"/>
      <c r="E478" s="45"/>
      <c r="F478" s="45"/>
      <c r="G478" s="46" t="s">
        <v>112</v>
      </c>
      <c r="H478" s="47" t="s">
        <v>20</v>
      </c>
      <c r="I478" s="67"/>
      <c r="J478" s="67"/>
      <c r="K478" s="233"/>
      <c r="L478" s="53"/>
      <c r="M478" s="53">
        <v>0</v>
      </c>
      <c r="N478" s="53"/>
    </row>
    <row r="479" spans="1:14" ht="21.75" customHeight="1" x14ac:dyDescent="0.4">
      <c r="A479" s="230"/>
      <c r="B479" s="231"/>
      <c r="C479" s="43"/>
      <c r="D479" s="232"/>
      <c r="E479" s="45"/>
      <c r="F479" s="45"/>
      <c r="G479" s="46" t="s">
        <v>113</v>
      </c>
      <c r="H479" s="47" t="s">
        <v>20</v>
      </c>
      <c r="I479" s="67"/>
      <c r="J479" s="67"/>
      <c r="K479" s="233"/>
      <c r="L479" s="53"/>
      <c r="M479" s="53">
        <v>0</v>
      </c>
      <c r="N479" s="53"/>
    </row>
    <row r="480" spans="1:14" ht="21.75" customHeight="1" x14ac:dyDescent="0.4">
      <c r="A480" s="230"/>
      <c r="B480" s="231"/>
      <c r="C480" s="43"/>
      <c r="D480" s="232"/>
      <c r="E480" s="45"/>
      <c r="F480" s="45"/>
      <c r="G480" s="46" t="s">
        <v>114</v>
      </c>
      <c r="H480" s="47" t="s">
        <v>20</v>
      </c>
      <c r="I480" s="67"/>
      <c r="J480" s="67"/>
      <c r="K480" s="233"/>
      <c r="L480" s="53"/>
      <c r="M480" s="53">
        <v>0</v>
      </c>
      <c r="N480" s="53"/>
    </row>
    <row r="481" spans="1:14" ht="21.75" customHeight="1" x14ac:dyDescent="0.4">
      <c r="A481" s="230"/>
      <c r="B481" s="231"/>
      <c r="C481" s="43"/>
      <c r="D481" s="232"/>
      <c r="E481" s="45"/>
      <c r="F481" s="45"/>
      <c r="G481" s="46" t="s">
        <v>115</v>
      </c>
      <c r="H481" s="47" t="s">
        <v>20</v>
      </c>
      <c r="I481" s="67"/>
      <c r="J481" s="67"/>
      <c r="K481" s="233"/>
      <c r="L481" s="53"/>
      <c r="M481" s="53">
        <v>0</v>
      </c>
      <c r="N481" s="53"/>
    </row>
    <row r="482" spans="1:14" ht="21.75" customHeight="1" x14ac:dyDescent="0.4">
      <c r="A482" s="316"/>
      <c r="B482" s="51"/>
      <c r="C482" s="43"/>
      <c r="D482" s="155"/>
      <c r="E482" s="74" t="s">
        <v>197</v>
      </c>
      <c r="F482" s="75"/>
      <c r="G482" s="76"/>
      <c r="H482" s="60" t="s">
        <v>15</v>
      </c>
      <c r="I482" s="200">
        <f ca="1">IFERROR(__xludf.DUMMYFUNCTION("IMPORTRANGE(""https://docs.google.com/spreadsheets/d/1C3CXT74ZlgGe6_JY_1olB1XN4rF0dxEuIIF-xsYjHgg/edit?usp=sharing"",""งบกองทุน!Em33"")"),0)</f>
        <v>0</v>
      </c>
      <c r="J482" s="67">
        <f ca="1">IFERROR(__xludf.DUMMYFUNCTION("IMPORTRANGE(""https://docs.google.com/spreadsheets/d/1AGHcLOeeYFL3K4b9R1dSzyJy00PE_ra89DNTVfnxSWM/edit?usp=sharing"",""รวมที่ชุมชน!G22"")"),0)</f>
        <v>0</v>
      </c>
      <c r="K482" s="233">
        <f t="shared" ref="K482:K489" ca="1" si="109">IF(I482&gt;0,J482*100/I482,0)</f>
        <v>0</v>
      </c>
      <c r="L482" s="53"/>
      <c r="M482" s="53"/>
      <c r="N482" s="53"/>
    </row>
    <row r="483" spans="1:14" ht="21.75" customHeight="1" x14ac:dyDescent="0.4">
      <c r="A483" s="316"/>
      <c r="B483" s="51"/>
      <c r="C483" s="43"/>
      <c r="D483" s="155"/>
      <c r="E483" s="75"/>
      <c r="F483" s="75"/>
      <c r="G483" s="76"/>
      <c r="H483" s="60" t="s">
        <v>103</v>
      </c>
      <c r="I483" s="200">
        <f ca="1">IFERROR(__xludf.DUMMYFUNCTION("IMPORTRANGE(""https://docs.google.com/spreadsheets/d/1C3CXT74ZlgGe6_JY_1olB1XN4rF0dxEuIIF-xsYjHgg/edit?usp=sharing"",""งบกองทุน!En33"")"),0)</f>
        <v>0</v>
      </c>
      <c r="J483" s="67">
        <f ca="1">IFERROR(__xludf.DUMMYFUNCTION("IMPORTRANGE(""https://docs.google.com/spreadsheets/d/1AGHcLOeeYFL3K4b9R1dSzyJy00PE_ra89DNTVfnxSWM/edit?usp=sharing"",""รวมที่ชุมชน!H22"")"),0)</f>
        <v>0</v>
      </c>
      <c r="K483" s="233">
        <f t="shared" ca="1" si="109"/>
        <v>0</v>
      </c>
      <c r="L483" s="53"/>
      <c r="M483" s="53"/>
      <c r="N483" s="53"/>
    </row>
    <row r="484" spans="1:14" ht="21.75" customHeight="1" x14ac:dyDescent="0.4">
      <c r="A484" s="316"/>
      <c r="B484" s="51"/>
      <c r="C484" s="43"/>
      <c r="D484" s="155"/>
      <c r="E484" s="74" t="s">
        <v>104</v>
      </c>
      <c r="F484" s="75"/>
      <c r="G484" s="76"/>
      <c r="H484" s="60" t="s">
        <v>16</v>
      </c>
      <c r="I484" s="200">
        <f ca="1">IFERROR(__xludf.DUMMYFUNCTION("IMPORTRANGE(""https://docs.google.com/spreadsheets/d/1C3CXT74ZlgGe6_JY_1olB1XN4rF0dxEuIIF-xsYjHgg/edit?usp=sharing"",""งบกองทุน!Eo33"")"),0)</f>
        <v>0</v>
      </c>
      <c r="J484" s="67">
        <f ca="1">IFERROR(__xludf.DUMMYFUNCTION("IMPORTRANGE(""https://docs.google.com/spreadsheets/d/1AGHcLOeeYFL3K4b9R1dSzyJy00PE_ra89DNTVfnxSWM/edit?usp=sharing"",""รวมที่ชุมชน!J22"")"),0)</f>
        <v>0</v>
      </c>
      <c r="K484" s="233">
        <f t="shared" ca="1" si="109"/>
        <v>0</v>
      </c>
      <c r="L484" s="53"/>
      <c r="M484" s="53"/>
      <c r="N484" s="53"/>
    </row>
    <row r="485" spans="1:14" ht="21.75" customHeight="1" x14ac:dyDescent="0.4">
      <c r="A485" s="316"/>
      <c r="B485" s="51"/>
      <c r="C485" s="43"/>
      <c r="D485" s="155"/>
      <c r="E485" s="75"/>
      <c r="F485" s="75"/>
      <c r="G485" s="76"/>
      <c r="H485" s="60" t="s">
        <v>103</v>
      </c>
      <c r="I485" s="200">
        <f ca="1">IFERROR(__xludf.DUMMYFUNCTION("IMPORTRANGE(""https://docs.google.com/spreadsheets/d/1C3CXT74ZlgGe6_JY_1olB1XN4rF0dxEuIIF-xsYjHgg/edit?usp=sharing"",""งบกองทุน!Ep33"")"),0)</f>
        <v>0</v>
      </c>
      <c r="J485" s="67">
        <f ca="1">IFERROR(__xludf.DUMMYFUNCTION("IMPORTRANGE(""https://docs.google.com/spreadsheets/d/1AGHcLOeeYFL3K4b9R1dSzyJy00PE_ra89DNTVfnxSWM/edit?usp=sharing"",""รวมที่ชุมชน!L22"")"),0)</f>
        <v>0</v>
      </c>
      <c r="K485" s="233">
        <f t="shared" ca="1" si="109"/>
        <v>0</v>
      </c>
      <c r="L485" s="53"/>
      <c r="M485" s="53"/>
      <c r="N485" s="53"/>
    </row>
    <row r="486" spans="1:14" ht="21.75" customHeight="1" x14ac:dyDescent="0.4">
      <c r="A486" s="316"/>
      <c r="B486" s="51"/>
      <c r="C486" s="43"/>
      <c r="D486" s="155"/>
      <c r="E486" s="74" t="s">
        <v>105</v>
      </c>
      <c r="F486" s="75"/>
      <c r="G486" s="76"/>
      <c r="H486" s="60" t="s">
        <v>16</v>
      </c>
      <c r="I486" s="200">
        <f ca="1">IFERROR(__xludf.DUMMYFUNCTION("IMPORTRANGE(""https://docs.google.com/spreadsheets/d/1C3CXT74ZlgGe6_JY_1olB1XN4rF0dxEuIIF-xsYjHgg/edit?usp=sharing"",""งบกองทุน!Eq33"")"),0)</f>
        <v>0</v>
      </c>
      <c r="J486" s="67">
        <f ca="1">IFERROR(__xludf.DUMMYFUNCTION("IMPORTRANGE(""https://docs.google.com/spreadsheets/d/1AGHcLOeeYFL3K4b9R1dSzyJy00PE_ra89DNTVfnxSWM/edit?usp=sharing"",""รวมที่ชุมชน!S22"")"),0)</f>
        <v>0</v>
      </c>
      <c r="K486" s="233">
        <f t="shared" ca="1" si="109"/>
        <v>0</v>
      </c>
      <c r="L486" s="53"/>
      <c r="M486" s="53"/>
      <c r="N486" s="53"/>
    </row>
    <row r="487" spans="1:14" ht="21.75" customHeight="1" x14ac:dyDescent="0.4">
      <c r="A487" s="316"/>
      <c r="B487" s="51"/>
      <c r="C487" s="43"/>
      <c r="D487" s="155"/>
      <c r="E487" s="75"/>
      <c r="F487" s="75"/>
      <c r="G487" s="76"/>
      <c r="H487" s="60" t="s">
        <v>103</v>
      </c>
      <c r="I487" s="200">
        <f ca="1">IFERROR(__xludf.DUMMYFUNCTION("IMPORTRANGE(""https://docs.google.com/spreadsheets/d/1C3CXT74ZlgGe6_JY_1olB1XN4rF0dxEuIIF-xsYjHgg/edit?usp=sharing"",""งบกองทุน!Er33"")"),0)</f>
        <v>0</v>
      </c>
      <c r="J487" s="67">
        <f ca="1">IFERROR(__xludf.DUMMYFUNCTION("IMPORTRANGE(""https://docs.google.com/spreadsheets/d/1AGHcLOeeYFL3K4b9R1dSzyJy00PE_ra89DNTVfnxSWM/edit?usp=sharing"",""รวมที่ชุมชน!U22"")"),0)</f>
        <v>0</v>
      </c>
      <c r="K487" s="233">
        <f t="shared" ca="1" si="109"/>
        <v>0</v>
      </c>
      <c r="L487" s="53"/>
      <c r="M487" s="53"/>
      <c r="N487" s="53"/>
    </row>
    <row r="488" spans="1:14" ht="21.75" customHeight="1" x14ac:dyDescent="0.4">
      <c r="A488" s="316"/>
      <c r="B488" s="51"/>
      <c r="C488" s="43"/>
      <c r="D488" s="155"/>
      <c r="E488" s="74" t="s">
        <v>106</v>
      </c>
      <c r="F488" s="75"/>
      <c r="G488" s="76"/>
      <c r="H488" s="60" t="s">
        <v>16</v>
      </c>
      <c r="I488" s="200">
        <f ca="1">IFERROR(__xludf.DUMMYFUNCTION("IMPORTRANGE(""https://docs.google.com/spreadsheets/d/1C3CXT74ZlgGe6_JY_1olB1XN4rF0dxEuIIF-xsYjHgg/edit?usp=sharing"",""งบกองทุน!Es33"")"),0)</f>
        <v>0</v>
      </c>
      <c r="J488" s="67">
        <f ca="1">IFERROR(__xludf.DUMMYFUNCTION("IMPORTRANGE(""https://docs.google.com/spreadsheets/d/1AGHcLOeeYFL3K4b9R1dSzyJy00PE_ra89DNTVfnxSWM/edit?usp=sharing"",""รวมที่ชุมชน!V22"")"),0)</f>
        <v>0</v>
      </c>
      <c r="K488" s="233">
        <f t="shared" ca="1" si="109"/>
        <v>0</v>
      </c>
      <c r="L488" s="53"/>
      <c r="M488" s="53"/>
      <c r="N488" s="53"/>
    </row>
    <row r="489" spans="1:14" ht="21.75" customHeight="1" x14ac:dyDescent="0.4">
      <c r="A489" s="317"/>
      <c r="B489" s="318"/>
      <c r="C489" s="319"/>
      <c r="D489" s="320"/>
      <c r="E489" s="295"/>
      <c r="F489" s="295"/>
      <c r="G489" s="296"/>
      <c r="H489" s="321" t="s">
        <v>103</v>
      </c>
      <c r="I489" s="322">
        <f ca="1">IFERROR(__xludf.DUMMYFUNCTION("IMPORTRANGE(""https://docs.google.com/spreadsheets/d/1C3CXT74ZlgGe6_JY_1olB1XN4rF0dxEuIIF-xsYjHgg/edit?usp=sharing"",""งบกองทุน!Et33"")"),0)</f>
        <v>0</v>
      </c>
      <c r="J489" s="112">
        <f ca="1">IFERROR(__xludf.DUMMYFUNCTION("IMPORTRANGE(""https://docs.google.com/spreadsheets/d/1AGHcLOeeYFL3K4b9R1dSzyJy00PE_ra89DNTVfnxSWM/edit?usp=sharing"",""รวมที่ชุมชน!X22"")"),0)</f>
        <v>0</v>
      </c>
      <c r="K489" s="357">
        <f t="shared" ca="1" si="109"/>
        <v>0</v>
      </c>
      <c r="L489" s="346"/>
      <c r="M489" s="346"/>
      <c r="N489" s="346"/>
    </row>
    <row r="490" spans="1:14" ht="21.75" customHeight="1" x14ac:dyDescent="0.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10">I504</f>
        <v>50</v>
      </c>
      <c r="J490" s="375">
        <f t="shared" si="110"/>
        <v>0</v>
      </c>
      <c r="K490" s="301">
        <f ca="1">IF(I490&gt;0,J490*100/I490,0)</f>
        <v>0</v>
      </c>
      <c r="L490" s="259">
        <f ca="1">SUM(L491,L492)</f>
        <v>4550</v>
      </c>
      <c r="M490" s="259">
        <f>SUM(M491:M492)</f>
        <v>0</v>
      </c>
      <c r="N490" s="259">
        <f t="shared" ref="N490:N494" ca="1" si="111">+IF(L490&gt;0,M490*100/L490,0)</f>
        <v>0</v>
      </c>
    </row>
    <row r="491" spans="1:14" ht="21.75" customHeight="1" x14ac:dyDescent="0.4">
      <c r="A491" s="42"/>
      <c r="B491" s="43"/>
      <c r="C491" s="43" t="s">
        <v>17</v>
      </c>
      <c r="D491" s="44" t="s">
        <v>18</v>
      </c>
      <c r="E491" s="45"/>
      <c r="F491" s="45"/>
      <c r="G491" s="46" t="s">
        <v>19</v>
      </c>
      <c r="H491" s="47" t="s">
        <v>20</v>
      </c>
      <c r="I491" s="48" t="s">
        <v>21</v>
      </c>
      <c r="J491" s="48"/>
      <c r="K491" s="49"/>
      <c r="L491" s="50">
        <v>0</v>
      </c>
      <c r="M491" s="53">
        <v>0</v>
      </c>
      <c r="N491" s="53">
        <f t="shared" si="111"/>
        <v>0</v>
      </c>
    </row>
    <row r="492" spans="1:14" ht="21.75" customHeight="1" x14ac:dyDescent="0.4">
      <c r="A492" s="42"/>
      <c r="B492" s="43"/>
      <c r="C492" s="43"/>
      <c r="D492" s="51"/>
      <c r="E492" s="45"/>
      <c r="F492" s="45" t="s">
        <v>21</v>
      </c>
      <c r="G492" s="46" t="s">
        <v>22</v>
      </c>
      <c r="H492" s="47" t="s">
        <v>20</v>
      </c>
      <c r="I492" s="48"/>
      <c r="J492" s="48"/>
      <c r="K492" s="49"/>
      <c r="L492" s="50">
        <f t="shared" ref="L492:M492" ca="1" si="112">SUM(L493:L494)</f>
        <v>4550</v>
      </c>
      <c r="M492" s="53">
        <f t="shared" si="112"/>
        <v>0</v>
      </c>
      <c r="N492" s="53">
        <f t="shared" ca="1" si="111"/>
        <v>0</v>
      </c>
    </row>
    <row r="493" spans="1:14" ht="21.75" customHeight="1" x14ac:dyDescent="0.4">
      <c r="A493" s="42"/>
      <c r="B493" s="43"/>
      <c r="C493" s="43"/>
      <c r="D493" s="51"/>
      <c r="E493" s="45"/>
      <c r="F493" s="45"/>
      <c r="G493" s="52" t="s">
        <v>110</v>
      </c>
      <c r="H493" s="47" t="s">
        <v>20</v>
      </c>
      <c r="I493" s="48"/>
      <c r="J493" s="48"/>
      <c r="K493" s="49"/>
      <c r="L493" s="53">
        <f ca="1">IFERROR(__xludf.DUMMYFUNCTION("IMPORTRANGE(""https://docs.google.com/spreadsheets/d/1C3CXT74ZlgGe6_JY_1olB1XN4rF0dxEuIIF-xsYjHgg/edit?usp=sharing"",""งบกองทุน!Ev33"")"),0)</f>
        <v>0</v>
      </c>
      <c r="M493" s="53">
        <v>0</v>
      </c>
      <c r="N493" s="53">
        <f t="shared" ca="1" si="111"/>
        <v>0</v>
      </c>
    </row>
    <row r="494" spans="1:14" ht="21.75" customHeight="1" x14ac:dyDescent="0.4">
      <c r="A494" s="42"/>
      <c r="B494" s="43"/>
      <c r="C494" s="43"/>
      <c r="D494" s="51"/>
      <c r="E494" s="45"/>
      <c r="F494" s="45"/>
      <c r="G494" s="52" t="s">
        <v>111</v>
      </c>
      <c r="H494" s="47" t="s">
        <v>20</v>
      </c>
      <c r="I494" s="48"/>
      <c r="J494" s="48"/>
      <c r="K494" s="49"/>
      <c r="L494" s="53">
        <f ca="1">IFERROR(__xludf.DUMMYFUNCTION("IMPORTRANGE(""https://docs.google.com/spreadsheets/d/1C3CXT74ZlgGe6_JY_1olB1XN4rF0dxEuIIF-xsYjHgg/edit?usp=sharing"",""งบกองทุน!Ew33"")"),4550)</f>
        <v>4550</v>
      </c>
      <c r="M494" s="53">
        <f>SUM(M495:M498)</f>
        <v>0</v>
      </c>
      <c r="N494" s="53">
        <f t="shared" ca="1" si="111"/>
        <v>0</v>
      </c>
    </row>
    <row r="495" spans="1:14" ht="21.75" customHeight="1" x14ac:dyDescent="0.4">
      <c r="A495" s="230"/>
      <c r="B495" s="231"/>
      <c r="C495" s="43"/>
      <c r="D495" s="232"/>
      <c r="E495" s="45"/>
      <c r="F495" s="45"/>
      <c r="G495" s="46" t="s">
        <v>112</v>
      </c>
      <c r="H495" s="47" t="s">
        <v>20</v>
      </c>
      <c r="I495" s="67"/>
      <c r="J495" s="67"/>
      <c r="K495" s="233"/>
      <c r="L495" s="53"/>
      <c r="M495" s="53">
        <v>0</v>
      </c>
      <c r="N495" s="53"/>
    </row>
    <row r="496" spans="1:14" ht="21.75" customHeight="1" x14ac:dyDescent="0.4">
      <c r="A496" s="230"/>
      <c r="B496" s="231"/>
      <c r="C496" s="43"/>
      <c r="D496" s="232"/>
      <c r="E496" s="45"/>
      <c r="F496" s="45"/>
      <c r="G496" s="46" t="s">
        <v>113</v>
      </c>
      <c r="H496" s="47" t="s">
        <v>20</v>
      </c>
      <c r="I496" s="67"/>
      <c r="J496" s="67"/>
      <c r="K496" s="233"/>
      <c r="L496" s="53"/>
      <c r="M496" s="53">
        <v>0</v>
      </c>
      <c r="N496" s="53"/>
    </row>
    <row r="497" spans="1:14" ht="21.75" customHeight="1" x14ac:dyDescent="0.4">
      <c r="A497" s="230"/>
      <c r="B497" s="231"/>
      <c r="C497" s="43"/>
      <c r="D497" s="232"/>
      <c r="E497" s="45"/>
      <c r="F497" s="45"/>
      <c r="G497" s="46" t="s">
        <v>114</v>
      </c>
      <c r="H497" s="47" t="s">
        <v>20</v>
      </c>
      <c r="I497" s="67"/>
      <c r="J497" s="67"/>
      <c r="K497" s="233"/>
      <c r="L497" s="53"/>
      <c r="M497" s="54">
        <v>0</v>
      </c>
      <c r="N497" s="53"/>
    </row>
    <row r="498" spans="1:14" ht="21.75" customHeight="1" x14ac:dyDescent="0.4">
      <c r="A498" s="230"/>
      <c r="B498" s="231"/>
      <c r="C498" s="43"/>
      <c r="D498" s="232"/>
      <c r="E498" s="45"/>
      <c r="F498" s="45"/>
      <c r="G498" s="46" t="s">
        <v>115</v>
      </c>
      <c r="H498" s="47" t="s">
        <v>20</v>
      </c>
      <c r="I498" s="67"/>
      <c r="J498" s="67"/>
      <c r="K498" s="233"/>
      <c r="L498" s="53"/>
      <c r="M498" s="54">
        <v>0</v>
      </c>
      <c r="N498" s="53"/>
    </row>
    <row r="499" spans="1:14" ht="21.75" customHeight="1" x14ac:dyDescent="0.4">
      <c r="A499" s="55"/>
      <c r="B499" s="56"/>
      <c r="C499" s="43" t="s">
        <v>17</v>
      </c>
      <c r="D499" s="57" t="s">
        <v>25</v>
      </c>
      <c r="E499" s="58"/>
      <c r="F499" s="58"/>
      <c r="G499" s="59"/>
      <c r="H499" s="60"/>
      <c r="I499" s="48"/>
      <c r="J499" s="48"/>
      <c r="K499" s="49"/>
      <c r="L499" s="61"/>
      <c r="M499" s="61"/>
      <c r="N499" s="61"/>
    </row>
    <row r="500" spans="1:14" ht="21.75" customHeight="1" x14ac:dyDescent="0.4">
      <c r="A500" s="55"/>
      <c r="B500" s="56"/>
      <c r="C500" s="56"/>
      <c r="D500" s="62">
        <v>1</v>
      </c>
      <c r="E500" s="63" t="s">
        <v>26</v>
      </c>
      <c r="F500" s="64"/>
      <c r="G500" s="65"/>
      <c r="H500" s="66"/>
      <c r="I500" s="67"/>
      <c r="J500" s="68">
        <v>1</v>
      </c>
      <c r="K500" s="49"/>
      <c r="L500" s="61"/>
      <c r="M500" s="61"/>
      <c r="N500" s="61"/>
    </row>
    <row r="501" spans="1:14" ht="21.75" customHeight="1" x14ac:dyDescent="0.4">
      <c r="A501" s="55"/>
      <c r="B501" s="56"/>
      <c r="C501" s="56"/>
      <c r="D501" s="69">
        <v>2</v>
      </c>
      <c r="E501" s="70" t="s">
        <v>27</v>
      </c>
      <c r="F501" s="71"/>
      <c r="G501" s="72"/>
      <c r="H501" s="66"/>
      <c r="I501" s="67"/>
      <c r="J501" s="68">
        <v>0</v>
      </c>
      <c r="K501" s="49"/>
      <c r="L501" s="61" t="s">
        <v>21</v>
      </c>
      <c r="M501" s="61" t="s">
        <v>21</v>
      </c>
      <c r="N501" s="61"/>
    </row>
    <row r="502" spans="1:14" ht="21.75" hidden="1" customHeight="1" x14ac:dyDescent="0.4">
      <c r="A502" s="376"/>
      <c r="B502" s="377"/>
      <c r="C502" s="377"/>
      <c r="D502" s="378"/>
      <c r="E502" s="379" t="s">
        <v>28</v>
      </c>
      <c r="F502" s="380"/>
      <c r="G502" s="381"/>
      <c r="H502" s="330"/>
      <c r="I502" s="331"/>
      <c r="J502" s="331">
        <v>0</v>
      </c>
      <c r="K502" s="382"/>
      <c r="L502" s="383"/>
      <c r="M502" s="383"/>
      <c r="N502" s="383"/>
    </row>
    <row r="503" spans="1:14" ht="21.75" hidden="1" customHeight="1" x14ac:dyDescent="0.4">
      <c r="A503" s="376"/>
      <c r="B503" s="377"/>
      <c r="C503" s="377"/>
      <c r="D503" s="378"/>
      <c r="E503" s="379" t="s">
        <v>29</v>
      </c>
      <c r="F503" s="380"/>
      <c r="G503" s="381"/>
      <c r="H503" s="330"/>
      <c r="I503" s="331"/>
      <c r="J503" s="331">
        <v>0</v>
      </c>
      <c r="K503" s="382"/>
      <c r="L503" s="383"/>
      <c r="M503" s="383"/>
      <c r="N503" s="383"/>
    </row>
    <row r="504" spans="1:14" ht="21.75" customHeight="1" x14ac:dyDescent="0.4">
      <c r="A504" s="55"/>
      <c r="B504" s="56"/>
      <c r="C504" s="56"/>
      <c r="D504" s="73"/>
      <c r="E504" s="75"/>
      <c r="F504" s="75" t="s">
        <v>199</v>
      </c>
      <c r="G504" s="76"/>
      <c r="H504" s="60" t="s">
        <v>103</v>
      </c>
      <c r="I504" s="67">
        <f ca="1">IFERROR(__xludf.DUMMYFUNCTION("IMPORTRANGE(""https://docs.google.com/spreadsheets/d/1C3CXT74ZlgGe6_JY_1olB1XN4rF0dxEuIIF-xsYjHgg/edit?usp=sharing"",""งบกองทุน!EZ33"")"),50)</f>
        <v>50</v>
      </c>
      <c r="J504" s="48">
        <f>+J510</f>
        <v>0</v>
      </c>
      <c r="K504" s="49">
        <f t="shared" ref="K504:K512" ca="1" si="113">IF(I$504&gt;0,J504*100/I$504,0)</f>
        <v>0</v>
      </c>
      <c r="L504" s="61"/>
      <c r="M504" s="61"/>
      <c r="N504" s="61"/>
    </row>
    <row r="505" spans="1:14" ht="21.75" customHeight="1" x14ac:dyDescent="0.4">
      <c r="A505" s="55"/>
      <c r="B505" s="56"/>
      <c r="C505" s="56"/>
      <c r="D505" s="73"/>
      <c r="E505" s="77"/>
      <c r="F505" s="75"/>
      <c r="G505" s="99" t="s">
        <v>200</v>
      </c>
      <c r="H505" s="60" t="s">
        <v>103</v>
      </c>
      <c r="I505" s="67">
        <v>0</v>
      </c>
      <c r="J505" s="68">
        <v>0</v>
      </c>
      <c r="K505" s="49">
        <f t="shared" ca="1" si="113"/>
        <v>0</v>
      </c>
      <c r="L505" s="61"/>
      <c r="M505" s="61"/>
      <c r="N505" s="61"/>
    </row>
    <row r="506" spans="1:14" ht="21.75" customHeight="1" x14ac:dyDescent="0.4">
      <c r="A506" s="55"/>
      <c r="B506" s="56"/>
      <c r="C506" s="56"/>
      <c r="D506" s="73"/>
      <c r="E506" s="77"/>
      <c r="F506" s="75"/>
      <c r="G506" s="99" t="s">
        <v>201</v>
      </c>
      <c r="H506" s="60" t="s">
        <v>103</v>
      </c>
      <c r="I506" s="67">
        <v>0</v>
      </c>
      <c r="J506" s="68">
        <v>0</v>
      </c>
      <c r="K506" s="49">
        <f t="shared" ca="1" si="113"/>
        <v>0</v>
      </c>
      <c r="L506" s="61"/>
      <c r="M506" s="61"/>
      <c r="N506" s="61"/>
    </row>
    <row r="507" spans="1:14" ht="21.75" customHeight="1" x14ac:dyDescent="0.4">
      <c r="A507" s="55"/>
      <c r="B507" s="56"/>
      <c r="C507" s="56"/>
      <c r="D507" s="73"/>
      <c r="E507" s="77"/>
      <c r="F507" s="75"/>
      <c r="G507" s="99" t="s">
        <v>202</v>
      </c>
      <c r="H507" s="60" t="s">
        <v>103</v>
      </c>
      <c r="I507" s="67">
        <v>0</v>
      </c>
      <c r="J507" s="68">
        <v>0</v>
      </c>
      <c r="K507" s="49">
        <f t="shared" ca="1" si="113"/>
        <v>0</v>
      </c>
      <c r="L507" s="61"/>
      <c r="M507" s="61"/>
      <c r="N507" s="61"/>
    </row>
    <row r="508" spans="1:14" ht="21.75" customHeight="1" x14ac:dyDescent="0.4">
      <c r="A508" s="55"/>
      <c r="B508" s="56"/>
      <c r="C508" s="56"/>
      <c r="D508" s="73"/>
      <c r="E508" s="77"/>
      <c r="F508" s="75"/>
      <c r="G508" s="99" t="s">
        <v>203</v>
      </c>
      <c r="H508" s="60" t="s">
        <v>103</v>
      </c>
      <c r="I508" s="67">
        <v>0</v>
      </c>
      <c r="J508" s="68">
        <v>0</v>
      </c>
      <c r="K508" s="49">
        <f t="shared" ca="1" si="113"/>
        <v>0</v>
      </c>
      <c r="L508" s="61"/>
      <c r="M508" s="61"/>
      <c r="N508" s="61"/>
    </row>
    <row r="509" spans="1:14" ht="21.75" customHeight="1" x14ac:dyDescent="0.4">
      <c r="A509" s="55"/>
      <c r="B509" s="56"/>
      <c r="C509" s="56"/>
      <c r="D509" s="73"/>
      <c r="E509" s="77"/>
      <c r="F509" s="75"/>
      <c r="G509" s="74" t="s">
        <v>204</v>
      </c>
      <c r="H509" s="60" t="s">
        <v>103</v>
      </c>
      <c r="I509" s="67">
        <v>0</v>
      </c>
      <c r="J509" s="68">
        <v>0</v>
      </c>
      <c r="K509" s="49">
        <f t="shared" ca="1" si="113"/>
        <v>0</v>
      </c>
      <c r="L509" s="61"/>
      <c r="M509" s="61"/>
      <c r="N509" s="61"/>
    </row>
    <row r="510" spans="1:14" ht="21.75" customHeight="1" x14ac:dyDescent="0.4">
      <c r="A510" s="55"/>
      <c r="B510" s="56"/>
      <c r="C510" s="56"/>
      <c r="D510" s="73"/>
      <c r="E510" s="77"/>
      <c r="F510" s="75"/>
      <c r="G510" s="74" t="s">
        <v>205</v>
      </c>
      <c r="H510" s="60" t="s">
        <v>103</v>
      </c>
      <c r="I510" s="67">
        <f t="shared" ref="I510:J510" si="114">I511+I512</f>
        <v>0</v>
      </c>
      <c r="J510" s="67">
        <f t="shared" si="114"/>
        <v>0</v>
      </c>
      <c r="K510" s="49">
        <f t="shared" ca="1" si="113"/>
        <v>0</v>
      </c>
      <c r="L510" s="61"/>
      <c r="M510" s="61"/>
      <c r="N510" s="61"/>
    </row>
    <row r="511" spans="1:14" ht="21.75" customHeight="1" x14ac:dyDescent="0.4">
      <c r="A511" s="55"/>
      <c r="B511" s="56"/>
      <c r="C511" s="56"/>
      <c r="D511" s="73"/>
      <c r="E511" s="77"/>
      <c r="F511" s="75"/>
      <c r="G511" s="334" t="s">
        <v>206</v>
      </c>
      <c r="H511" s="60" t="s">
        <v>103</v>
      </c>
      <c r="I511" s="67">
        <v>0</v>
      </c>
      <c r="J511" s="68">
        <v>0</v>
      </c>
      <c r="K511" s="49">
        <f t="shared" ca="1" si="113"/>
        <v>0</v>
      </c>
      <c r="L511" s="61"/>
      <c r="M511" s="61"/>
      <c r="N511" s="61"/>
    </row>
    <row r="512" spans="1:14" ht="21.75" customHeight="1" x14ac:dyDescent="0.4">
      <c r="A512" s="55"/>
      <c r="B512" s="56"/>
      <c r="C512" s="56"/>
      <c r="D512" s="73"/>
      <c r="E512" s="77"/>
      <c r="F512" s="75"/>
      <c r="G512" s="334" t="s">
        <v>207</v>
      </c>
      <c r="H512" s="60" t="s">
        <v>103</v>
      </c>
      <c r="I512" s="67">
        <v>0</v>
      </c>
      <c r="J512" s="68">
        <v>0</v>
      </c>
      <c r="K512" s="49">
        <f t="shared" ca="1" si="113"/>
        <v>0</v>
      </c>
      <c r="L512" s="61"/>
      <c r="M512" s="61"/>
      <c r="N512" s="61"/>
    </row>
    <row r="513" spans="1:14" ht="21.75" customHeight="1" x14ac:dyDescent="0.4">
      <c r="A513" s="55"/>
      <c r="B513" s="56"/>
      <c r="C513" s="56"/>
      <c r="D513" s="73"/>
      <c r="E513" s="75"/>
      <c r="F513" s="74" t="s">
        <v>208</v>
      </c>
      <c r="G513" s="76"/>
      <c r="H513" s="60" t="s">
        <v>103</v>
      </c>
      <c r="I513" s="67">
        <f ca="1">IFERROR(__xludf.DUMMYFUNCTION("IMPORTRANGE(""https://docs.google.com/spreadsheets/d/1C3CXT74ZlgGe6_JY_1olB1XN4rF0dxEuIIF-xsYjHgg/edit?usp=sharing"",""งบกองทุน!ff33"")"),0)</f>
        <v>0</v>
      </c>
      <c r="J513" s="48">
        <f>J514</f>
        <v>0</v>
      </c>
      <c r="K513" s="49">
        <f t="shared" ref="K513:K519" ca="1" si="115">IF(I$513&gt;0,J513*100/I$513,0)</f>
        <v>0</v>
      </c>
      <c r="L513" s="61"/>
      <c r="M513" s="61"/>
      <c r="N513" s="61"/>
    </row>
    <row r="514" spans="1:14" ht="21.75" customHeight="1" x14ac:dyDescent="0.4">
      <c r="A514" s="55"/>
      <c r="B514" s="56"/>
      <c r="C514" s="56"/>
      <c r="D514" s="73"/>
      <c r="E514" s="77"/>
      <c r="F514" s="75"/>
      <c r="G514" s="99" t="s">
        <v>205</v>
      </c>
      <c r="H514" s="60" t="s">
        <v>103</v>
      </c>
      <c r="I514" s="48">
        <f t="shared" ref="I514:J514" si="116">I515+I516</f>
        <v>0</v>
      </c>
      <c r="J514" s="48">
        <f t="shared" si="116"/>
        <v>0</v>
      </c>
      <c r="K514" s="49">
        <f t="shared" ca="1" si="115"/>
        <v>0</v>
      </c>
      <c r="L514" s="61"/>
      <c r="M514" s="61"/>
      <c r="N514" s="61"/>
    </row>
    <row r="515" spans="1:14" ht="21.75" customHeight="1" x14ac:dyDescent="0.4">
      <c r="A515" s="55"/>
      <c r="B515" s="56"/>
      <c r="C515" s="56"/>
      <c r="D515" s="73"/>
      <c r="E515" s="77"/>
      <c r="F515" s="75"/>
      <c r="G515" s="334" t="s">
        <v>206</v>
      </c>
      <c r="H515" s="60" t="s">
        <v>103</v>
      </c>
      <c r="I515" s="67">
        <v>0</v>
      </c>
      <c r="J515" s="68">
        <v>0</v>
      </c>
      <c r="K515" s="49">
        <f t="shared" ca="1" si="115"/>
        <v>0</v>
      </c>
      <c r="L515" s="61"/>
      <c r="M515" s="61"/>
      <c r="N515" s="61"/>
    </row>
    <row r="516" spans="1:14" ht="21.75" customHeight="1" x14ac:dyDescent="0.4">
      <c r="A516" s="55"/>
      <c r="B516" s="56"/>
      <c r="C516" s="56"/>
      <c r="D516" s="73"/>
      <c r="E516" s="77"/>
      <c r="F516" s="75"/>
      <c r="G516" s="334" t="s">
        <v>207</v>
      </c>
      <c r="H516" s="60" t="s">
        <v>103</v>
      </c>
      <c r="I516" s="67">
        <v>0</v>
      </c>
      <c r="J516" s="68">
        <v>0</v>
      </c>
      <c r="K516" s="49">
        <f t="shared" ca="1" si="115"/>
        <v>0</v>
      </c>
      <c r="L516" s="61"/>
      <c r="M516" s="61"/>
      <c r="N516" s="61"/>
    </row>
    <row r="517" spans="1:14" ht="21.75" customHeight="1" x14ac:dyDescent="0.4">
      <c r="A517" s="55"/>
      <c r="B517" s="56"/>
      <c r="C517" s="56"/>
      <c r="D517" s="73"/>
      <c r="E517" s="77"/>
      <c r="F517" s="75"/>
      <c r="G517" s="99" t="s">
        <v>209</v>
      </c>
      <c r="H517" s="60" t="s">
        <v>103</v>
      </c>
      <c r="I517" s="67">
        <f t="shared" ref="I517:J517" si="117">SUM(I518:I519)</f>
        <v>0</v>
      </c>
      <c r="J517" s="67">
        <f t="shared" si="117"/>
        <v>0</v>
      </c>
      <c r="K517" s="49">
        <f t="shared" ca="1" si="115"/>
        <v>0</v>
      </c>
      <c r="L517" s="61"/>
      <c r="M517" s="61"/>
      <c r="N517" s="61"/>
    </row>
    <row r="518" spans="1:14" ht="21.75" customHeight="1" x14ac:dyDescent="0.4">
      <c r="A518" s="55"/>
      <c r="B518" s="56"/>
      <c r="C518" s="56"/>
      <c r="D518" s="73"/>
      <c r="E518" s="77"/>
      <c r="F518" s="75"/>
      <c r="G518" s="334" t="s">
        <v>210</v>
      </c>
      <c r="H518" s="60" t="s">
        <v>103</v>
      </c>
      <c r="I518" s="67">
        <v>0</v>
      </c>
      <c r="J518" s="68">
        <v>0</v>
      </c>
      <c r="K518" s="49">
        <f t="shared" ca="1" si="115"/>
        <v>0</v>
      </c>
      <c r="L518" s="61"/>
      <c r="M518" s="61"/>
      <c r="N518" s="61"/>
    </row>
    <row r="519" spans="1:14" ht="21.75" customHeight="1" x14ac:dyDescent="0.4">
      <c r="A519" s="55"/>
      <c r="B519" s="56"/>
      <c r="C519" s="56"/>
      <c r="D519" s="73"/>
      <c r="E519" s="77"/>
      <c r="F519" s="75"/>
      <c r="G519" s="334" t="s">
        <v>211</v>
      </c>
      <c r="H519" s="60" t="s">
        <v>103</v>
      </c>
      <c r="I519" s="67">
        <v>0</v>
      </c>
      <c r="J519" s="68">
        <v>0</v>
      </c>
      <c r="K519" s="49">
        <f t="shared" ca="1" si="115"/>
        <v>0</v>
      </c>
      <c r="L519" s="61"/>
      <c r="M519" s="61"/>
      <c r="N519" s="61"/>
    </row>
    <row r="520" spans="1:14" ht="21.75" customHeight="1" x14ac:dyDescent="0.4">
      <c r="A520" s="335" t="s">
        <v>212</v>
      </c>
      <c r="B520" s="336"/>
      <c r="C520" s="336"/>
      <c r="D520" s="336"/>
      <c r="E520" s="336"/>
      <c r="F520" s="336"/>
      <c r="G520" s="337"/>
      <c r="H520" s="338"/>
      <c r="I520" s="339"/>
      <c r="J520" s="339"/>
      <c r="K520" s="340"/>
      <c r="L520" s="340"/>
      <c r="M520" s="340"/>
      <c r="N520" s="341"/>
    </row>
    <row r="521" spans="1:14" ht="21.75" customHeight="1" x14ac:dyDescent="0.4">
      <c r="A521" s="316"/>
      <c r="B521" s="45" t="s">
        <v>213</v>
      </c>
      <c r="C521" s="43"/>
      <c r="D521" s="51"/>
      <c r="E521" s="45"/>
      <c r="F521" s="45"/>
      <c r="G521" s="46"/>
      <c r="H521" s="342" t="s">
        <v>20</v>
      </c>
      <c r="I521" s="200">
        <f ca="1">IFERROR(__xludf.DUMMYFUNCTION("IMPORTRANGE(""https://docs.google.com/spreadsheets/d/1muirlRDkqiswvy_NRZ3Yh955hx-PF6_HhssUYiSJj8o/edit?usp=sharing"",""กองทุน!D33"")"),6577500)</f>
        <v>6577500</v>
      </c>
      <c r="J521" s="200">
        <f ca="1">IFERROR(__xludf.DUMMYFUNCTION("IMPORTRANGE(""https://docs.google.com/spreadsheets/d/1muirlRDkqiswvy_NRZ3Yh955hx-PF6_HhssUYiSJj8o/edit?usp=sharing"",""กองทุน!F33"")"),0)</f>
        <v>0</v>
      </c>
      <c r="K521" s="201">
        <f t="shared" ref="K521:K528" ca="1" si="118">IF(I521&gt;0,J521*100/I521,0)</f>
        <v>0</v>
      </c>
      <c r="L521" s="201"/>
      <c r="M521" s="201"/>
      <c r="N521" s="53"/>
    </row>
    <row r="522" spans="1:14" ht="21.75" customHeight="1" x14ac:dyDescent="0.4">
      <c r="A522" s="316"/>
      <c r="B522" s="43"/>
      <c r="C522" s="43"/>
      <c r="D522" s="51"/>
      <c r="E522" s="45"/>
      <c r="F522" s="45"/>
      <c r="G522" s="46"/>
      <c r="H522" s="342" t="s">
        <v>16</v>
      </c>
      <c r="I522" s="200">
        <f ca="1">IFERROR(__xludf.DUMMYFUNCTION("IMPORTRANGE(""https://docs.google.com/spreadsheets/d/1muirlRDkqiswvy_NRZ3Yh955hx-PF6_HhssUYiSJj8o/edit?usp=sharing"",""กองทุน!C33"")"),219)</f>
        <v>219</v>
      </c>
      <c r="J522" s="200">
        <f ca="1">IFERROR(__xludf.DUMMYFUNCTION("IMPORTRANGE(""https://docs.google.com/spreadsheets/d/1muirlRDkqiswvy_NRZ3Yh955hx-PF6_HhssUYiSJj8o/edit?usp=sharing"",""กองทุน!E33"")"),0)</f>
        <v>0</v>
      </c>
      <c r="K522" s="201">
        <f t="shared" ca="1" si="118"/>
        <v>0</v>
      </c>
      <c r="L522" s="201"/>
      <c r="M522" s="201"/>
      <c r="N522" s="53"/>
    </row>
    <row r="523" spans="1:14" ht="21.75" customHeight="1" x14ac:dyDescent="0.4">
      <c r="A523" s="316"/>
      <c r="B523" s="45" t="s">
        <v>214</v>
      </c>
      <c r="C523" s="43"/>
      <c r="D523" s="51"/>
      <c r="E523" s="45"/>
      <c r="F523" s="45"/>
      <c r="G523" s="46"/>
      <c r="H523" s="342" t="s">
        <v>20</v>
      </c>
      <c r="I523" s="200">
        <f ca="1">IFERROR(__xludf.DUMMYFUNCTION("IMPORTRANGE(""https://docs.google.com/spreadsheets/d/1muirlRDkqiswvy_NRZ3Yh955hx-PF6_HhssUYiSJj8o/edit?usp=sharing"",""กองทุน!I33"")"),5461063.68999999)</f>
        <v>5461063.6899999902</v>
      </c>
      <c r="J523" s="200">
        <f ca="1">IFERROR(__xludf.DUMMYFUNCTION("IMPORTRANGE(""https://docs.google.com/spreadsheets/d/1muirlRDkqiswvy_NRZ3Yh955hx-PF6_HhssUYiSJj8o/edit?usp=sharing"",""กองทุน!K33"")"),65166.48)</f>
        <v>65166.48</v>
      </c>
      <c r="K523" s="201">
        <f t="shared" ca="1" si="118"/>
        <v>1.193292803365934</v>
      </c>
      <c r="L523" s="201"/>
      <c r="M523" s="201"/>
      <c r="N523" s="53"/>
    </row>
    <row r="524" spans="1:14" ht="21.75" customHeight="1" x14ac:dyDescent="0.4">
      <c r="A524" s="316"/>
      <c r="B524" s="43"/>
      <c r="C524" s="43"/>
      <c r="D524" s="51"/>
      <c r="E524" s="45"/>
      <c r="F524" s="45"/>
      <c r="G524" s="46"/>
      <c r="H524" s="342" t="s">
        <v>16</v>
      </c>
      <c r="I524" s="200">
        <f ca="1">IFERROR(__xludf.DUMMYFUNCTION("IMPORTRANGE(""https://docs.google.com/spreadsheets/d/1muirlRDkqiswvy_NRZ3Yh955hx-PF6_HhssUYiSJj8o/edit?usp=sharing"",""กองทุน!H33"")"),213)</f>
        <v>213</v>
      </c>
      <c r="J524" s="200">
        <f ca="1">IFERROR(__xludf.DUMMYFUNCTION("IMPORTRANGE(""https://docs.google.com/spreadsheets/d/1muirlRDkqiswvy_NRZ3Yh955hx-PF6_HhssUYiSJj8o/edit?usp=sharing"",""กองทุน!J33"")"),18)</f>
        <v>18</v>
      </c>
      <c r="K524" s="201">
        <f t="shared" ca="1" si="118"/>
        <v>8.4507042253521121</v>
      </c>
      <c r="L524" s="201"/>
      <c r="M524" s="201"/>
      <c r="N524" s="53"/>
    </row>
    <row r="525" spans="1:14" ht="21.75" customHeight="1" x14ac:dyDescent="0.4">
      <c r="A525" s="316"/>
      <c r="B525" s="45" t="s">
        <v>215</v>
      </c>
      <c r="C525" s="43"/>
      <c r="D525" s="51"/>
      <c r="E525" s="45"/>
      <c r="F525" s="45"/>
      <c r="G525" s="46"/>
      <c r="H525" s="342" t="s">
        <v>20</v>
      </c>
      <c r="I525" s="200">
        <f ca="1">IFERROR(__xludf.DUMMYFUNCTION("IMPORTRANGE(""https://docs.google.com/spreadsheets/d/1muirlRDkqiswvy_NRZ3Yh955hx-PF6_HhssUYiSJj8o/edit?usp=sharing"",""กองทุน!N33"")"),3456036.79)</f>
        <v>3456036.79</v>
      </c>
      <c r="J525" s="200">
        <f ca="1">IFERROR(__xludf.DUMMYFUNCTION("IMPORTRANGE(""https://docs.google.com/spreadsheets/d/1muirlRDkqiswvy_NRZ3Yh955hx-PF6_HhssUYiSJj8o/edit?usp=sharing"",""กองทุน!P33"")"),2421)</f>
        <v>2421</v>
      </c>
      <c r="K525" s="201">
        <f t="shared" ca="1" si="118"/>
        <v>7.0051337619007226E-2</v>
      </c>
      <c r="L525" s="201"/>
      <c r="M525" s="201"/>
      <c r="N525" s="53"/>
    </row>
    <row r="526" spans="1:14" ht="21.75" customHeight="1" x14ac:dyDescent="0.4">
      <c r="A526" s="316"/>
      <c r="B526" s="45"/>
      <c r="C526" s="43"/>
      <c r="D526" s="51"/>
      <c r="E526" s="45"/>
      <c r="F526" s="45"/>
      <c r="G526" s="46"/>
      <c r="H526" s="342" t="s">
        <v>16</v>
      </c>
      <c r="I526" s="200">
        <f ca="1">IFERROR(__xludf.DUMMYFUNCTION("IMPORTRANGE(""https://docs.google.com/spreadsheets/d/1muirlRDkqiswvy_NRZ3Yh955hx-PF6_HhssUYiSJj8o/edit?usp=sharing"",""กองทุน!M33"")"),468)</f>
        <v>468</v>
      </c>
      <c r="J526" s="200">
        <f ca="1">IFERROR(__xludf.DUMMYFUNCTION("IMPORTRANGE(""https://docs.google.com/spreadsheets/d/1muirlRDkqiswvy_NRZ3Yh955hx-PF6_HhssUYiSJj8o/edit?usp=sharing"",""กองทุน!O33"")"),3)</f>
        <v>3</v>
      </c>
      <c r="K526" s="201">
        <f t="shared" ca="1" si="118"/>
        <v>0.64102564102564108</v>
      </c>
      <c r="L526" s="201"/>
      <c r="M526" s="201"/>
      <c r="N526" s="53"/>
    </row>
    <row r="527" spans="1:14" ht="21.75" customHeight="1" x14ac:dyDescent="0.4">
      <c r="A527" s="316"/>
      <c r="B527" s="45" t="s">
        <v>216</v>
      </c>
      <c r="C527" s="43"/>
      <c r="D527" s="51"/>
      <c r="E527" s="45"/>
      <c r="F527" s="45"/>
      <c r="G527" s="46"/>
      <c r="H527" s="342" t="s">
        <v>20</v>
      </c>
      <c r="I527" s="200">
        <f ca="1">IFERROR(__xludf.DUMMYFUNCTION("IMPORTRANGE(""https://docs.google.com/spreadsheets/d/1muirlRDkqiswvy_NRZ3Yh955hx-PF6_HhssUYiSJj8o/edit?usp=sharing"",""กองทุน!S33"")"),7000000)</f>
        <v>7000000</v>
      </c>
      <c r="J527" s="200">
        <f ca="1">IFERROR(__xludf.DUMMYFUNCTION("IMPORTRANGE(""https://docs.google.com/spreadsheets/d/1muirlRDkqiswvy_NRZ3Yh955hx-PF6_HhssUYiSJj8o/edit?usp=sharing"",""กองทุน!U33"")"),0)</f>
        <v>0</v>
      </c>
      <c r="K527" s="201">
        <f t="shared" ca="1" si="118"/>
        <v>0</v>
      </c>
      <c r="L527" s="201"/>
      <c r="M527" s="201"/>
      <c r="N527" s="53"/>
    </row>
    <row r="528" spans="1:14" ht="21.75" customHeight="1" x14ac:dyDescent="0.4">
      <c r="A528" s="317"/>
      <c r="B528" s="319"/>
      <c r="C528" s="319"/>
      <c r="D528" s="318"/>
      <c r="E528" s="343"/>
      <c r="F528" s="343"/>
      <c r="G528" s="344"/>
      <c r="H528" s="345" t="s">
        <v>16</v>
      </c>
      <c r="I528" s="322">
        <f ca="1">IFERROR(__xludf.DUMMYFUNCTION("IMPORTRANGE(""https://docs.google.com/spreadsheets/d/1muirlRDkqiswvy_NRZ3Yh955hx-PF6_HhssUYiSJj8o/edit?usp=sharing"",""กองทุน!R33"")"),230)</f>
        <v>230</v>
      </c>
      <c r="J528" s="322">
        <f ca="1">IFERROR(__xludf.DUMMYFUNCTION("IMPORTRANGE(""https://docs.google.com/spreadsheets/d/1muirlRDkqiswvy_NRZ3Yh955hx-PF6_HhssUYiSJj8o/edit?usp=sharing"",""กองทุน!T33"")"),0)</f>
        <v>0</v>
      </c>
      <c r="K528" s="323">
        <f t="shared" ca="1" si="118"/>
        <v>0</v>
      </c>
      <c r="L528" s="323"/>
      <c r="M528" s="323"/>
      <c r="N528" s="346"/>
    </row>
    <row r="529" spans="1:14" ht="21.75" customHeight="1" x14ac:dyDescent="0.4">
      <c r="A529" s="347"/>
      <c r="B529" s="347"/>
      <c r="C529" s="347"/>
      <c r="D529" s="347"/>
      <c r="E529" s="348" t="s">
        <v>217</v>
      </c>
      <c r="F529" s="348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&amp;P/&amp;N&amp;R&amp;F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L18" sqref="L18"/>
      <selection pane="bottomLeft" activeCell="L18" sqref="L18"/>
    </sheetView>
  </sheetViews>
  <sheetFormatPr defaultColWidth="12.625" defaultRowHeight="15" customHeight="1" x14ac:dyDescent="0.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4">
      <c r="A1" s="403" t="s">
        <v>0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</row>
    <row r="2" spans="1:14" ht="18" customHeight="1" x14ac:dyDescent="0.4">
      <c r="A2" s="403" t="s">
        <v>246</v>
      </c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404"/>
    </row>
    <row r="3" spans="1:14" ht="18" customHeight="1" x14ac:dyDescent="0.4">
      <c r="A3" s="403" t="s">
        <v>249</v>
      </c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04"/>
    </row>
    <row r="4" spans="1:14" ht="33.75" customHeight="1" x14ac:dyDescent="0.4">
      <c r="A4" s="2"/>
      <c r="B4" s="2"/>
      <c r="C4" s="2"/>
      <c r="D4" s="2"/>
      <c r="E4" s="2"/>
      <c r="F4" s="2"/>
      <c r="G4" s="2"/>
      <c r="H4" s="2"/>
      <c r="I4" s="2"/>
      <c r="J4" s="354" t="s">
        <v>2</v>
      </c>
      <c r="K4" s="4"/>
      <c r="L4" s="5"/>
      <c r="M4" s="355" t="s">
        <v>3</v>
      </c>
      <c r="N4" s="2"/>
    </row>
    <row r="5" spans="1:14" ht="21.75" customHeight="1" x14ac:dyDescent="0.55000000000000004">
      <c r="A5" s="405" t="s">
        <v>4</v>
      </c>
      <c r="B5" s="406"/>
      <c r="C5" s="406"/>
      <c r="D5" s="406"/>
      <c r="E5" s="406"/>
      <c r="F5" s="406"/>
      <c r="G5" s="407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2097265</v>
      </c>
      <c r="M6" s="16">
        <f t="shared" si="0"/>
        <v>68228</v>
      </c>
      <c r="N6" s="17">
        <f ca="1">IF(L6&gt;0,M6*100/L6,0)</f>
        <v>3.25318927269563</v>
      </c>
    </row>
    <row r="7" spans="1:14" ht="21.75" customHeight="1" x14ac:dyDescent="0.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1</v>
      </c>
      <c r="J9" s="38">
        <f t="shared" si="1"/>
        <v>0</v>
      </c>
      <c r="K9" s="41">
        <f t="shared" ref="K9:K10" ca="1" si="2">IF(I9&gt;0,J9*100/I9,0)</f>
        <v>0</v>
      </c>
      <c r="L9" s="40">
        <f ca="1">L11+L12</f>
        <v>806800</v>
      </c>
      <c r="M9" s="40">
        <f>SUM(M11:M12)</f>
        <v>15728</v>
      </c>
      <c r="N9" s="41">
        <f ca="1">IF(L9&gt;0,M9*100/L9,0)</f>
        <v>1.9494298463063957</v>
      </c>
    </row>
    <row r="10" spans="1:14" ht="21.75" customHeight="1" x14ac:dyDescent="0.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75</v>
      </c>
      <c r="J10" s="38">
        <f t="shared" si="3"/>
        <v>0</v>
      </c>
      <c r="K10" s="41">
        <f t="shared" ca="1" si="2"/>
        <v>0</v>
      </c>
      <c r="L10" s="40"/>
      <c r="M10" s="40"/>
      <c r="N10" s="41"/>
    </row>
    <row r="11" spans="1:14" ht="21.75" customHeight="1" x14ac:dyDescent="0.4">
      <c r="A11" s="42"/>
      <c r="B11" s="43"/>
      <c r="C11" s="43" t="s">
        <v>17</v>
      </c>
      <c r="D11" s="44" t="s">
        <v>18</v>
      </c>
      <c r="E11" s="45"/>
      <c r="F11" s="45"/>
      <c r="G11" s="46" t="s">
        <v>19</v>
      </c>
      <c r="H11" s="47" t="s">
        <v>20</v>
      </c>
      <c r="I11" s="48" t="s">
        <v>21</v>
      </c>
      <c r="J11" s="48"/>
      <c r="K11" s="49"/>
      <c r="L11" s="50">
        <v>0</v>
      </c>
      <c r="M11" s="50">
        <v>0</v>
      </c>
      <c r="N11" s="50">
        <f t="shared" ref="N11:N14" si="4">+IF(L11&gt;0,M11*100/L11,0)</f>
        <v>0</v>
      </c>
    </row>
    <row r="12" spans="1:14" ht="21.75" customHeight="1" x14ac:dyDescent="0.4">
      <c r="A12" s="42"/>
      <c r="B12" s="43"/>
      <c r="C12" s="43"/>
      <c r="D12" s="51"/>
      <c r="E12" s="45"/>
      <c r="F12" s="45" t="s">
        <v>21</v>
      </c>
      <c r="G12" s="46" t="s">
        <v>22</v>
      </c>
      <c r="H12" s="47" t="s">
        <v>20</v>
      </c>
      <c r="I12" s="48"/>
      <c r="J12" s="48"/>
      <c r="K12" s="49"/>
      <c r="L12" s="53">
        <f ca="1">IFERROR(__xludf.DUMMYFUNCTION("IMPORTRANGE(""https://docs.google.com/spreadsheets/d/1C3CXT74ZlgGe6_JY_1olB1XN4rF0dxEuIIF-xsYjHgg/edit?usp=sharing"",""พรบ!C34"")"),806800)</f>
        <v>806800</v>
      </c>
      <c r="M12" s="50">
        <f>SUM(M13:M14)</f>
        <v>15728</v>
      </c>
      <c r="N12" s="50">
        <f t="shared" ca="1" si="4"/>
        <v>1.9494298463063957</v>
      </c>
    </row>
    <row r="13" spans="1:14" ht="21.75" customHeight="1" x14ac:dyDescent="0.4">
      <c r="A13" s="42"/>
      <c r="B13" s="43"/>
      <c r="C13" s="43"/>
      <c r="D13" s="51"/>
      <c r="E13" s="45"/>
      <c r="F13" s="45"/>
      <c r="G13" s="52" t="s">
        <v>23</v>
      </c>
      <c r="H13" s="47" t="s">
        <v>20</v>
      </c>
      <c r="I13" s="48"/>
      <c r="J13" s="48"/>
      <c r="K13" s="49"/>
      <c r="L13" s="53">
        <f ca="1">IFERROR(__xludf.DUMMYFUNCTION("IMPORTRANGE(""https://docs.google.com/spreadsheets/d/1C3CXT74ZlgGe6_JY_1olB1XN4rF0dxEuIIF-xsYjHgg/edit?usp=sharing"",""พรบ!D34"")"),190800)</f>
        <v>190800</v>
      </c>
      <c r="M13" s="54">
        <v>15728</v>
      </c>
      <c r="N13" s="53">
        <f t="shared" ca="1" si="4"/>
        <v>8.2431865828092246</v>
      </c>
    </row>
    <row r="14" spans="1:14" ht="21.75" customHeight="1" x14ac:dyDescent="0.4">
      <c r="A14" s="42"/>
      <c r="B14" s="43"/>
      <c r="C14" s="43"/>
      <c r="D14" s="51"/>
      <c r="E14" s="45"/>
      <c r="F14" s="45"/>
      <c r="G14" s="52" t="s">
        <v>24</v>
      </c>
      <c r="H14" s="47" t="s">
        <v>20</v>
      </c>
      <c r="I14" s="48"/>
      <c r="J14" s="48"/>
      <c r="K14" s="49"/>
      <c r="L14" s="53">
        <f ca="1">IFERROR(__xludf.DUMMYFUNCTION("IMPORTRANGE(""https://docs.google.com/spreadsheets/d/1C3CXT74ZlgGe6_JY_1olB1XN4rF0dxEuIIF-xsYjHgg/edit?usp=sharing"",""พรบ!E34"")"),616000)</f>
        <v>616000</v>
      </c>
      <c r="M14" s="54">
        <v>0</v>
      </c>
      <c r="N14" s="53">
        <f t="shared" ca="1" si="4"/>
        <v>0</v>
      </c>
    </row>
    <row r="15" spans="1:14" ht="21.75" customHeight="1" x14ac:dyDescent="0.4">
      <c r="A15" s="55"/>
      <c r="B15" s="56"/>
      <c r="C15" s="43" t="s">
        <v>17</v>
      </c>
      <c r="D15" s="57" t="s">
        <v>25</v>
      </c>
      <c r="E15" s="58"/>
      <c r="F15" s="58"/>
      <c r="G15" s="59"/>
      <c r="H15" s="60"/>
      <c r="I15" s="48"/>
      <c r="J15" s="48"/>
      <c r="K15" s="49"/>
      <c r="L15" s="61"/>
      <c r="M15" s="61"/>
      <c r="N15" s="61"/>
    </row>
    <row r="16" spans="1:14" ht="21.75" customHeight="1" x14ac:dyDescent="0.4">
      <c r="A16" s="55"/>
      <c r="B16" s="56"/>
      <c r="C16" s="56"/>
      <c r="D16" s="62">
        <v>1</v>
      </c>
      <c r="E16" s="63" t="s">
        <v>26</v>
      </c>
      <c r="F16" s="64"/>
      <c r="G16" s="65"/>
      <c r="H16" s="66"/>
      <c r="I16" s="67"/>
      <c r="J16" s="68">
        <v>0</v>
      </c>
      <c r="K16" s="49"/>
      <c r="L16" s="61"/>
      <c r="M16" s="61"/>
      <c r="N16" s="61"/>
    </row>
    <row r="17" spans="1:14" ht="21.75" customHeight="1" x14ac:dyDescent="0.4">
      <c r="A17" s="55"/>
      <c r="B17" s="56"/>
      <c r="C17" s="56"/>
      <c r="D17" s="69">
        <v>2</v>
      </c>
      <c r="E17" s="70" t="s">
        <v>27</v>
      </c>
      <c r="F17" s="71"/>
      <c r="G17" s="72"/>
      <c r="H17" s="66"/>
      <c r="I17" s="67"/>
      <c r="J17" s="68">
        <v>1</v>
      </c>
      <c r="K17" s="49"/>
      <c r="L17" s="61" t="s">
        <v>21</v>
      </c>
      <c r="M17" s="61" t="s">
        <v>21</v>
      </c>
      <c r="N17" s="61"/>
    </row>
    <row r="18" spans="1:14" ht="21.75" customHeight="1" x14ac:dyDescent="0.4">
      <c r="A18" s="55"/>
      <c r="B18" s="56"/>
      <c r="C18" s="56"/>
      <c r="D18" s="73"/>
      <c r="E18" s="74" t="s">
        <v>28</v>
      </c>
      <c r="F18" s="75"/>
      <c r="G18" s="76"/>
      <c r="H18" s="66"/>
      <c r="I18" s="67"/>
      <c r="J18" s="68">
        <v>1</v>
      </c>
      <c r="K18" s="49"/>
      <c r="L18" s="61"/>
      <c r="M18" s="61"/>
      <c r="N18" s="61"/>
    </row>
    <row r="19" spans="1:14" ht="21.75" customHeight="1" x14ac:dyDescent="0.4">
      <c r="A19" s="55"/>
      <c r="B19" s="56"/>
      <c r="C19" s="56"/>
      <c r="D19" s="73"/>
      <c r="E19" s="74" t="s">
        <v>29</v>
      </c>
      <c r="F19" s="75"/>
      <c r="G19" s="76"/>
      <c r="H19" s="66"/>
      <c r="I19" s="67"/>
      <c r="J19" s="68">
        <v>0</v>
      </c>
      <c r="K19" s="49"/>
      <c r="L19" s="61"/>
      <c r="M19" s="61"/>
      <c r="N19" s="61"/>
    </row>
    <row r="20" spans="1:14" ht="21.75" customHeight="1" x14ac:dyDescent="0.4">
      <c r="A20" s="55"/>
      <c r="B20" s="56"/>
      <c r="C20" s="56"/>
      <c r="D20" s="73"/>
      <c r="E20" s="77"/>
      <c r="F20" s="74" t="s">
        <v>30</v>
      </c>
      <c r="G20" s="75"/>
      <c r="H20" s="78" t="s">
        <v>15</v>
      </c>
      <c r="I20" s="79">
        <f t="shared" ref="I20:J20" ca="1" si="5">+I22+I24+I26</f>
        <v>1</v>
      </c>
      <c r="J20" s="79">
        <f t="shared" si="5"/>
        <v>0</v>
      </c>
      <c r="K20" s="80">
        <f t="shared" ref="K20:K28" ca="1" si="6">IF(I20&gt;0,J20*100/I20,0)</f>
        <v>0</v>
      </c>
      <c r="L20" s="61"/>
      <c r="M20" s="61"/>
      <c r="N20" s="61"/>
    </row>
    <row r="21" spans="1:14" ht="21.75" customHeight="1" x14ac:dyDescent="0.4">
      <c r="A21" s="55"/>
      <c r="B21" s="56"/>
      <c r="C21" s="56"/>
      <c r="D21" s="73"/>
      <c r="E21" s="77"/>
      <c r="F21" s="75"/>
      <c r="G21" s="76"/>
      <c r="H21" s="78" t="s">
        <v>16</v>
      </c>
      <c r="I21" s="79">
        <f t="shared" ref="I21:J21" ca="1" si="7">+I23+I25+I27</f>
        <v>75</v>
      </c>
      <c r="J21" s="79">
        <f t="shared" si="7"/>
        <v>0</v>
      </c>
      <c r="K21" s="80">
        <f t="shared" ca="1" si="6"/>
        <v>0</v>
      </c>
      <c r="L21" s="61"/>
      <c r="M21" s="61"/>
      <c r="N21" s="61"/>
    </row>
    <row r="22" spans="1:14" ht="21.75" customHeight="1" x14ac:dyDescent="0.4">
      <c r="A22" s="55"/>
      <c r="B22" s="56"/>
      <c r="C22" s="56"/>
      <c r="D22" s="73"/>
      <c r="E22" s="77"/>
      <c r="F22" s="75"/>
      <c r="G22" s="75" t="s">
        <v>31</v>
      </c>
      <c r="H22" s="60" t="s">
        <v>15</v>
      </c>
      <c r="I22" s="48">
        <f ca="1">IFERROR(__xludf.DUMMYFUNCTION("IMPORTRANGE(""https://docs.google.com/spreadsheets/d/1C3CXT74ZlgGe6_JY_1olB1XN4rF0dxEuIIF-xsYjHgg/edit?usp=sharing"",""พรบ!H34"")"),0)</f>
        <v>0</v>
      </c>
      <c r="J22" s="68">
        <v>0</v>
      </c>
      <c r="K22" s="49">
        <f t="shared" ca="1" si="6"/>
        <v>0</v>
      </c>
      <c r="L22" s="61"/>
      <c r="M22" s="61"/>
      <c r="N22" s="61"/>
    </row>
    <row r="23" spans="1:14" ht="21.75" customHeight="1" x14ac:dyDescent="0.4">
      <c r="A23" s="55"/>
      <c r="B23" s="56"/>
      <c r="C23" s="56"/>
      <c r="D23" s="73"/>
      <c r="E23" s="77"/>
      <c r="F23" s="75"/>
      <c r="G23" s="76"/>
      <c r="H23" s="60" t="s">
        <v>16</v>
      </c>
      <c r="I23" s="48">
        <f ca="1">IFERROR(__xludf.DUMMYFUNCTION("IMPORTRANGE(""https://docs.google.com/spreadsheets/d/1C3CXT74ZlgGe6_JY_1olB1XN4rF0dxEuIIF-xsYjHgg/edit?usp=sharing"",""พรบ!I34"")"),0)</f>
        <v>0</v>
      </c>
      <c r="J23" s="68">
        <v>0</v>
      </c>
      <c r="K23" s="49">
        <f t="shared" ca="1" si="6"/>
        <v>0</v>
      </c>
      <c r="L23" s="61"/>
      <c r="M23" s="61"/>
      <c r="N23" s="61"/>
    </row>
    <row r="24" spans="1:14" ht="21.75" customHeight="1" x14ac:dyDescent="0.4">
      <c r="A24" s="55"/>
      <c r="B24" s="56"/>
      <c r="C24" s="56"/>
      <c r="D24" s="73"/>
      <c r="E24" s="77"/>
      <c r="F24" s="75"/>
      <c r="G24" s="75" t="s">
        <v>32</v>
      </c>
      <c r="H24" s="60" t="s">
        <v>15</v>
      </c>
      <c r="I24" s="48">
        <f ca="1">IFERROR(__xludf.DUMMYFUNCTION("IMPORTRANGE(""https://docs.google.com/spreadsheets/d/1C3CXT74ZlgGe6_JY_1olB1XN4rF0dxEuIIF-xsYjHgg/edit?usp=sharing"",""พรบ!J34"")"),1)</f>
        <v>1</v>
      </c>
      <c r="J24" s="68">
        <v>0</v>
      </c>
      <c r="K24" s="49">
        <f t="shared" ca="1" si="6"/>
        <v>0</v>
      </c>
      <c r="L24" s="61"/>
      <c r="M24" s="61"/>
      <c r="N24" s="61"/>
    </row>
    <row r="25" spans="1:14" ht="21.75" customHeight="1" x14ac:dyDescent="0.4">
      <c r="A25" s="55"/>
      <c r="B25" s="56"/>
      <c r="C25" s="56"/>
      <c r="D25" s="73"/>
      <c r="E25" s="77"/>
      <c r="F25" s="75"/>
      <c r="G25" s="76"/>
      <c r="H25" s="60" t="s">
        <v>16</v>
      </c>
      <c r="I25" s="48">
        <f ca="1">IFERROR(__xludf.DUMMYFUNCTION("IMPORTRANGE(""https://docs.google.com/spreadsheets/d/1C3CXT74ZlgGe6_JY_1olB1XN4rF0dxEuIIF-xsYjHgg/edit?usp=sharing"",""พรบ!K34"")"),75)</f>
        <v>75</v>
      </c>
      <c r="J25" s="68">
        <v>0</v>
      </c>
      <c r="K25" s="49">
        <f t="shared" ca="1" si="6"/>
        <v>0</v>
      </c>
      <c r="L25" s="61"/>
      <c r="M25" s="61"/>
      <c r="N25" s="61"/>
    </row>
    <row r="26" spans="1:14" ht="21.75" customHeight="1" x14ac:dyDescent="0.4">
      <c r="A26" s="55"/>
      <c r="B26" s="56"/>
      <c r="C26" s="56"/>
      <c r="D26" s="73"/>
      <c r="E26" s="77"/>
      <c r="F26" s="75"/>
      <c r="G26" s="75" t="s">
        <v>33</v>
      </c>
      <c r="H26" s="60" t="s">
        <v>15</v>
      </c>
      <c r="I26" s="48">
        <f ca="1">IFERROR(__xludf.DUMMYFUNCTION("IMPORTRANGE(""https://docs.google.com/spreadsheets/d/1C3CXT74ZlgGe6_JY_1olB1XN4rF0dxEuIIF-xsYjHgg/edit?usp=sharing"",""พรบ!L34"")"),0)</f>
        <v>0</v>
      </c>
      <c r="J26" s="68">
        <v>0</v>
      </c>
      <c r="K26" s="49">
        <f t="shared" ca="1" si="6"/>
        <v>0</v>
      </c>
      <c r="L26" s="61"/>
      <c r="M26" s="61"/>
      <c r="N26" s="61"/>
    </row>
    <row r="27" spans="1:14" ht="21.75" customHeight="1" x14ac:dyDescent="0.4">
      <c r="A27" s="55"/>
      <c r="B27" s="56"/>
      <c r="C27" s="56"/>
      <c r="D27" s="73"/>
      <c r="E27" s="77"/>
      <c r="F27" s="75"/>
      <c r="G27" s="76"/>
      <c r="H27" s="60" t="s">
        <v>16</v>
      </c>
      <c r="I27" s="48">
        <f ca="1">IFERROR(__xludf.DUMMYFUNCTION("IMPORTRANGE(""https://docs.google.com/spreadsheets/d/1C3CXT74ZlgGe6_JY_1olB1XN4rF0dxEuIIF-xsYjHgg/edit?usp=sharing"",""พรบ!M34"")"),0)</f>
        <v>0</v>
      </c>
      <c r="J27" s="68">
        <v>0</v>
      </c>
      <c r="K27" s="49">
        <f t="shared" ca="1" si="6"/>
        <v>0</v>
      </c>
      <c r="L27" s="61"/>
      <c r="M27" s="61"/>
      <c r="N27" s="61"/>
    </row>
    <row r="28" spans="1:14" ht="21.75" customHeight="1" x14ac:dyDescent="0.4">
      <c r="A28" s="55"/>
      <c r="B28" s="56"/>
      <c r="C28" s="56"/>
      <c r="D28" s="73"/>
      <c r="E28" s="77"/>
      <c r="F28" s="74" t="s">
        <v>34</v>
      </c>
      <c r="G28" s="75"/>
      <c r="H28" s="60" t="s">
        <v>16</v>
      </c>
      <c r="I28" s="48">
        <f ca="1">IFERROR(__xludf.DUMMYFUNCTION("IMPORTRANGE(""https://docs.google.com/spreadsheets/d/1C3CXT74ZlgGe6_JY_1olB1XN4rF0dxEuIIF-xsYjHgg/edit?usp=sharing"",""พรบ!N34"")"),0)</f>
        <v>0</v>
      </c>
      <c r="J28" s="68">
        <v>0</v>
      </c>
      <c r="K28" s="49">
        <f t="shared" ca="1" si="6"/>
        <v>0</v>
      </c>
      <c r="L28" s="61"/>
      <c r="M28" s="61"/>
      <c r="N28" s="61"/>
    </row>
    <row r="29" spans="1:14" ht="21.75" customHeight="1" x14ac:dyDescent="0.4">
      <c r="A29" s="55"/>
      <c r="B29" s="56"/>
      <c r="C29" s="56"/>
      <c r="D29" s="73"/>
      <c r="E29" s="74" t="s">
        <v>35</v>
      </c>
      <c r="F29" s="75"/>
      <c r="G29" s="76"/>
      <c r="H29" s="66"/>
      <c r="I29" s="67"/>
      <c r="J29" s="68">
        <v>0</v>
      </c>
      <c r="K29" s="49"/>
      <c r="L29" s="61"/>
      <c r="M29" s="61"/>
      <c r="N29" s="61"/>
    </row>
    <row r="30" spans="1:14" ht="21.75" customHeight="1" x14ac:dyDescent="0.4">
      <c r="A30" s="55"/>
      <c r="B30" s="56"/>
      <c r="C30" s="56"/>
      <c r="D30" s="81">
        <v>3</v>
      </c>
      <c r="E30" s="82" t="s">
        <v>36</v>
      </c>
      <c r="F30" s="83"/>
      <c r="G30" s="84"/>
      <c r="H30" s="66"/>
      <c r="I30" s="67"/>
      <c r="J30" s="85">
        <v>0</v>
      </c>
      <c r="K30" s="49"/>
      <c r="L30" s="61"/>
      <c r="M30" s="61"/>
      <c r="N30" s="61"/>
    </row>
    <row r="31" spans="1:14" ht="21.75" customHeight="1" x14ac:dyDescent="0.4">
      <c r="A31" s="86" t="s">
        <v>37</v>
      </c>
      <c r="B31" s="87"/>
      <c r="C31" s="88"/>
      <c r="D31" s="87"/>
      <c r="E31" s="89"/>
      <c r="F31" s="89"/>
      <c r="G31" s="90"/>
      <c r="H31" s="91"/>
      <c r="I31" s="92"/>
      <c r="J31" s="92"/>
      <c r="K31" s="93"/>
      <c r="L31" s="94"/>
      <c r="M31" s="94"/>
      <c r="N31" s="95"/>
    </row>
    <row r="32" spans="1:14" ht="21.75" customHeight="1" x14ac:dyDescent="0.4">
      <c r="A32" s="34"/>
      <c r="B32" s="35" t="s">
        <v>38</v>
      </c>
      <c r="C32" s="35"/>
      <c r="D32" s="36"/>
      <c r="E32" s="35"/>
      <c r="F32" s="35"/>
      <c r="G32" s="96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41">
        <f t="shared" ref="K32:K33" ca="1" si="9">IF(I32&gt;0,J32*100/I32,0)</f>
        <v>0</v>
      </c>
      <c r="L32" s="97">
        <f ca="1">L34+L35</f>
        <v>0</v>
      </c>
      <c r="M32" s="97">
        <f>SUM(M34:M35)</f>
        <v>0</v>
      </c>
      <c r="N32" s="41">
        <f ca="1">IF(L32&gt;0,M32*100/L32,0)</f>
        <v>0</v>
      </c>
    </row>
    <row r="33" spans="1:14" ht="21.75" customHeight="1" x14ac:dyDescent="0.4">
      <c r="A33" s="34"/>
      <c r="B33" s="35"/>
      <c r="C33" s="35"/>
      <c r="D33" s="36" t="s">
        <v>39</v>
      </c>
      <c r="E33" s="35"/>
      <c r="F33" s="35"/>
      <c r="G33" s="96"/>
      <c r="H33" s="37" t="s">
        <v>40</v>
      </c>
      <c r="I33" s="38">
        <f ca="1">I48</f>
        <v>0</v>
      </c>
      <c r="J33" s="38">
        <f>+J48</f>
        <v>0</v>
      </c>
      <c r="K33" s="41">
        <f t="shared" ca="1" si="9"/>
        <v>0</v>
      </c>
      <c r="L33" s="97"/>
      <c r="M33" s="97"/>
      <c r="N33" s="41"/>
    </row>
    <row r="34" spans="1:14" ht="21.75" customHeight="1" x14ac:dyDescent="0.4">
      <c r="A34" s="42"/>
      <c r="B34" s="43"/>
      <c r="C34" s="43" t="s">
        <v>17</v>
      </c>
      <c r="D34" s="44" t="s">
        <v>18</v>
      </c>
      <c r="E34" s="45"/>
      <c r="F34" s="45"/>
      <c r="G34" s="46" t="s">
        <v>19</v>
      </c>
      <c r="H34" s="47" t="s">
        <v>20</v>
      </c>
      <c r="I34" s="67" t="s">
        <v>21</v>
      </c>
      <c r="J34" s="67"/>
      <c r="K34" s="233"/>
      <c r="L34" s="53">
        <v>0</v>
      </c>
      <c r="M34" s="50">
        <v>0</v>
      </c>
      <c r="N34" s="50">
        <f t="shared" ref="N34:N37" si="10">+IF(L34&gt;0,M34*100/L34,0)</f>
        <v>0</v>
      </c>
    </row>
    <row r="35" spans="1:14" ht="21.75" customHeight="1" x14ac:dyDescent="0.4">
      <c r="A35" s="42"/>
      <c r="B35" s="43"/>
      <c r="C35" s="43"/>
      <c r="D35" s="51"/>
      <c r="E35" s="45"/>
      <c r="F35" s="45" t="s">
        <v>21</v>
      </c>
      <c r="G35" s="46" t="s">
        <v>22</v>
      </c>
      <c r="H35" s="47" t="s">
        <v>20</v>
      </c>
      <c r="I35" s="67"/>
      <c r="J35" s="67"/>
      <c r="K35" s="233"/>
      <c r="L35" s="53">
        <f ca="1">IFERROR(__xludf.DUMMYFUNCTION("IMPORTRANGE(""https://docs.google.com/spreadsheets/d/1C3CXT74ZlgGe6_JY_1olB1XN4rF0dxEuIIF-xsYjHgg/edit?usp=sharing"",""พรบ!O34"")"),0)</f>
        <v>0</v>
      </c>
      <c r="M35" s="50">
        <f>SUM(M36:M37)</f>
        <v>0</v>
      </c>
      <c r="N35" s="50">
        <f t="shared" ca="1" si="10"/>
        <v>0</v>
      </c>
    </row>
    <row r="36" spans="1:14" ht="21.75" customHeight="1" x14ac:dyDescent="0.4">
      <c r="A36" s="42"/>
      <c r="B36" s="43"/>
      <c r="C36" s="43"/>
      <c r="D36" s="51"/>
      <c r="E36" s="45"/>
      <c r="F36" s="45"/>
      <c r="G36" s="52" t="s">
        <v>23</v>
      </c>
      <c r="H36" s="47" t="s">
        <v>20</v>
      </c>
      <c r="I36" s="67"/>
      <c r="J36" s="67"/>
      <c r="K36" s="233"/>
      <c r="L36" s="53">
        <f ca="1">IFERROR(__xludf.DUMMYFUNCTION("IMPORTRANGE(""https://docs.google.com/spreadsheets/d/1C3CXT74ZlgGe6_JY_1olB1XN4rF0dxEuIIF-xsYjHgg/edit?usp=sharing"",""พรบ!P34"")"),0)</f>
        <v>0</v>
      </c>
      <c r="M36" s="53">
        <v>0</v>
      </c>
      <c r="N36" s="53">
        <f t="shared" ca="1" si="10"/>
        <v>0</v>
      </c>
    </row>
    <row r="37" spans="1:14" ht="21.75" customHeight="1" x14ac:dyDescent="0.4">
      <c r="A37" s="42"/>
      <c r="B37" s="43"/>
      <c r="C37" s="43"/>
      <c r="D37" s="51"/>
      <c r="E37" s="45"/>
      <c r="F37" s="45"/>
      <c r="G37" s="52" t="s">
        <v>24</v>
      </c>
      <c r="H37" s="47" t="s">
        <v>20</v>
      </c>
      <c r="I37" s="67"/>
      <c r="J37" s="67"/>
      <c r="K37" s="233"/>
      <c r="L37" s="53">
        <f ca="1">IFERROR(__xludf.DUMMYFUNCTION("IMPORTRANGE(""https://docs.google.com/spreadsheets/d/1C3CXT74ZlgGe6_JY_1olB1XN4rF0dxEuIIF-xsYjHgg/edit?usp=sharing"",""พรบ!Q34"")"),0)</f>
        <v>0</v>
      </c>
      <c r="M37" s="53">
        <v>0</v>
      </c>
      <c r="N37" s="53">
        <f t="shared" ca="1" si="10"/>
        <v>0</v>
      </c>
    </row>
    <row r="38" spans="1:14" ht="21.75" customHeight="1" x14ac:dyDescent="0.4">
      <c r="A38" s="55"/>
      <c r="B38" s="56"/>
      <c r="C38" s="43" t="s">
        <v>17</v>
      </c>
      <c r="D38" s="57" t="s">
        <v>25</v>
      </c>
      <c r="E38" s="58"/>
      <c r="F38" s="58"/>
      <c r="G38" s="59"/>
      <c r="H38" s="60"/>
      <c r="I38" s="67"/>
      <c r="J38" s="67"/>
      <c r="K38" s="233"/>
      <c r="L38" s="53"/>
      <c r="M38" s="53"/>
      <c r="N38" s="53"/>
    </row>
    <row r="39" spans="1:14" ht="21.75" customHeight="1" x14ac:dyDescent="0.4">
      <c r="A39" s="55"/>
      <c r="B39" s="56"/>
      <c r="C39" s="56"/>
      <c r="D39" s="62">
        <v>1</v>
      </c>
      <c r="E39" s="63" t="s">
        <v>26</v>
      </c>
      <c r="F39" s="64"/>
      <c r="G39" s="65"/>
      <c r="H39" s="66"/>
      <c r="I39" s="67"/>
      <c r="J39" s="67">
        <v>0</v>
      </c>
      <c r="K39" s="233"/>
      <c r="L39" s="53"/>
      <c r="M39" s="53"/>
      <c r="N39" s="53"/>
    </row>
    <row r="40" spans="1:14" ht="21.75" customHeight="1" x14ac:dyDescent="0.4">
      <c r="A40" s="55"/>
      <c r="B40" s="56"/>
      <c r="C40" s="56"/>
      <c r="D40" s="69">
        <v>2</v>
      </c>
      <c r="E40" s="70" t="s">
        <v>27</v>
      </c>
      <c r="F40" s="71"/>
      <c r="G40" s="72"/>
      <c r="H40" s="66"/>
      <c r="I40" s="67"/>
      <c r="J40" s="67">
        <v>0</v>
      </c>
      <c r="K40" s="233"/>
      <c r="L40" s="53" t="s">
        <v>21</v>
      </c>
      <c r="M40" s="53" t="s">
        <v>21</v>
      </c>
      <c r="N40" s="53"/>
    </row>
    <row r="41" spans="1:14" ht="21.75" customHeight="1" x14ac:dyDescent="0.4">
      <c r="A41" s="55"/>
      <c r="B41" s="56"/>
      <c r="C41" s="56"/>
      <c r="D41" s="73"/>
      <c r="E41" s="74" t="s">
        <v>28</v>
      </c>
      <c r="F41" s="75"/>
      <c r="G41" s="76"/>
      <c r="H41" s="66"/>
      <c r="I41" s="67"/>
      <c r="J41" s="67">
        <v>0</v>
      </c>
      <c r="K41" s="233"/>
      <c r="L41" s="53"/>
      <c r="M41" s="53"/>
      <c r="N41" s="53"/>
    </row>
    <row r="42" spans="1:14" ht="21.75" customHeight="1" x14ac:dyDescent="0.4">
      <c r="A42" s="55"/>
      <c r="B42" s="56"/>
      <c r="C42" s="56"/>
      <c r="D42" s="73"/>
      <c r="E42" s="74" t="s">
        <v>29</v>
      </c>
      <c r="F42" s="75"/>
      <c r="G42" s="76"/>
      <c r="H42" s="66"/>
      <c r="I42" s="67"/>
      <c r="J42" s="67">
        <v>0</v>
      </c>
      <c r="K42" s="233"/>
      <c r="L42" s="53"/>
      <c r="M42" s="53"/>
      <c r="N42" s="53"/>
    </row>
    <row r="43" spans="1:14" ht="21.75" customHeight="1" x14ac:dyDescent="0.4">
      <c r="A43" s="55"/>
      <c r="B43" s="56"/>
      <c r="C43" s="56"/>
      <c r="D43" s="73"/>
      <c r="E43" s="75"/>
      <c r="F43" s="75" t="s">
        <v>41</v>
      </c>
      <c r="G43" s="75"/>
      <c r="H43" s="60" t="s">
        <v>42</v>
      </c>
      <c r="I43" s="67">
        <f ca="1">IFERROR(__xludf.DUMMYFUNCTION("IMPORTRANGE(""https://docs.google.com/spreadsheets/d/1C3CXT74ZlgGe6_JY_1olB1XN4rF0dxEuIIF-xsYjHgg/edit?usp=sharing"",""พรบ!R34"")"),0)</f>
        <v>0</v>
      </c>
      <c r="J43" s="67">
        <v>0</v>
      </c>
      <c r="K43" s="233">
        <f t="shared" ref="K43:K48" ca="1" si="11">IF(I43&gt;0,J43*100/I43,0)</f>
        <v>0</v>
      </c>
      <c r="L43" s="53"/>
      <c r="M43" s="53"/>
      <c r="N43" s="53"/>
    </row>
    <row r="44" spans="1:14" ht="21.75" customHeight="1" x14ac:dyDescent="0.4">
      <c r="A44" s="55"/>
      <c r="B44" s="56"/>
      <c r="C44" s="56"/>
      <c r="D44" s="73"/>
      <c r="E44" s="77"/>
      <c r="F44" s="74" t="s">
        <v>43</v>
      </c>
      <c r="G44" s="75"/>
      <c r="H44" s="60" t="s">
        <v>16</v>
      </c>
      <c r="I44" s="67">
        <f ca="1">IFERROR(__xludf.DUMMYFUNCTION("IMPORTRANGE(""https://docs.google.com/spreadsheets/d/1C3CXT74ZlgGe6_JY_1olB1XN4rF0dxEuIIF-xsYjHgg/edit?usp=sharing"",""พรบ!S34"")"),0)</f>
        <v>0</v>
      </c>
      <c r="J44" s="67">
        <v>0</v>
      </c>
      <c r="K44" s="233">
        <f t="shared" ca="1" si="11"/>
        <v>0</v>
      </c>
      <c r="L44" s="53"/>
      <c r="M44" s="53"/>
      <c r="N44" s="53"/>
    </row>
    <row r="45" spans="1:14" ht="21.75" customHeight="1" x14ac:dyDescent="0.4">
      <c r="A45" s="55"/>
      <c r="B45" s="56"/>
      <c r="C45" s="56"/>
      <c r="D45" s="73"/>
      <c r="E45" s="77"/>
      <c r="F45" s="75"/>
      <c r="G45" s="98" t="s">
        <v>44</v>
      </c>
      <c r="H45" s="60" t="s">
        <v>16</v>
      </c>
      <c r="I45" s="67">
        <f ca="1">IFERROR(__xludf.DUMMYFUNCTION("IMPORTRANGE(""https://docs.google.com/spreadsheets/d/1C3CXT74ZlgGe6_JY_1olB1XN4rF0dxEuIIF-xsYjHgg/edit?usp=sharing"",""พรบ!T34"")"),0)</f>
        <v>0</v>
      </c>
      <c r="J45" s="67">
        <v>0</v>
      </c>
      <c r="K45" s="233">
        <f t="shared" ca="1" si="11"/>
        <v>0</v>
      </c>
      <c r="L45" s="53"/>
      <c r="M45" s="53"/>
      <c r="N45" s="53"/>
    </row>
    <row r="46" spans="1:14" ht="21.75" customHeight="1" x14ac:dyDescent="0.4">
      <c r="A46" s="55"/>
      <c r="B46" s="56"/>
      <c r="C46" s="56"/>
      <c r="D46" s="73"/>
      <c r="E46" s="77"/>
      <c r="F46" s="75"/>
      <c r="G46" s="98" t="s">
        <v>45</v>
      </c>
      <c r="H46" s="60" t="s">
        <v>16</v>
      </c>
      <c r="I46" s="67">
        <f ca="1">IFERROR(__xludf.DUMMYFUNCTION("IMPORTRANGE(""https://docs.google.com/spreadsheets/d/1C3CXT74ZlgGe6_JY_1olB1XN4rF0dxEuIIF-xsYjHgg/edit?usp=sharing"",""พรบ!U34"")"),0)</f>
        <v>0</v>
      </c>
      <c r="J46" s="67">
        <v>0</v>
      </c>
      <c r="K46" s="233">
        <f t="shared" ca="1" si="11"/>
        <v>0</v>
      </c>
      <c r="L46" s="53"/>
      <c r="M46" s="53"/>
      <c r="N46" s="53"/>
    </row>
    <row r="47" spans="1:14" ht="21.75" customHeight="1" x14ac:dyDescent="0.4">
      <c r="A47" s="55"/>
      <c r="B47" s="56"/>
      <c r="C47" s="56"/>
      <c r="D47" s="73"/>
      <c r="E47" s="77"/>
      <c r="F47" s="75"/>
      <c r="G47" s="99" t="s">
        <v>46</v>
      </c>
      <c r="H47" s="60" t="s">
        <v>16</v>
      </c>
      <c r="I47" s="67">
        <f ca="1">IFERROR(__xludf.DUMMYFUNCTION("IMPORTRANGE(""https://docs.google.com/spreadsheets/d/1C3CXT74ZlgGe6_JY_1olB1XN4rF0dxEuIIF-xsYjHgg/edit?usp=sharing"",""พรบ!V34"")"),0)</f>
        <v>0</v>
      </c>
      <c r="J47" s="67">
        <v>0</v>
      </c>
      <c r="K47" s="233">
        <f t="shared" ca="1" si="11"/>
        <v>0</v>
      </c>
      <c r="L47" s="53"/>
      <c r="M47" s="53"/>
      <c r="N47" s="53"/>
    </row>
    <row r="48" spans="1:14" ht="21.75" customHeight="1" x14ac:dyDescent="0.4">
      <c r="A48" s="55"/>
      <c r="B48" s="56"/>
      <c r="C48" s="56"/>
      <c r="D48" s="73"/>
      <c r="E48" s="77"/>
      <c r="F48" s="75" t="s">
        <v>47</v>
      </c>
      <c r="G48" s="75"/>
      <c r="H48" s="60" t="s">
        <v>40</v>
      </c>
      <c r="I48" s="67">
        <f ca="1">IFERROR(__xludf.DUMMYFUNCTION("IMPORTRANGE(""https://docs.google.com/spreadsheets/d/1C3CXT74ZlgGe6_JY_1olB1XN4rF0dxEuIIF-xsYjHgg/edit?usp=sharing"",""พรบ!W34"")"),0)</f>
        <v>0</v>
      </c>
      <c r="J48" s="67">
        <v>0</v>
      </c>
      <c r="K48" s="233">
        <f t="shared" ca="1" si="11"/>
        <v>0</v>
      </c>
      <c r="L48" s="53"/>
      <c r="M48" s="53"/>
      <c r="N48" s="53"/>
    </row>
    <row r="49" spans="1:14" ht="21.75" customHeight="1" x14ac:dyDescent="0.4">
      <c r="A49" s="55"/>
      <c r="B49" s="56"/>
      <c r="C49" s="56"/>
      <c r="D49" s="73"/>
      <c r="E49" s="74" t="s">
        <v>35</v>
      </c>
      <c r="F49" s="75"/>
      <c r="G49" s="76"/>
      <c r="H49" s="66"/>
      <c r="I49" s="67"/>
      <c r="J49" s="67">
        <v>0</v>
      </c>
      <c r="K49" s="233"/>
      <c r="L49" s="53"/>
      <c r="M49" s="53"/>
      <c r="N49" s="53"/>
    </row>
    <row r="50" spans="1:14" ht="21.75" customHeight="1" x14ac:dyDescent="0.4">
      <c r="A50" s="55"/>
      <c r="B50" s="56"/>
      <c r="C50" s="56"/>
      <c r="D50" s="81">
        <v>3</v>
      </c>
      <c r="E50" s="82" t="s">
        <v>36</v>
      </c>
      <c r="F50" s="83"/>
      <c r="G50" s="84"/>
      <c r="H50" s="66"/>
      <c r="I50" s="67"/>
      <c r="J50" s="360">
        <v>0</v>
      </c>
      <c r="K50" s="233"/>
      <c r="L50" s="53"/>
      <c r="M50" s="53"/>
      <c r="N50" s="53"/>
    </row>
    <row r="51" spans="1:14" ht="21.75" customHeight="1" x14ac:dyDescent="0.4">
      <c r="A51" s="86" t="s">
        <v>48</v>
      </c>
      <c r="B51" s="100"/>
      <c r="C51" s="101"/>
      <c r="D51" s="100"/>
      <c r="E51" s="102"/>
      <c r="F51" s="102"/>
      <c r="G51" s="103"/>
      <c r="H51" s="91"/>
      <c r="I51" s="92"/>
      <c r="J51" s="92"/>
      <c r="K51" s="93"/>
      <c r="L51" s="94"/>
      <c r="M51" s="94"/>
      <c r="N51" s="95"/>
    </row>
    <row r="52" spans="1:14" ht="21.75" customHeight="1" x14ac:dyDescent="0.4">
      <c r="A52" s="34"/>
      <c r="B52" s="35" t="s">
        <v>49</v>
      </c>
      <c r="C52" s="104"/>
      <c r="D52" s="36"/>
      <c r="E52" s="35"/>
      <c r="F52" s="35"/>
      <c r="G52" s="96"/>
      <c r="H52" s="37" t="s">
        <v>16</v>
      </c>
      <c r="I52" s="38">
        <f ca="1">I62</f>
        <v>20</v>
      </c>
      <c r="J52" s="38">
        <f>+J62</f>
        <v>0</v>
      </c>
      <c r="K52" s="41">
        <f ca="1">IF(I52&gt;0,J52*100/I52,0)</f>
        <v>0</v>
      </c>
      <c r="L52" s="40">
        <f ca="1">L53+L54</f>
        <v>82440</v>
      </c>
      <c r="M52" s="40">
        <f>SUM(M53:M54)</f>
        <v>0</v>
      </c>
      <c r="N52" s="41">
        <f ca="1">IF(L52&gt;0,M52*100/L52,0)</f>
        <v>0</v>
      </c>
    </row>
    <row r="53" spans="1:14" ht="21.75" customHeight="1" x14ac:dyDescent="0.4">
      <c r="A53" s="42"/>
      <c r="B53" s="43"/>
      <c r="C53" s="43" t="s">
        <v>17</v>
      </c>
      <c r="D53" s="44" t="s">
        <v>18</v>
      </c>
      <c r="E53" s="45"/>
      <c r="F53" s="45"/>
      <c r="G53" s="46" t="s">
        <v>19</v>
      </c>
      <c r="H53" s="47" t="s">
        <v>20</v>
      </c>
      <c r="I53" s="48" t="s">
        <v>21</v>
      </c>
      <c r="J53" s="48"/>
      <c r="K53" s="49"/>
      <c r="L53" s="50">
        <v>0</v>
      </c>
      <c r="M53" s="50">
        <v>0</v>
      </c>
      <c r="N53" s="50">
        <f t="shared" ref="N53:N56" si="12">+IF(L53&gt;0,M53*100/L53,0)</f>
        <v>0</v>
      </c>
    </row>
    <row r="54" spans="1:14" ht="21.75" customHeight="1" x14ac:dyDescent="0.4">
      <c r="A54" s="42"/>
      <c r="B54" s="43"/>
      <c r="C54" s="43"/>
      <c r="D54" s="51"/>
      <c r="E54" s="45"/>
      <c r="F54" s="45" t="s">
        <v>21</v>
      </c>
      <c r="G54" s="46" t="s">
        <v>22</v>
      </c>
      <c r="H54" s="47" t="s">
        <v>20</v>
      </c>
      <c r="I54" s="48"/>
      <c r="J54" s="48"/>
      <c r="K54" s="49"/>
      <c r="L54" s="50">
        <f t="shared" ref="L54:M54" ca="1" si="13">SUM(L55:L56)</f>
        <v>82440</v>
      </c>
      <c r="M54" s="50">
        <f t="shared" si="13"/>
        <v>0</v>
      </c>
      <c r="N54" s="50">
        <f t="shared" ca="1" si="12"/>
        <v>0</v>
      </c>
    </row>
    <row r="55" spans="1:14" ht="21.75" customHeight="1" x14ac:dyDescent="0.4">
      <c r="A55" s="42"/>
      <c r="B55" s="43"/>
      <c r="C55" s="43"/>
      <c r="D55" s="51"/>
      <c r="E55" s="45"/>
      <c r="F55" s="45"/>
      <c r="G55" s="52" t="s">
        <v>23</v>
      </c>
      <c r="H55" s="47" t="s">
        <v>20</v>
      </c>
      <c r="I55" s="48"/>
      <c r="J55" s="48"/>
      <c r="K55" s="49"/>
      <c r="L55" s="53">
        <f ca="1">IFERROR(__xludf.DUMMYFUNCTION("IMPORTRANGE(""https://docs.google.com/spreadsheets/d/1C3CXT74ZlgGe6_JY_1olB1XN4rF0dxEuIIF-xsYjHgg/edit?usp=sharing"",""พรบ!Y34"")"),0)</f>
        <v>0</v>
      </c>
      <c r="M55" s="53">
        <v>0</v>
      </c>
      <c r="N55" s="53">
        <f t="shared" ca="1" si="12"/>
        <v>0</v>
      </c>
    </row>
    <row r="56" spans="1:14" ht="21.75" customHeight="1" x14ac:dyDescent="0.4">
      <c r="A56" s="42"/>
      <c r="B56" s="43"/>
      <c r="C56" s="43"/>
      <c r="D56" s="51"/>
      <c r="E56" s="45"/>
      <c r="F56" s="45"/>
      <c r="G56" s="52" t="s">
        <v>24</v>
      </c>
      <c r="H56" s="47" t="s">
        <v>20</v>
      </c>
      <c r="I56" s="48"/>
      <c r="J56" s="48"/>
      <c r="K56" s="49"/>
      <c r="L56" s="53">
        <f ca="1">IFERROR(__xludf.DUMMYFUNCTION("IMPORTRANGE(""https://docs.google.com/spreadsheets/d/1C3CXT74ZlgGe6_JY_1olB1XN4rF0dxEuIIF-xsYjHgg/edit?usp=sharing"",""พรบ!Z34"")"),82440)</f>
        <v>82440</v>
      </c>
      <c r="M56" s="54">
        <v>0</v>
      </c>
      <c r="N56" s="53">
        <f t="shared" ca="1" si="12"/>
        <v>0</v>
      </c>
    </row>
    <row r="57" spans="1:14" ht="21.75" customHeight="1" x14ac:dyDescent="0.4">
      <c r="A57" s="55"/>
      <c r="B57" s="56"/>
      <c r="C57" s="43" t="s">
        <v>17</v>
      </c>
      <c r="D57" s="57" t="s">
        <v>250</v>
      </c>
      <c r="E57" s="58"/>
      <c r="F57" s="58"/>
      <c r="G57" s="59"/>
      <c r="H57" s="60"/>
      <c r="I57" s="48"/>
      <c r="J57" s="48"/>
      <c r="K57" s="49"/>
      <c r="L57" s="61"/>
      <c r="M57" s="61"/>
      <c r="N57" s="61"/>
    </row>
    <row r="58" spans="1:14" ht="21.75" customHeight="1" x14ac:dyDescent="0.4">
      <c r="A58" s="55"/>
      <c r="B58" s="56"/>
      <c r="C58" s="56"/>
      <c r="D58" s="62">
        <v>1</v>
      </c>
      <c r="E58" s="63" t="s">
        <v>26</v>
      </c>
      <c r="F58" s="64"/>
      <c r="G58" s="65"/>
      <c r="H58" s="66"/>
      <c r="I58" s="67"/>
      <c r="J58" s="68">
        <v>0</v>
      </c>
      <c r="K58" s="49"/>
      <c r="L58" s="61"/>
      <c r="M58" s="61"/>
      <c r="N58" s="61"/>
    </row>
    <row r="59" spans="1:14" ht="21.75" customHeight="1" x14ac:dyDescent="0.4">
      <c r="A59" s="55"/>
      <c r="B59" s="56"/>
      <c r="C59" s="56"/>
      <c r="D59" s="69">
        <v>2</v>
      </c>
      <c r="E59" s="70" t="s">
        <v>27</v>
      </c>
      <c r="F59" s="71"/>
      <c r="G59" s="72"/>
      <c r="H59" s="66"/>
      <c r="I59" s="67"/>
      <c r="J59" s="68">
        <v>1</v>
      </c>
      <c r="K59" s="49"/>
      <c r="L59" s="61" t="s">
        <v>21</v>
      </c>
      <c r="M59" s="61" t="s">
        <v>21</v>
      </c>
      <c r="N59" s="61"/>
    </row>
    <row r="60" spans="1:14" ht="21.75" customHeight="1" x14ac:dyDescent="0.4">
      <c r="A60" s="55"/>
      <c r="B60" s="56"/>
      <c r="C60" s="56"/>
      <c r="D60" s="73"/>
      <c r="E60" s="74" t="s">
        <v>28</v>
      </c>
      <c r="F60" s="75"/>
      <c r="G60" s="76"/>
      <c r="H60" s="66"/>
      <c r="I60" s="67"/>
      <c r="J60" s="68">
        <v>1</v>
      </c>
      <c r="K60" s="49"/>
      <c r="L60" s="61"/>
      <c r="M60" s="61"/>
      <c r="N60" s="61"/>
    </row>
    <row r="61" spans="1:14" ht="21.75" customHeight="1" x14ac:dyDescent="0.4">
      <c r="A61" s="55"/>
      <c r="B61" s="56"/>
      <c r="C61" s="56"/>
      <c r="D61" s="73"/>
      <c r="E61" s="74" t="s">
        <v>29</v>
      </c>
      <c r="F61" s="75"/>
      <c r="G61" s="76"/>
      <c r="H61" s="66"/>
      <c r="I61" s="67"/>
      <c r="J61" s="68">
        <v>0</v>
      </c>
      <c r="K61" s="49"/>
      <c r="L61" s="61"/>
      <c r="M61" s="61"/>
      <c r="N61" s="61"/>
    </row>
    <row r="62" spans="1:14" ht="21.75" customHeight="1" x14ac:dyDescent="0.4">
      <c r="A62" s="55"/>
      <c r="B62" s="56"/>
      <c r="C62" s="56"/>
      <c r="D62" s="73"/>
      <c r="E62" s="77"/>
      <c r="F62" s="74" t="s">
        <v>50</v>
      </c>
      <c r="G62" s="76"/>
      <c r="H62" s="60" t="s">
        <v>16</v>
      </c>
      <c r="I62" s="67">
        <f ca="1">IFERROR(__xludf.DUMMYFUNCTION("IMPORTRANGE(""https://docs.google.com/spreadsheets/d/1C3CXT74ZlgGe6_JY_1olB1XN4rF0dxEuIIF-xsYjHgg/edit?usp=sharing"",""พรบ!AA34"")"),20)</f>
        <v>20</v>
      </c>
      <c r="J62" s="68">
        <v>0</v>
      </c>
      <c r="K62" s="49">
        <f t="shared" ref="K62:K63" ca="1" si="14">IF(I62&gt;0,J62*100/I62,0)</f>
        <v>0</v>
      </c>
      <c r="L62" s="61"/>
      <c r="M62" s="61"/>
      <c r="N62" s="61"/>
    </row>
    <row r="63" spans="1:14" ht="21.75" customHeight="1" x14ac:dyDescent="0.4">
      <c r="A63" s="55"/>
      <c r="B63" s="56"/>
      <c r="C63" s="56"/>
      <c r="D63" s="73"/>
      <c r="E63" s="77"/>
      <c r="F63" s="74" t="s">
        <v>51</v>
      </c>
      <c r="G63" s="76"/>
      <c r="H63" s="60" t="s">
        <v>16</v>
      </c>
      <c r="I63" s="67">
        <f ca="1">I62</f>
        <v>20</v>
      </c>
      <c r="J63" s="68">
        <v>0</v>
      </c>
      <c r="K63" s="49">
        <f t="shared" ca="1" si="14"/>
        <v>0</v>
      </c>
      <c r="L63" s="61"/>
      <c r="M63" s="61"/>
      <c r="N63" s="61"/>
    </row>
    <row r="64" spans="1:14" ht="21.75" customHeight="1" x14ac:dyDescent="0.4">
      <c r="A64" s="55"/>
      <c r="B64" s="56"/>
      <c r="C64" s="56"/>
      <c r="D64" s="73"/>
      <c r="E64" s="74" t="s">
        <v>35</v>
      </c>
      <c r="F64" s="75"/>
      <c r="G64" s="76"/>
      <c r="H64" s="66"/>
      <c r="I64" s="67"/>
      <c r="J64" s="68">
        <v>0</v>
      </c>
      <c r="K64" s="49"/>
      <c r="L64" s="61"/>
      <c r="M64" s="61"/>
      <c r="N64" s="61"/>
    </row>
    <row r="65" spans="1:14" ht="21.75" customHeight="1" x14ac:dyDescent="0.4">
      <c r="A65" s="105"/>
      <c r="B65" s="106"/>
      <c r="C65" s="106"/>
      <c r="D65" s="107">
        <v>3</v>
      </c>
      <c r="E65" s="108" t="s">
        <v>36</v>
      </c>
      <c r="F65" s="109"/>
      <c r="G65" s="110"/>
      <c r="H65" s="111"/>
      <c r="I65" s="112"/>
      <c r="J65" s="113">
        <v>0</v>
      </c>
      <c r="K65" s="114"/>
      <c r="L65" s="115"/>
      <c r="M65" s="115"/>
      <c r="N65" s="115"/>
    </row>
    <row r="66" spans="1:14" ht="21.75" customHeight="1" x14ac:dyDescent="0.4">
      <c r="A66" s="116" t="s">
        <v>52</v>
      </c>
      <c r="B66" s="117"/>
      <c r="C66" s="117"/>
      <c r="D66" s="117"/>
      <c r="E66" s="118"/>
      <c r="F66" s="118"/>
      <c r="G66" s="119"/>
      <c r="H66" s="120"/>
      <c r="I66" s="121"/>
      <c r="J66" s="121"/>
      <c r="K66" s="122"/>
      <c r="L66" s="123"/>
      <c r="M66" s="123"/>
      <c r="N66" s="123"/>
    </row>
    <row r="67" spans="1:14" ht="21.75" customHeight="1" x14ac:dyDescent="0.4">
      <c r="A67" s="124" t="s">
        <v>53</v>
      </c>
      <c r="B67" s="125"/>
      <c r="C67" s="125"/>
      <c r="D67" s="126"/>
      <c r="E67" s="126"/>
      <c r="F67" s="126"/>
      <c r="G67" s="127"/>
      <c r="H67" s="128"/>
      <c r="I67" s="129"/>
      <c r="J67" s="129"/>
      <c r="K67" s="130"/>
      <c r="L67" s="130"/>
      <c r="M67" s="130"/>
      <c r="N67" s="131"/>
    </row>
    <row r="68" spans="1:14" ht="21.75" customHeight="1" x14ac:dyDescent="0.4">
      <c r="A68" s="132"/>
      <c r="B68" s="133" t="s">
        <v>54</v>
      </c>
      <c r="C68" s="134"/>
      <c r="D68" s="133"/>
      <c r="E68" s="133"/>
      <c r="F68" s="133"/>
      <c r="G68" s="135"/>
      <c r="H68" s="136" t="s">
        <v>16</v>
      </c>
      <c r="I68" s="137">
        <f t="shared" ref="I68:J68" ca="1" si="15">I126+I129</f>
        <v>0</v>
      </c>
      <c r="J68" s="137">
        <f t="shared" si="15"/>
        <v>0</v>
      </c>
      <c r="K68" s="138">
        <f ca="1">IF(I68&gt;0,J68*100/I68,0)</f>
        <v>0</v>
      </c>
      <c r="L68" s="139">
        <f t="shared" ref="L68:M68" ca="1" si="16">SUM(L70:L71)</f>
        <v>83000</v>
      </c>
      <c r="M68" s="139">
        <f t="shared" si="16"/>
        <v>0</v>
      </c>
      <c r="N68" s="138">
        <f ca="1">IF(L68&gt;0,M68*100/L68,0)</f>
        <v>0</v>
      </c>
    </row>
    <row r="69" spans="1:14" ht="21.75" customHeight="1" x14ac:dyDescent="0.4">
      <c r="A69" s="132"/>
      <c r="B69" s="133" t="s">
        <v>55</v>
      </c>
      <c r="C69" s="134"/>
      <c r="D69" s="133"/>
      <c r="E69" s="133"/>
      <c r="F69" s="133"/>
      <c r="G69" s="135"/>
      <c r="H69" s="136"/>
      <c r="I69" s="137"/>
      <c r="J69" s="137"/>
      <c r="K69" s="138"/>
      <c r="L69" s="139"/>
      <c r="M69" s="139"/>
      <c r="N69" s="138"/>
    </row>
    <row r="70" spans="1:14" ht="21.75" customHeight="1" x14ac:dyDescent="0.4">
      <c r="A70" s="42"/>
      <c r="B70" s="43"/>
      <c r="C70" s="43" t="s">
        <v>17</v>
      </c>
      <c r="D70" s="44" t="s">
        <v>18</v>
      </c>
      <c r="E70" s="45"/>
      <c r="F70" s="45"/>
      <c r="G70" s="46" t="s">
        <v>19</v>
      </c>
      <c r="H70" s="47" t="s">
        <v>20</v>
      </c>
      <c r="I70" s="48" t="s">
        <v>21</v>
      </c>
      <c r="J70" s="48"/>
      <c r="K70" s="49"/>
      <c r="L70" s="50">
        <v>0</v>
      </c>
      <c r="M70" s="50">
        <v>0</v>
      </c>
      <c r="N70" s="50">
        <f t="shared" ref="N70:N77" si="17">+IF(L70&gt;0,M70*100/L70,0)</f>
        <v>0</v>
      </c>
    </row>
    <row r="71" spans="1:14" ht="21.75" customHeight="1" x14ac:dyDescent="0.4">
      <c r="A71" s="42"/>
      <c r="B71" s="43"/>
      <c r="C71" s="43"/>
      <c r="D71" s="51"/>
      <c r="E71" s="45"/>
      <c r="F71" s="45" t="s">
        <v>21</v>
      </c>
      <c r="G71" s="46" t="s">
        <v>22</v>
      </c>
      <c r="H71" s="47" t="s">
        <v>20</v>
      </c>
      <c r="I71" s="48"/>
      <c r="J71" s="48"/>
      <c r="K71" s="49"/>
      <c r="L71" s="50">
        <f ca="1">L72+L73</f>
        <v>83000</v>
      </c>
      <c r="M71" s="140">
        <f>SUM(M72:M73)</f>
        <v>0</v>
      </c>
      <c r="N71" s="50">
        <f t="shared" ca="1" si="17"/>
        <v>0</v>
      </c>
    </row>
    <row r="72" spans="1:14" ht="21.75" customHeight="1" x14ac:dyDescent="0.4">
      <c r="A72" s="42"/>
      <c r="B72" s="43"/>
      <c r="C72" s="43"/>
      <c r="D72" s="51"/>
      <c r="E72" s="45"/>
      <c r="F72" s="45"/>
      <c r="G72" s="52" t="s">
        <v>23</v>
      </c>
      <c r="H72" s="47" t="s">
        <v>20</v>
      </c>
      <c r="I72" s="48"/>
      <c r="J72" s="48"/>
      <c r="K72" s="49"/>
      <c r="L72" s="53">
        <f ca="1">IFERROR(__xludf.DUMMYFUNCTION("IMPORTRANGE(""https://docs.google.com/spreadsheets/d/1C3CXT74ZlgGe6_JY_1olB1XN4rF0dxEuIIF-xsYjHgg/edit?usp=sharing"",""พรบ!AD34"")"),0)</f>
        <v>0</v>
      </c>
      <c r="M72" s="54">
        <v>0</v>
      </c>
      <c r="N72" s="53">
        <f t="shared" ca="1" si="17"/>
        <v>0</v>
      </c>
    </row>
    <row r="73" spans="1:14" ht="21.75" customHeight="1" x14ac:dyDescent="0.4">
      <c r="A73" s="42"/>
      <c r="B73" s="43"/>
      <c r="C73" s="43"/>
      <c r="D73" s="51"/>
      <c r="E73" s="45"/>
      <c r="F73" s="45"/>
      <c r="G73" s="52" t="s">
        <v>24</v>
      </c>
      <c r="H73" s="47" t="s">
        <v>20</v>
      </c>
      <c r="I73" s="48"/>
      <c r="J73" s="48"/>
      <c r="K73" s="49"/>
      <c r="L73" s="53">
        <f t="shared" ref="L73:M73" ca="1" si="18">L77+L92+L104+L117+L132</f>
        <v>83000</v>
      </c>
      <c r="M73" s="53">
        <f t="shared" si="18"/>
        <v>0</v>
      </c>
      <c r="N73" s="53">
        <f t="shared" ca="1" si="17"/>
        <v>0</v>
      </c>
    </row>
    <row r="74" spans="1:14" ht="21.75" customHeight="1" x14ac:dyDescent="0.4">
      <c r="A74" s="141"/>
      <c r="B74" s="142"/>
      <c r="C74" s="143" t="s">
        <v>56</v>
      </c>
      <c r="D74" s="143"/>
      <c r="E74" s="143"/>
      <c r="F74" s="143"/>
      <c r="G74" s="144"/>
      <c r="H74" s="145" t="s">
        <v>57</v>
      </c>
      <c r="I74" s="146">
        <f t="shared" ref="I74:J74" ca="1" si="19">I83</f>
        <v>4</v>
      </c>
      <c r="J74" s="146">
        <f t="shared" si="19"/>
        <v>0</v>
      </c>
      <c r="K74" s="147">
        <f ca="1">IF(I74&gt;0,J74*100/I74,0)</f>
        <v>0</v>
      </c>
      <c r="L74" s="148">
        <f ca="1">L75+L76</f>
        <v>7500</v>
      </c>
      <c r="M74" s="148">
        <f>SUM(M75:M76)</f>
        <v>0</v>
      </c>
      <c r="N74" s="148">
        <f t="shared" ca="1" si="17"/>
        <v>0</v>
      </c>
    </row>
    <row r="75" spans="1:14" ht="21.75" customHeight="1" x14ac:dyDescent="0.4">
      <c r="A75" s="42"/>
      <c r="B75" s="43"/>
      <c r="C75" s="43" t="s">
        <v>17</v>
      </c>
      <c r="D75" s="44" t="s">
        <v>18</v>
      </c>
      <c r="E75" s="45"/>
      <c r="F75" s="45"/>
      <c r="G75" s="46" t="s">
        <v>19</v>
      </c>
      <c r="H75" s="47" t="s">
        <v>20</v>
      </c>
      <c r="I75" s="48" t="s">
        <v>21</v>
      </c>
      <c r="J75" s="48"/>
      <c r="K75" s="49"/>
      <c r="L75" s="50">
        <v>0</v>
      </c>
      <c r="M75" s="50">
        <v>0</v>
      </c>
      <c r="N75" s="50">
        <f t="shared" si="17"/>
        <v>0</v>
      </c>
    </row>
    <row r="76" spans="1:14" ht="21.75" customHeight="1" x14ac:dyDescent="0.4">
      <c r="A76" s="42"/>
      <c r="B76" s="43"/>
      <c r="C76" s="43"/>
      <c r="D76" s="51"/>
      <c r="E76" s="45"/>
      <c r="F76" s="45" t="s">
        <v>21</v>
      </c>
      <c r="G76" s="46" t="s">
        <v>22</v>
      </c>
      <c r="H76" s="47" t="s">
        <v>20</v>
      </c>
      <c r="I76" s="48"/>
      <c r="J76" s="48"/>
      <c r="K76" s="49"/>
      <c r="L76" s="50">
        <f t="shared" ref="L76:M76" ca="1" si="20">L77</f>
        <v>7500</v>
      </c>
      <c r="M76" s="50">
        <f t="shared" si="20"/>
        <v>0</v>
      </c>
      <c r="N76" s="50">
        <f t="shared" ca="1" si="17"/>
        <v>0</v>
      </c>
    </row>
    <row r="77" spans="1:14" ht="21.75" customHeight="1" x14ac:dyDescent="0.4">
      <c r="A77" s="42"/>
      <c r="B77" s="43"/>
      <c r="C77" s="43"/>
      <c r="D77" s="51"/>
      <c r="E77" s="45"/>
      <c r="F77" s="45"/>
      <c r="G77" s="52" t="s">
        <v>24</v>
      </c>
      <c r="H77" s="47" t="s">
        <v>20</v>
      </c>
      <c r="I77" s="48"/>
      <c r="J77" s="48"/>
      <c r="K77" s="49"/>
      <c r="L77" s="53">
        <f ca="1">IFERROR(__xludf.DUMMYFUNCTION("IMPORTRANGE(""https://docs.google.com/spreadsheets/d/1C3CXT74ZlgGe6_JY_1olB1XN4rF0dxEuIIF-xsYjHgg/edit?usp=sharing"",""พรบ!AF34"")"),7500)</f>
        <v>7500</v>
      </c>
      <c r="M77" s="54">
        <v>0</v>
      </c>
      <c r="N77" s="53">
        <f t="shared" ca="1" si="17"/>
        <v>0</v>
      </c>
    </row>
    <row r="78" spans="1:14" ht="21.75" customHeight="1" x14ac:dyDescent="0.4">
      <c r="A78" s="55"/>
      <c r="B78" s="56"/>
      <c r="C78" s="43" t="s">
        <v>17</v>
      </c>
      <c r="D78" s="57" t="s">
        <v>25</v>
      </c>
      <c r="E78" s="58"/>
      <c r="F78" s="58"/>
      <c r="G78" s="59"/>
      <c r="H78" s="60"/>
      <c r="I78" s="48"/>
      <c r="J78" s="48"/>
      <c r="K78" s="49"/>
      <c r="L78" s="61"/>
      <c r="M78" s="61"/>
      <c r="N78" s="61"/>
    </row>
    <row r="79" spans="1:14" ht="21.75" customHeight="1" x14ac:dyDescent="0.4">
      <c r="A79" s="55"/>
      <c r="B79" s="56"/>
      <c r="C79" s="56"/>
      <c r="D79" s="62">
        <v>1</v>
      </c>
      <c r="E79" s="63" t="s">
        <v>26</v>
      </c>
      <c r="F79" s="64"/>
      <c r="G79" s="65"/>
      <c r="H79" s="66"/>
      <c r="I79" s="67"/>
      <c r="J79" s="68">
        <v>0</v>
      </c>
      <c r="K79" s="49"/>
      <c r="L79" s="61"/>
      <c r="M79" s="61"/>
      <c r="N79" s="61"/>
    </row>
    <row r="80" spans="1:14" ht="21.75" customHeight="1" x14ac:dyDescent="0.4">
      <c r="A80" s="55"/>
      <c r="B80" s="56"/>
      <c r="C80" s="56"/>
      <c r="D80" s="69">
        <v>2</v>
      </c>
      <c r="E80" s="70" t="s">
        <v>27</v>
      </c>
      <c r="F80" s="71"/>
      <c r="G80" s="72"/>
      <c r="H80" s="66"/>
      <c r="I80" s="67"/>
      <c r="J80" s="68">
        <v>1</v>
      </c>
      <c r="K80" s="49"/>
      <c r="L80" s="61" t="s">
        <v>21</v>
      </c>
      <c r="M80" s="61" t="s">
        <v>21</v>
      </c>
      <c r="N80" s="61"/>
    </row>
    <row r="81" spans="1:14" ht="21.75" customHeight="1" x14ac:dyDescent="0.4">
      <c r="A81" s="55"/>
      <c r="B81" s="56"/>
      <c r="C81" s="56"/>
      <c r="D81" s="73"/>
      <c r="E81" s="74" t="s">
        <v>28</v>
      </c>
      <c r="F81" s="75"/>
      <c r="G81" s="76"/>
      <c r="H81" s="66"/>
      <c r="I81" s="67"/>
      <c r="J81" s="68">
        <v>1</v>
      </c>
      <c r="K81" s="49"/>
      <c r="L81" s="61"/>
      <c r="M81" s="61"/>
      <c r="N81" s="61"/>
    </row>
    <row r="82" spans="1:14" ht="21.75" customHeight="1" x14ac:dyDescent="0.4">
      <c r="A82" s="55"/>
      <c r="B82" s="56"/>
      <c r="C82" s="56"/>
      <c r="D82" s="73"/>
      <c r="E82" s="74" t="s">
        <v>29</v>
      </c>
      <c r="F82" s="75"/>
      <c r="G82" s="76"/>
      <c r="H82" s="66"/>
      <c r="I82" s="67"/>
      <c r="J82" s="68">
        <v>0</v>
      </c>
      <c r="K82" s="49"/>
      <c r="L82" s="61"/>
      <c r="M82" s="61"/>
      <c r="N82" s="61"/>
    </row>
    <row r="83" spans="1:14" ht="21.75" customHeight="1" x14ac:dyDescent="0.4">
      <c r="A83" s="55"/>
      <c r="B83" s="56"/>
      <c r="C83" s="56"/>
      <c r="D83" s="73"/>
      <c r="E83" s="77"/>
      <c r="F83" s="74" t="s">
        <v>58</v>
      </c>
      <c r="G83" s="76"/>
      <c r="H83" s="60" t="s">
        <v>57</v>
      </c>
      <c r="I83" s="67">
        <f ca="1">IFERROR(__xludf.DUMMYFUNCTION("IMPORTRANGE(""https://docs.google.com/spreadsheets/d/1C3CXT74ZlgGe6_JY_1olB1XN4rF0dxEuIIF-xsYjHgg/edit?usp=sharing"",""พรบ!AG34"")"),4)</f>
        <v>4</v>
      </c>
      <c r="J83" s="68">
        <v>0</v>
      </c>
      <c r="K83" s="49">
        <f ca="1">IF(I83&gt;0,J83*100/I83,0)</f>
        <v>0</v>
      </c>
      <c r="L83" s="61"/>
      <c r="M83" s="61"/>
      <c r="N83" s="61"/>
    </row>
    <row r="84" spans="1:14" ht="21.75" customHeight="1" x14ac:dyDescent="0.4">
      <c r="A84" s="55"/>
      <c r="B84" s="56"/>
      <c r="C84" s="56"/>
      <c r="D84" s="73"/>
      <c r="E84" s="75"/>
      <c r="F84" s="75" t="s">
        <v>59</v>
      </c>
      <c r="G84" s="76"/>
      <c r="H84" s="66" t="s">
        <v>16</v>
      </c>
      <c r="I84" s="67"/>
      <c r="J84" s="67">
        <f>J85+J86</f>
        <v>0</v>
      </c>
      <c r="K84" s="49"/>
      <c r="L84" s="61"/>
      <c r="M84" s="61"/>
      <c r="N84" s="61"/>
    </row>
    <row r="85" spans="1:14" ht="21.75" customHeight="1" x14ac:dyDescent="0.4">
      <c r="A85" s="55"/>
      <c r="B85" s="56"/>
      <c r="C85" s="56"/>
      <c r="D85" s="73"/>
      <c r="E85" s="75"/>
      <c r="F85" s="75"/>
      <c r="G85" s="76" t="s">
        <v>60</v>
      </c>
      <c r="H85" s="66" t="s">
        <v>16</v>
      </c>
      <c r="I85" s="67"/>
      <c r="J85" s="68">
        <v>0</v>
      </c>
      <c r="K85" s="49"/>
      <c r="L85" s="61"/>
      <c r="M85" s="61"/>
      <c r="N85" s="61"/>
    </row>
    <row r="86" spans="1:14" ht="21.75" customHeight="1" x14ac:dyDescent="0.4">
      <c r="A86" s="55"/>
      <c r="B86" s="56"/>
      <c r="C86" s="56"/>
      <c r="D86" s="73"/>
      <c r="E86" s="75"/>
      <c r="F86" s="75"/>
      <c r="G86" s="76" t="s">
        <v>61</v>
      </c>
      <c r="H86" s="66" t="s">
        <v>16</v>
      </c>
      <c r="I86" s="67"/>
      <c r="J86" s="68">
        <v>0</v>
      </c>
      <c r="K86" s="49"/>
      <c r="L86" s="61"/>
      <c r="M86" s="61"/>
      <c r="N86" s="61"/>
    </row>
    <row r="87" spans="1:14" ht="21.75" customHeight="1" x14ac:dyDescent="0.4">
      <c r="A87" s="55"/>
      <c r="B87" s="56"/>
      <c r="C87" s="56"/>
      <c r="D87" s="73"/>
      <c r="E87" s="74" t="s">
        <v>35</v>
      </c>
      <c r="F87" s="75"/>
      <c r="G87" s="76"/>
      <c r="H87" s="66"/>
      <c r="I87" s="67"/>
      <c r="J87" s="68">
        <v>0</v>
      </c>
      <c r="K87" s="49"/>
      <c r="L87" s="61"/>
      <c r="M87" s="61"/>
      <c r="N87" s="61"/>
    </row>
    <row r="88" spans="1:14" ht="21.75" customHeight="1" x14ac:dyDescent="0.4">
      <c r="A88" s="55"/>
      <c r="B88" s="56"/>
      <c r="C88" s="56"/>
      <c r="D88" s="81">
        <v>3</v>
      </c>
      <c r="E88" s="82" t="s">
        <v>36</v>
      </c>
      <c r="F88" s="83"/>
      <c r="G88" s="84"/>
      <c r="H88" s="66"/>
      <c r="I88" s="67"/>
      <c r="J88" s="85">
        <v>0</v>
      </c>
      <c r="K88" s="49"/>
      <c r="L88" s="61"/>
      <c r="M88" s="61"/>
      <c r="N88" s="61"/>
    </row>
    <row r="89" spans="1:14" ht="21.75" customHeight="1" x14ac:dyDescent="0.4">
      <c r="A89" s="141"/>
      <c r="B89" s="142"/>
      <c r="C89" s="143" t="s">
        <v>62</v>
      </c>
      <c r="D89" s="143"/>
      <c r="E89" s="143"/>
      <c r="F89" s="143"/>
      <c r="G89" s="144"/>
      <c r="H89" s="149" t="s">
        <v>63</v>
      </c>
      <c r="I89" s="150">
        <f t="shared" ref="I89:J89" ca="1" si="21">I98</f>
        <v>4</v>
      </c>
      <c r="J89" s="150">
        <f t="shared" si="21"/>
        <v>0</v>
      </c>
      <c r="K89" s="151">
        <f ca="1">IF(I89&gt;0,J89*100/I89,0)</f>
        <v>0</v>
      </c>
      <c r="L89" s="148">
        <f ca="1">L90+L91</f>
        <v>56000</v>
      </c>
      <c r="M89" s="148">
        <f>SUM(M90:M91)</f>
        <v>0</v>
      </c>
      <c r="N89" s="148">
        <f t="shared" ref="N89:N92" ca="1" si="22">+IF(L89&gt;0,M89*100/L89,0)</f>
        <v>0</v>
      </c>
    </row>
    <row r="90" spans="1:14" ht="21.75" customHeight="1" x14ac:dyDescent="0.4">
      <c r="A90" s="42"/>
      <c r="B90" s="43"/>
      <c r="C90" s="43" t="s">
        <v>17</v>
      </c>
      <c r="D90" s="44" t="s">
        <v>18</v>
      </c>
      <c r="E90" s="45"/>
      <c r="F90" s="45"/>
      <c r="G90" s="46" t="s">
        <v>19</v>
      </c>
      <c r="H90" s="47" t="s">
        <v>20</v>
      </c>
      <c r="I90" s="48" t="s">
        <v>21</v>
      </c>
      <c r="J90" s="48"/>
      <c r="K90" s="49"/>
      <c r="L90" s="50">
        <v>0</v>
      </c>
      <c r="M90" s="50">
        <v>0</v>
      </c>
      <c r="N90" s="50">
        <f t="shared" si="22"/>
        <v>0</v>
      </c>
    </row>
    <row r="91" spans="1:14" ht="21.75" customHeight="1" x14ac:dyDescent="0.4">
      <c r="A91" s="42"/>
      <c r="B91" s="43"/>
      <c r="C91" s="43"/>
      <c r="D91" s="51"/>
      <c r="E91" s="45"/>
      <c r="F91" s="45" t="s">
        <v>21</v>
      </c>
      <c r="G91" s="46" t="s">
        <v>22</v>
      </c>
      <c r="H91" s="47" t="s">
        <v>20</v>
      </c>
      <c r="I91" s="48"/>
      <c r="J91" s="48"/>
      <c r="K91" s="49"/>
      <c r="L91" s="50">
        <f t="shared" ref="L91:M91" ca="1" si="23">L92</f>
        <v>56000</v>
      </c>
      <c r="M91" s="50">
        <f t="shared" si="23"/>
        <v>0</v>
      </c>
      <c r="N91" s="50">
        <f t="shared" ca="1" si="22"/>
        <v>0</v>
      </c>
    </row>
    <row r="92" spans="1:14" ht="21.75" customHeight="1" x14ac:dyDescent="0.4">
      <c r="A92" s="42"/>
      <c r="B92" s="43"/>
      <c r="C92" s="43"/>
      <c r="D92" s="51"/>
      <c r="E92" s="45"/>
      <c r="F92" s="45"/>
      <c r="G92" s="52" t="s">
        <v>24</v>
      </c>
      <c r="H92" s="47" t="s">
        <v>20</v>
      </c>
      <c r="I92" s="48"/>
      <c r="J92" s="48"/>
      <c r="K92" s="49"/>
      <c r="L92" s="53">
        <f ca="1">IFERROR(__xludf.DUMMYFUNCTION("IMPORTRANGE(""https://docs.google.com/spreadsheets/d/1C3CXT74ZlgGe6_JY_1olB1XN4rF0dxEuIIF-xsYjHgg/edit?usp=sharing"",""พรบ!AH34"")"),56000)</f>
        <v>56000</v>
      </c>
      <c r="M92" s="54">
        <v>0</v>
      </c>
      <c r="N92" s="53">
        <f t="shared" ca="1" si="22"/>
        <v>0</v>
      </c>
    </row>
    <row r="93" spans="1:14" ht="21.75" customHeight="1" x14ac:dyDescent="0.4">
      <c r="A93" s="55"/>
      <c r="B93" s="56"/>
      <c r="C93" s="43" t="s">
        <v>17</v>
      </c>
      <c r="D93" s="57" t="s">
        <v>25</v>
      </c>
      <c r="E93" s="58"/>
      <c r="F93" s="58"/>
      <c r="G93" s="59"/>
      <c r="H93" s="60"/>
      <c r="I93" s="48"/>
      <c r="J93" s="48"/>
      <c r="K93" s="49"/>
      <c r="L93" s="61"/>
      <c r="M93" s="61"/>
      <c r="N93" s="61"/>
    </row>
    <row r="94" spans="1:14" ht="21.75" customHeight="1" x14ac:dyDescent="0.4">
      <c r="A94" s="55"/>
      <c r="B94" s="56"/>
      <c r="C94" s="56"/>
      <c r="D94" s="62">
        <v>1</v>
      </c>
      <c r="E94" s="63" t="s">
        <v>26</v>
      </c>
      <c r="F94" s="64"/>
      <c r="G94" s="65"/>
      <c r="H94" s="66"/>
      <c r="I94" s="67"/>
      <c r="J94" s="68">
        <v>0</v>
      </c>
      <c r="K94" s="49"/>
      <c r="L94" s="61"/>
      <c r="M94" s="61"/>
      <c r="N94" s="61"/>
    </row>
    <row r="95" spans="1:14" ht="21.75" customHeight="1" x14ac:dyDescent="0.4">
      <c r="A95" s="55"/>
      <c r="B95" s="56"/>
      <c r="C95" s="56"/>
      <c r="D95" s="69">
        <v>2</v>
      </c>
      <c r="E95" s="70" t="s">
        <v>27</v>
      </c>
      <c r="F95" s="71"/>
      <c r="G95" s="72"/>
      <c r="H95" s="66"/>
      <c r="I95" s="67"/>
      <c r="J95" s="68">
        <v>1</v>
      </c>
      <c r="K95" s="49"/>
      <c r="L95" s="61" t="s">
        <v>21</v>
      </c>
      <c r="M95" s="61" t="s">
        <v>21</v>
      </c>
      <c r="N95" s="61"/>
    </row>
    <row r="96" spans="1:14" ht="21.75" customHeight="1" x14ac:dyDescent="0.4">
      <c r="A96" s="55"/>
      <c r="B96" s="56"/>
      <c r="C96" s="56"/>
      <c r="D96" s="73"/>
      <c r="E96" s="74" t="s">
        <v>28</v>
      </c>
      <c r="F96" s="75"/>
      <c r="G96" s="76"/>
      <c r="H96" s="66"/>
      <c r="I96" s="67"/>
      <c r="J96" s="68">
        <v>1</v>
      </c>
      <c r="K96" s="49"/>
      <c r="L96" s="61"/>
      <c r="M96" s="61"/>
      <c r="N96" s="61"/>
    </row>
    <row r="97" spans="1:14" ht="21.75" customHeight="1" x14ac:dyDescent="0.4">
      <c r="A97" s="55"/>
      <c r="B97" s="56"/>
      <c r="C97" s="56"/>
      <c r="D97" s="73"/>
      <c r="E97" s="74" t="s">
        <v>29</v>
      </c>
      <c r="F97" s="75"/>
      <c r="G97" s="76"/>
      <c r="H97" s="66"/>
      <c r="I97" s="67"/>
      <c r="J97" s="68">
        <v>0</v>
      </c>
      <c r="K97" s="49"/>
      <c r="L97" s="61"/>
      <c r="M97" s="61"/>
      <c r="N97" s="61"/>
    </row>
    <row r="98" spans="1:14" ht="21.75" customHeight="1" x14ac:dyDescent="0.4">
      <c r="A98" s="55"/>
      <c r="B98" s="56"/>
      <c r="C98" s="56"/>
      <c r="D98" s="73"/>
      <c r="E98" s="77"/>
      <c r="F98" s="74" t="s">
        <v>64</v>
      </c>
      <c r="G98" s="76"/>
      <c r="H98" s="60" t="s">
        <v>63</v>
      </c>
      <c r="I98" s="67">
        <f ca="1">IFERROR(__xludf.DUMMYFUNCTION("IMPORTRANGE(""https://docs.google.com/spreadsheets/d/1C3CXT74ZlgGe6_JY_1olB1XN4rF0dxEuIIF-xsYjHgg/edit?usp=sharing"",""พรบ!AI34"")"),4)</f>
        <v>4</v>
      </c>
      <c r="J98" s="68">
        <v>0</v>
      </c>
      <c r="K98" s="49">
        <f ca="1">IF(I98&gt;0,J98*100/I98,0)</f>
        <v>0</v>
      </c>
      <c r="L98" s="53">
        <f ca="1">IFERROR(__xludf.DUMMYFUNCTION("IMPORTRANGE(""https://docs.google.com/spreadsheets/d/1C3CXT74ZlgGe6_JY_1olB1XN4rF0dxEuIIF-xsYjHgg/edit?usp=sharing"",""กปร!C34"")"),48000)</f>
        <v>48000</v>
      </c>
      <c r="M98" s="359">
        <v>0</v>
      </c>
      <c r="N98" s="53">
        <f ca="1">+IF(L98&gt;0,M98*100/L98,0)</f>
        <v>0</v>
      </c>
    </row>
    <row r="99" spans="1:14" ht="21.75" customHeight="1" x14ac:dyDescent="0.4">
      <c r="A99" s="55"/>
      <c r="B99" s="56"/>
      <c r="C99" s="56"/>
      <c r="D99" s="73"/>
      <c r="E99" s="74" t="s">
        <v>35</v>
      </c>
      <c r="F99" s="75"/>
      <c r="G99" s="76"/>
      <c r="H99" s="66"/>
      <c r="I99" s="67"/>
      <c r="J99" s="68">
        <v>0</v>
      </c>
      <c r="K99" s="49"/>
      <c r="L99" s="61"/>
      <c r="M99" s="61"/>
      <c r="N99" s="61"/>
    </row>
    <row r="100" spans="1:14" ht="21.75" customHeight="1" x14ac:dyDescent="0.4">
      <c r="A100" s="55"/>
      <c r="B100" s="56"/>
      <c r="C100" s="56"/>
      <c r="D100" s="81">
        <v>3</v>
      </c>
      <c r="E100" s="82" t="s">
        <v>36</v>
      </c>
      <c r="F100" s="83"/>
      <c r="G100" s="84"/>
      <c r="H100" s="66"/>
      <c r="I100" s="67"/>
      <c r="J100" s="85">
        <v>0</v>
      </c>
      <c r="K100" s="49"/>
      <c r="L100" s="61"/>
      <c r="M100" s="61"/>
      <c r="N100" s="61"/>
    </row>
    <row r="101" spans="1:14" ht="21.75" customHeight="1" x14ac:dyDescent="0.4">
      <c r="A101" s="141"/>
      <c r="B101" s="142"/>
      <c r="C101" s="143" t="s">
        <v>65</v>
      </c>
      <c r="D101" s="143"/>
      <c r="E101" s="143"/>
      <c r="F101" s="143"/>
      <c r="G101" s="144"/>
      <c r="H101" s="149" t="s">
        <v>63</v>
      </c>
      <c r="I101" s="150">
        <f t="shared" ref="I101:J101" ca="1" si="24">I111</f>
        <v>0</v>
      </c>
      <c r="J101" s="150">
        <f t="shared" si="24"/>
        <v>0</v>
      </c>
      <c r="K101" s="151">
        <f ca="1">IF(I101&gt;0,J101*100/I101,0)</f>
        <v>0</v>
      </c>
      <c r="L101" s="148">
        <f ca="1">L102+L103</f>
        <v>0</v>
      </c>
      <c r="M101" s="148">
        <f>SUM(M102:M103)</f>
        <v>0</v>
      </c>
      <c r="N101" s="148">
        <f t="shared" ref="N101:N104" ca="1" si="25">+IF(L101&gt;0,M101*100/L101,0)</f>
        <v>0</v>
      </c>
    </row>
    <row r="102" spans="1:14" ht="21.75" customHeight="1" x14ac:dyDescent="0.4">
      <c r="A102" s="42"/>
      <c r="B102" s="43"/>
      <c r="C102" s="43" t="s">
        <v>17</v>
      </c>
      <c r="D102" s="44" t="s">
        <v>18</v>
      </c>
      <c r="E102" s="45"/>
      <c r="F102" s="45"/>
      <c r="G102" s="46" t="s">
        <v>19</v>
      </c>
      <c r="H102" s="47" t="s">
        <v>20</v>
      </c>
      <c r="I102" s="67" t="s">
        <v>21</v>
      </c>
      <c r="J102" s="67"/>
      <c r="K102" s="233"/>
      <c r="L102" s="50">
        <v>0</v>
      </c>
      <c r="M102" s="50">
        <v>0</v>
      </c>
      <c r="N102" s="50">
        <f t="shared" si="25"/>
        <v>0</v>
      </c>
    </row>
    <row r="103" spans="1:14" ht="21.75" customHeight="1" x14ac:dyDescent="0.4">
      <c r="A103" s="42"/>
      <c r="B103" s="43"/>
      <c r="C103" s="43"/>
      <c r="D103" s="51"/>
      <c r="E103" s="45"/>
      <c r="F103" s="45" t="s">
        <v>21</v>
      </c>
      <c r="G103" s="46" t="s">
        <v>22</v>
      </c>
      <c r="H103" s="47" t="s">
        <v>20</v>
      </c>
      <c r="I103" s="67"/>
      <c r="J103" s="67"/>
      <c r="K103" s="233"/>
      <c r="L103" s="50">
        <f ca="1">SUM(L104)</f>
        <v>0</v>
      </c>
      <c r="M103" s="50">
        <f>M104</f>
        <v>0</v>
      </c>
      <c r="N103" s="50">
        <f t="shared" ca="1" si="25"/>
        <v>0</v>
      </c>
    </row>
    <row r="104" spans="1:14" ht="21.75" customHeight="1" x14ac:dyDescent="0.4">
      <c r="A104" s="42"/>
      <c r="B104" s="43"/>
      <c r="C104" s="43"/>
      <c r="D104" s="51"/>
      <c r="E104" s="45"/>
      <c r="F104" s="45"/>
      <c r="G104" s="52" t="s">
        <v>24</v>
      </c>
      <c r="H104" s="47" t="s">
        <v>20</v>
      </c>
      <c r="I104" s="67"/>
      <c r="J104" s="67"/>
      <c r="K104" s="233"/>
      <c r="L104" s="53">
        <f ca="1">IFERROR(__xludf.DUMMYFUNCTION("IMPORTRANGE(""https://docs.google.com/spreadsheets/d/1C3CXT74ZlgGe6_JY_1olB1XN4rF0dxEuIIF-xsYjHgg/edit?usp=sharing"",""พรบ!AJ34"")"),0)</f>
        <v>0</v>
      </c>
      <c r="M104" s="53">
        <v>0</v>
      </c>
      <c r="N104" s="53">
        <f t="shared" ca="1" si="25"/>
        <v>0</v>
      </c>
    </row>
    <row r="105" spans="1:14" ht="21.75" customHeight="1" x14ac:dyDescent="0.4">
      <c r="A105" s="55"/>
      <c r="B105" s="56"/>
      <c r="C105" s="43" t="s">
        <v>17</v>
      </c>
      <c r="D105" s="57" t="s">
        <v>25</v>
      </c>
      <c r="E105" s="58"/>
      <c r="F105" s="58"/>
      <c r="G105" s="59"/>
      <c r="H105" s="60"/>
      <c r="I105" s="67"/>
      <c r="J105" s="67"/>
      <c r="K105" s="233"/>
      <c r="L105" s="53"/>
      <c r="M105" s="53"/>
      <c r="N105" s="53"/>
    </row>
    <row r="106" spans="1:14" ht="21.75" customHeight="1" x14ac:dyDescent="0.4">
      <c r="A106" s="55"/>
      <c r="B106" s="56"/>
      <c r="C106" s="56"/>
      <c r="D106" s="62">
        <v>1</v>
      </c>
      <c r="E106" s="63" t="s">
        <v>26</v>
      </c>
      <c r="F106" s="64"/>
      <c r="G106" s="65"/>
      <c r="H106" s="66"/>
      <c r="I106" s="67"/>
      <c r="J106" s="67">
        <v>0</v>
      </c>
      <c r="K106" s="233"/>
      <c r="L106" s="53"/>
      <c r="M106" s="53"/>
      <c r="N106" s="53"/>
    </row>
    <row r="107" spans="1:14" ht="21.75" customHeight="1" x14ac:dyDescent="0.4">
      <c r="A107" s="55"/>
      <c r="B107" s="56"/>
      <c r="C107" s="56"/>
      <c r="D107" s="69">
        <v>2</v>
      </c>
      <c r="E107" s="70" t="s">
        <v>27</v>
      </c>
      <c r="F107" s="71"/>
      <c r="G107" s="72"/>
      <c r="H107" s="66"/>
      <c r="I107" s="67"/>
      <c r="J107" s="67">
        <v>0</v>
      </c>
      <c r="K107" s="233"/>
      <c r="L107" s="53" t="s">
        <v>21</v>
      </c>
      <c r="M107" s="53" t="s">
        <v>21</v>
      </c>
      <c r="N107" s="53"/>
    </row>
    <row r="108" spans="1:14" ht="21.75" customHeight="1" x14ac:dyDescent="0.4">
      <c r="A108" s="55"/>
      <c r="B108" s="56"/>
      <c r="C108" s="56"/>
      <c r="D108" s="73"/>
      <c r="E108" s="74" t="s">
        <v>28</v>
      </c>
      <c r="F108" s="75"/>
      <c r="G108" s="76"/>
      <c r="H108" s="66"/>
      <c r="I108" s="67"/>
      <c r="J108" s="67">
        <v>0</v>
      </c>
      <c r="K108" s="233"/>
      <c r="L108" s="53"/>
      <c r="M108" s="53"/>
      <c r="N108" s="53"/>
    </row>
    <row r="109" spans="1:14" ht="21.75" customHeight="1" x14ac:dyDescent="0.4">
      <c r="A109" s="55"/>
      <c r="B109" s="56"/>
      <c r="C109" s="56"/>
      <c r="D109" s="73"/>
      <c r="E109" s="74" t="s">
        <v>29</v>
      </c>
      <c r="F109" s="75"/>
      <c r="G109" s="76"/>
      <c r="H109" s="66"/>
      <c r="I109" s="67"/>
      <c r="J109" s="67">
        <v>0</v>
      </c>
      <c r="K109" s="233"/>
      <c r="L109" s="53"/>
      <c r="M109" s="53"/>
      <c r="N109" s="53"/>
    </row>
    <row r="110" spans="1:14" ht="21.75" customHeight="1" x14ac:dyDescent="0.4">
      <c r="A110" s="55"/>
      <c r="B110" s="56"/>
      <c r="C110" s="56"/>
      <c r="D110" s="73"/>
      <c r="E110" s="77"/>
      <c r="F110" s="74" t="s">
        <v>66</v>
      </c>
      <c r="G110" s="76"/>
      <c r="H110" s="60" t="s">
        <v>63</v>
      </c>
      <c r="I110" s="67">
        <f ca="1">IFERROR(__xludf.DUMMYFUNCTION("IMPORTRANGE(""https://docs.google.com/spreadsheets/d/1C3CXT74ZlgGe6_JY_1olB1XN4rF0dxEuIIF-xsYjHgg/edit?usp=sharing"",""พรบ!AK34"")"),0)</f>
        <v>0</v>
      </c>
      <c r="J110" s="67">
        <v>0</v>
      </c>
      <c r="K110" s="233">
        <f t="shared" ref="K110:K111" ca="1" si="26">IF(I110&gt;0,J110*100/I110,0)</f>
        <v>0</v>
      </c>
      <c r="L110" s="53">
        <f ca="1">IFERROR(__xludf.DUMMYFUNCTION("IMPORTRANGE(""https://docs.google.com/spreadsheets/d/1C3CXT74ZlgGe6_JY_1olB1XN4rF0dxEuIIF-xsYjHgg/edit?usp=sharing"",""กปร!D34"")"),0)</f>
        <v>0</v>
      </c>
      <c r="M110" s="53">
        <v>0</v>
      </c>
      <c r="N110" s="53">
        <f t="shared" ref="N110:N111" ca="1" si="27">+IF(L110&gt;0,M110*100/L110,0)</f>
        <v>0</v>
      </c>
    </row>
    <row r="111" spans="1:14" ht="21.75" customHeight="1" x14ac:dyDescent="0.4">
      <c r="A111" s="55"/>
      <c r="B111" s="56"/>
      <c r="C111" s="56"/>
      <c r="D111" s="73"/>
      <c r="E111" s="77"/>
      <c r="F111" s="74" t="s">
        <v>67</v>
      </c>
      <c r="G111" s="76"/>
      <c r="H111" s="60" t="s">
        <v>63</v>
      </c>
      <c r="I111" s="67">
        <f ca="1">IFERROR(__xludf.DUMMYFUNCTION("IMPORTRANGE(""https://docs.google.com/spreadsheets/d/1C3CXT74ZlgGe6_JY_1olB1XN4rF0dxEuIIF-xsYjHgg/edit?usp=sharing"",""พรบ!AL34"")"),0)</f>
        <v>0</v>
      </c>
      <c r="J111" s="67">
        <v>0</v>
      </c>
      <c r="K111" s="233">
        <f t="shared" ca="1" si="26"/>
        <v>0</v>
      </c>
      <c r="L111" s="53">
        <f ca="1">IFERROR(__xludf.DUMMYFUNCTION("IMPORTRANGE(""https://docs.google.com/spreadsheets/d/1C3CXT74ZlgGe6_JY_1olB1XN4rF0dxEuIIF-xsYjHgg/edit?usp=sharing"",""กปร!E34"")"),0)</f>
        <v>0</v>
      </c>
      <c r="M111" s="53">
        <v>0</v>
      </c>
      <c r="N111" s="53">
        <f t="shared" ca="1" si="27"/>
        <v>0</v>
      </c>
    </row>
    <row r="112" spans="1:14" ht="21.75" customHeight="1" x14ac:dyDescent="0.4">
      <c r="A112" s="55"/>
      <c r="B112" s="56"/>
      <c r="C112" s="56"/>
      <c r="D112" s="73"/>
      <c r="E112" s="74" t="s">
        <v>35</v>
      </c>
      <c r="F112" s="75"/>
      <c r="G112" s="76"/>
      <c r="H112" s="66"/>
      <c r="I112" s="67"/>
      <c r="J112" s="67">
        <v>0</v>
      </c>
      <c r="K112" s="233"/>
      <c r="L112" s="53"/>
      <c r="M112" s="53"/>
      <c r="N112" s="53"/>
    </row>
    <row r="113" spans="1:14" ht="21.75" customHeight="1" x14ac:dyDescent="0.4">
      <c r="A113" s="55"/>
      <c r="B113" s="56"/>
      <c r="C113" s="56"/>
      <c r="D113" s="81">
        <v>3</v>
      </c>
      <c r="E113" s="82" t="s">
        <v>36</v>
      </c>
      <c r="F113" s="83"/>
      <c r="G113" s="84"/>
      <c r="H113" s="66"/>
      <c r="I113" s="67"/>
      <c r="J113" s="360">
        <v>0</v>
      </c>
      <c r="K113" s="233"/>
      <c r="L113" s="53"/>
      <c r="M113" s="53"/>
      <c r="N113" s="53"/>
    </row>
    <row r="114" spans="1:14" ht="21.75" customHeight="1" x14ac:dyDescent="0.4">
      <c r="A114" s="141"/>
      <c r="B114" s="142"/>
      <c r="C114" s="143" t="s">
        <v>68</v>
      </c>
      <c r="D114" s="143"/>
      <c r="E114" s="143"/>
      <c r="F114" s="143"/>
      <c r="G114" s="144"/>
      <c r="H114" s="152" t="s">
        <v>69</v>
      </c>
      <c r="I114" s="150">
        <f t="shared" ref="I114:J114" ca="1" si="28">I125</f>
        <v>50000</v>
      </c>
      <c r="J114" s="150">
        <f t="shared" si="28"/>
        <v>0</v>
      </c>
      <c r="K114" s="151">
        <f ca="1">IF(I114&gt;0,J114*100/I114,0)</f>
        <v>0</v>
      </c>
      <c r="L114" s="148">
        <f ca="1">L115+L116</f>
        <v>19500</v>
      </c>
      <c r="M114" s="148">
        <f>SUM(M115:M116)</f>
        <v>0</v>
      </c>
      <c r="N114" s="148">
        <f t="shared" ref="N114:N117" ca="1" si="29">+IF(L114&gt;0,M114*100/L114,0)</f>
        <v>0</v>
      </c>
    </row>
    <row r="115" spans="1:14" ht="21.75" customHeight="1" x14ac:dyDescent="0.4">
      <c r="A115" s="42"/>
      <c r="B115" s="43"/>
      <c r="C115" s="43" t="s">
        <v>17</v>
      </c>
      <c r="D115" s="44" t="s">
        <v>18</v>
      </c>
      <c r="E115" s="45"/>
      <c r="F115" s="45"/>
      <c r="G115" s="46" t="s">
        <v>19</v>
      </c>
      <c r="H115" s="47" t="s">
        <v>20</v>
      </c>
      <c r="I115" s="48" t="s">
        <v>21</v>
      </c>
      <c r="J115" s="48"/>
      <c r="K115" s="49"/>
      <c r="L115" s="50">
        <v>0</v>
      </c>
      <c r="M115" s="50">
        <v>0</v>
      </c>
      <c r="N115" s="50">
        <f t="shared" si="29"/>
        <v>0</v>
      </c>
    </row>
    <row r="116" spans="1:14" ht="21.75" customHeight="1" x14ac:dyDescent="0.4">
      <c r="A116" s="42"/>
      <c r="B116" s="43"/>
      <c r="C116" s="43"/>
      <c r="D116" s="51"/>
      <c r="E116" s="45"/>
      <c r="F116" s="45" t="s">
        <v>21</v>
      </c>
      <c r="G116" s="46" t="s">
        <v>22</v>
      </c>
      <c r="H116" s="47" t="s">
        <v>20</v>
      </c>
      <c r="I116" s="48"/>
      <c r="J116" s="48"/>
      <c r="K116" s="49"/>
      <c r="L116" s="50">
        <f ca="1">SUM(L117)</f>
        <v>19500</v>
      </c>
      <c r="M116" s="50">
        <f>M117</f>
        <v>0</v>
      </c>
      <c r="N116" s="50">
        <f t="shared" ca="1" si="29"/>
        <v>0</v>
      </c>
    </row>
    <row r="117" spans="1:14" ht="21.75" customHeight="1" x14ac:dyDescent="0.4">
      <c r="A117" s="42"/>
      <c r="B117" s="43"/>
      <c r="C117" s="43"/>
      <c r="D117" s="51"/>
      <c r="E117" s="45"/>
      <c r="F117" s="45"/>
      <c r="G117" s="52" t="s">
        <v>24</v>
      </c>
      <c r="H117" s="47" t="s">
        <v>20</v>
      </c>
      <c r="I117" s="48"/>
      <c r="J117" s="48"/>
      <c r="K117" s="49"/>
      <c r="L117" s="53">
        <f ca="1">IFERROR(__xludf.DUMMYFUNCTION("IMPORTRANGE(""https://docs.google.com/spreadsheets/d/1C3CXT74ZlgGe6_JY_1olB1XN4rF0dxEuIIF-xsYjHgg/edit?usp=sharing"",""พรบ!AM34"")"),19500)</f>
        <v>19500</v>
      </c>
      <c r="M117" s="54">
        <v>0</v>
      </c>
      <c r="N117" s="53">
        <f t="shared" ca="1" si="29"/>
        <v>0</v>
      </c>
    </row>
    <row r="118" spans="1:14" ht="21.75" customHeight="1" x14ac:dyDescent="0.4">
      <c r="A118" s="55"/>
      <c r="B118" s="56"/>
      <c r="C118" s="43" t="s">
        <v>17</v>
      </c>
      <c r="D118" s="57" t="s">
        <v>25</v>
      </c>
      <c r="E118" s="58"/>
      <c r="F118" s="58"/>
      <c r="G118" s="59"/>
      <c r="H118" s="60"/>
      <c r="I118" s="48"/>
      <c r="J118" s="48"/>
      <c r="K118" s="49"/>
      <c r="L118" s="61"/>
      <c r="M118" s="61"/>
      <c r="N118" s="61"/>
    </row>
    <row r="119" spans="1:14" ht="21.75" customHeight="1" x14ac:dyDescent="0.4">
      <c r="A119" s="55"/>
      <c r="B119" s="56"/>
      <c r="C119" s="56"/>
      <c r="D119" s="62">
        <v>1</v>
      </c>
      <c r="E119" s="63" t="s">
        <v>26</v>
      </c>
      <c r="F119" s="64"/>
      <c r="G119" s="65"/>
      <c r="H119" s="66"/>
      <c r="I119" s="67"/>
      <c r="J119" s="68">
        <v>0</v>
      </c>
      <c r="K119" s="49"/>
      <c r="L119" s="61"/>
      <c r="M119" s="61"/>
      <c r="N119" s="61"/>
    </row>
    <row r="120" spans="1:14" ht="21.75" customHeight="1" x14ac:dyDescent="0.4">
      <c r="A120" s="55"/>
      <c r="B120" s="56"/>
      <c r="C120" s="56"/>
      <c r="D120" s="69">
        <v>2</v>
      </c>
      <c r="E120" s="70" t="s">
        <v>27</v>
      </c>
      <c r="F120" s="71"/>
      <c r="G120" s="72"/>
      <c r="H120" s="66"/>
      <c r="I120" s="67"/>
      <c r="J120" s="68">
        <v>1</v>
      </c>
      <c r="K120" s="49"/>
      <c r="L120" s="61" t="s">
        <v>21</v>
      </c>
      <c r="M120" s="61" t="s">
        <v>21</v>
      </c>
      <c r="N120" s="61"/>
    </row>
    <row r="121" spans="1:14" ht="21.75" customHeight="1" x14ac:dyDescent="0.4">
      <c r="A121" s="55"/>
      <c r="B121" s="56"/>
      <c r="C121" s="56"/>
      <c r="D121" s="73"/>
      <c r="E121" s="74" t="s">
        <v>28</v>
      </c>
      <c r="F121" s="75"/>
      <c r="G121" s="76"/>
      <c r="H121" s="66"/>
      <c r="I121" s="67"/>
      <c r="J121" s="68">
        <v>1</v>
      </c>
      <c r="K121" s="49"/>
      <c r="L121" s="61"/>
      <c r="M121" s="61"/>
      <c r="N121" s="61"/>
    </row>
    <row r="122" spans="1:14" ht="21.75" customHeight="1" x14ac:dyDescent="0.4">
      <c r="A122" s="55"/>
      <c r="B122" s="56"/>
      <c r="C122" s="56"/>
      <c r="D122" s="73"/>
      <c r="E122" s="74" t="s">
        <v>29</v>
      </c>
      <c r="F122" s="75"/>
      <c r="G122" s="76"/>
      <c r="H122" s="66"/>
      <c r="I122" s="67"/>
      <c r="J122" s="68">
        <v>0</v>
      </c>
      <c r="K122" s="49"/>
      <c r="L122" s="61"/>
      <c r="M122" s="61"/>
      <c r="N122" s="61"/>
    </row>
    <row r="123" spans="1:14" ht="21.75" customHeight="1" x14ac:dyDescent="0.4">
      <c r="A123" s="55"/>
      <c r="B123" s="56"/>
      <c r="C123" s="56"/>
      <c r="D123" s="73"/>
      <c r="E123" s="75"/>
      <c r="F123" s="75" t="s">
        <v>70</v>
      </c>
      <c r="G123" s="76"/>
      <c r="H123" s="60"/>
      <c r="I123" s="67"/>
      <c r="J123" s="67"/>
      <c r="K123" s="49"/>
      <c r="L123" s="61"/>
      <c r="M123" s="61"/>
      <c r="N123" s="61"/>
    </row>
    <row r="124" spans="1:14" ht="21.75" customHeight="1" x14ac:dyDescent="0.4">
      <c r="A124" s="55"/>
      <c r="B124" s="56"/>
      <c r="C124" s="56"/>
      <c r="D124" s="73"/>
      <c r="E124" s="77"/>
      <c r="F124" s="75"/>
      <c r="G124" s="74" t="s">
        <v>71</v>
      </c>
      <c r="H124" s="60" t="s">
        <v>69</v>
      </c>
      <c r="I124" s="67">
        <f ca="1">IFERROR(__xludf.DUMMYFUNCTION("IMPORTRANGE(""https://docs.google.com/spreadsheets/d/1C3CXT74ZlgGe6_JY_1olB1XN4rF0dxEuIIF-xsYjHgg/edit?usp=sharing"",""พรบ!AO34"")"),50000)</f>
        <v>50000</v>
      </c>
      <c r="J124" s="68">
        <v>0</v>
      </c>
      <c r="K124" s="49">
        <f t="shared" ref="K124:K126" ca="1" si="30">IF(I124&gt;0,J124*100/I124,0)</f>
        <v>0</v>
      </c>
      <c r="L124" s="61"/>
      <c r="M124" s="61"/>
      <c r="N124" s="61"/>
    </row>
    <row r="125" spans="1:14" ht="21.75" customHeight="1" x14ac:dyDescent="0.4">
      <c r="A125" s="55"/>
      <c r="B125" s="56"/>
      <c r="C125" s="56"/>
      <c r="D125" s="73"/>
      <c r="E125" s="77"/>
      <c r="F125" s="75"/>
      <c r="G125" s="74" t="s">
        <v>72</v>
      </c>
      <c r="H125" s="60" t="s">
        <v>69</v>
      </c>
      <c r="I125" s="67">
        <f ca="1">IFERROR(__xludf.DUMMYFUNCTION("IMPORTRANGE(""https://docs.google.com/spreadsheets/d/1C3CXT74ZlgGe6_JY_1olB1XN4rF0dxEuIIF-xsYjHgg/edit?usp=sharing"",""พรบ!AP34"")"),50000)</f>
        <v>50000</v>
      </c>
      <c r="J125" s="68">
        <v>0</v>
      </c>
      <c r="K125" s="49">
        <f t="shared" ca="1" si="30"/>
        <v>0</v>
      </c>
      <c r="L125" s="53">
        <f ca="1">IFERROR(__xludf.DUMMYFUNCTION("IMPORTRANGE(""https://docs.google.com/spreadsheets/d/1C3CXT74ZlgGe6_JY_1olB1XN4rF0dxEuIIF-xsYjHgg/edit?usp=sharing"",""กปร!F34"")"),13500)</f>
        <v>13500</v>
      </c>
      <c r="M125" s="359">
        <v>0</v>
      </c>
      <c r="N125" s="53">
        <f t="shared" ref="N125:N126" ca="1" si="31">+IF(L125&gt;0,M125*100/L125,0)</f>
        <v>0</v>
      </c>
    </row>
    <row r="126" spans="1:14" ht="21.75" customHeight="1" x14ac:dyDescent="0.4">
      <c r="A126" s="55"/>
      <c r="B126" s="56"/>
      <c r="C126" s="56"/>
      <c r="D126" s="73"/>
      <c r="E126" s="77"/>
      <c r="F126" s="75" t="s">
        <v>73</v>
      </c>
      <c r="G126" s="76"/>
      <c r="H126" s="60" t="s">
        <v>16</v>
      </c>
      <c r="I126" s="67">
        <f ca="1">IFERROR(__xludf.DUMMYFUNCTION("IMPORTRANGE(""https://docs.google.com/spreadsheets/d/1C3CXT74ZlgGe6_JY_1olB1XN4rF0dxEuIIF-xsYjHgg/edit?usp=sharing"",""พรบ!AQ34"")"),0)</f>
        <v>0</v>
      </c>
      <c r="J126" s="68">
        <v>0</v>
      </c>
      <c r="K126" s="49">
        <f t="shared" ca="1" si="30"/>
        <v>0</v>
      </c>
      <c r="L126" s="53">
        <f ca="1">IFERROR(__xludf.DUMMYFUNCTION("IMPORTRANGE(""https://docs.google.com/spreadsheets/d/1C3CXT74ZlgGe6_JY_1olB1XN4rF0dxEuIIF-xsYjHgg/edit?usp=sharing"",""กปร!G34"")"),0)</f>
        <v>0</v>
      </c>
      <c r="M126" s="53">
        <v>0</v>
      </c>
      <c r="N126" s="53">
        <f t="shared" ca="1" si="31"/>
        <v>0</v>
      </c>
    </row>
    <row r="127" spans="1:14" ht="21.75" customHeight="1" x14ac:dyDescent="0.4">
      <c r="A127" s="55"/>
      <c r="B127" s="56"/>
      <c r="C127" s="56"/>
      <c r="D127" s="73"/>
      <c r="E127" s="74" t="s">
        <v>35</v>
      </c>
      <c r="F127" s="75"/>
      <c r="G127" s="76"/>
      <c r="H127" s="66"/>
      <c r="I127" s="67"/>
      <c r="J127" s="68">
        <v>0</v>
      </c>
      <c r="K127" s="49"/>
      <c r="L127" s="61"/>
      <c r="M127" s="61"/>
      <c r="N127" s="61"/>
    </row>
    <row r="128" spans="1:14" ht="21.75" customHeight="1" x14ac:dyDescent="0.4">
      <c r="A128" s="105"/>
      <c r="B128" s="106"/>
      <c r="C128" s="106"/>
      <c r="D128" s="107">
        <v>3</v>
      </c>
      <c r="E128" s="108" t="s">
        <v>36</v>
      </c>
      <c r="F128" s="109"/>
      <c r="G128" s="110"/>
      <c r="H128" s="111"/>
      <c r="I128" s="112"/>
      <c r="J128" s="113">
        <v>0</v>
      </c>
      <c r="K128" s="114"/>
      <c r="L128" s="115"/>
      <c r="M128" s="115"/>
      <c r="N128" s="115"/>
    </row>
    <row r="129" spans="1:14" ht="21.75" customHeight="1" x14ac:dyDescent="0.4">
      <c r="A129" s="141"/>
      <c r="B129" s="142"/>
      <c r="C129" s="153" t="s">
        <v>74</v>
      </c>
      <c r="D129" s="143"/>
      <c r="E129" s="143"/>
      <c r="F129" s="143"/>
      <c r="G129" s="144"/>
      <c r="H129" s="152" t="s">
        <v>16</v>
      </c>
      <c r="I129" s="150">
        <f t="shared" ref="I129:J129" ca="1" si="32">I138</f>
        <v>0</v>
      </c>
      <c r="J129" s="150">
        <f t="shared" si="32"/>
        <v>0</v>
      </c>
      <c r="K129" s="151">
        <f ca="1">IF(I129&gt;0,J129*100/I129,0)</f>
        <v>0</v>
      </c>
      <c r="L129" s="148">
        <f ca="1">L130+L131</f>
        <v>0</v>
      </c>
      <c r="M129" s="148">
        <f>SUM(M130:M131)</f>
        <v>0</v>
      </c>
      <c r="N129" s="148">
        <f t="shared" ref="N129:N132" ca="1" si="33">+IF(L129&gt;0,M129*100/L129,0)</f>
        <v>0</v>
      </c>
    </row>
    <row r="130" spans="1:14" ht="21.75" customHeight="1" x14ac:dyDescent="0.4">
      <c r="A130" s="42"/>
      <c r="B130" s="43"/>
      <c r="C130" s="43" t="s">
        <v>17</v>
      </c>
      <c r="D130" s="44" t="s">
        <v>18</v>
      </c>
      <c r="E130" s="45"/>
      <c r="F130" s="45"/>
      <c r="G130" s="46" t="s">
        <v>19</v>
      </c>
      <c r="H130" s="47" t="s">
        <v>20</v>
      </c>
      <c r="I130" s="67" t="s">
        <v>21</v>
      </c>
      <c r="J130" s="67"/>
      <c r="K130" s="233"/>
      <c r="L130" s="50">
        <v>0</v>
      </c>
      <c r="M130" s="50">
        <v>0</v>
      </c>
      <c r="N130" s="50">
        <f t="shared" si="33"/>
        <v>0</v>
      </c>
    </row>
    <row r="131" spans="1:14" ht="21.75" customHeight="1" x14ac:dyDescent="0.4">
      <c r="A131" s="42"/>
      <c r="B131" s="43"/>
      <c r="C131" s="43"/>
      <c r="D131" s="51"/>
      <c r="E131" s="45"/>
      <c r="F131" s="45" t="s">
        <v>21</v>
      </c>
      <c r="G131" s="46" t="s">
        <v>22</v>
      </c>
      <c r="H131" s="47" t="s">
        <v>20</v>
      </c>
      <c r="I131" s="67"/>
      <c r="J131" s="67"/>
      <c r="K131" s="233"/>
      <c r="L131" s="50">
        <f ca="1">SUM(L132)</f>
        <v>0</v>
      </c>
      <c r="M131" s="50">
        <f>M132</f>
        <v>0</v>
      </c>
      <c r="N131" s="50">
        <f t="shared" ca="1" si="33"/>
        <v>0</v>
      </c>
    </row>
    <row r="132" spans="1:14" ht="21.75" customHeight="1" x14ac:dyDescent="0.4">
      <c r="A132" s="42"/>
      <c r="B132" s="43"/>
      <c r="C132" s="43"/>
      <c r="D132" s="51"/>
      <c r="E132" s="45"/>
      <c r="F132" s="45"/>
      <c r="G132" s="52" t="s">
        <v>24</v>
      </c>
      <c r="H132" s="47" t="s">
        <v>20</v>
      </c>
      <c r="I132" s="67"/>
      <c r="J132" s="67"/>
      <c r="K132" s="233"/>
      <c r="L132" s="53">
        <f ca="1">IFERROR(__xludf.DUMMYFUNCTION("IMPORTRANGE(""https://docs.google.com/spreadsheets/d/1C3CXT74ZlgGe6_JY_1olB1XN4rF0dxEuIIF-xsYjHgg/edit?usp=sharing"",""พรบ!AR34"")"),0)</f>
        <v>0</v>
      </c>
      <c r="M132" s="53">
        <v>0</v>
      </c>
      <c r="N132" s="53">
        <f t="shared" ca="1" si="33"/>
        <v>0</v>
      </c>
    </row>
    <row r="133" spans="1:14" ht="21.75" customHeight="1" x14ac:dyDescent="0.4">
      <c r="A133" s="55"/>
      <c r="B133" s="56"/>
      <c r="C133" s="43" t="s">
        <v>17</v>
      </c>
      <c r="D133" s="57" t="s">
        <v>25</v>
      </c>
      <c r="E133" s="58"/>
      <c r="F133" s="58"/>
      <c r="G133" s="59"/>
      <c r="H133" s="60"/>
      <c r="I133" s="67"/>
      <c r="J133" s="67"/>
      <c r="K133" s="233"/>
      <c r="L133" s="53"/>
      <c r="M133" s="53"/>
      <c r="N133" s="53"/>
    </row>
    <row r="134" spans="1:14" ht="21.75" customHeight="1" x14ac:dyDescent="0.4">
      <c r="A134" s="55"/>
      <c r="B134" s="56"/>
      <c r="C134" s="56"/>
      <c r="D134" s="62">
        <v>1</v>
      </c>
      <c r="E134" s="63" t="s">
        <v>26</v>
      </c>
      <c r="F134" s="64"/>
      <c r="G134" s="65"/>
      <c r="H134" s="66"/>
      <c r="I134" s="67"/>
      <c r="J134" s="67">
        <v>0</v>
      </c>
      <c r="K134" s="233"/>
      <c r="L134" s="53"/>
      <c r="M134" s="53"/>
      <c r="N134" s="53"/>
    </row>
    <row r="135" spans="1:14" ht="21.75" customHeight="1" x14ac:dyDescent="0.4">
      <c r="A135" s="55"/>
      <c r="B135" s="56"/>
      <c r="C135" s="56"/>
      <c r="D135" s="69">
        <v>2</v>
      </c>
      <c r="E135" s="70" t="s">
        <v>27</v>
      </c>
      <c r="F135" s="71"/>
      <c r="G135" s="72"/>
      <c r="H135" s="66"/>
      <c r="I135" s="67"/>
      <c r="J135" s="67">
        <v>0</v>
      </c>
      <c r="K135" s="233"/>
      <c r="L135" s="53" t="s">
        <v>21</v>
      </c>
      <c r="M135" s="53" t="s">
        <v>21</v>
      </c>
      <c r="N135" s="53"/>
    </row>
    <row r="136" spans="1:14" ht="21.75" customHeight="1" x14ac:dyDescent="0.4">
      <c r="A136" s="55"/>
      <c r="B136" s="56"/>
      <c r="C136" s="56"/>
      <c r="D136" s="73"/>
      <c r="E136" s="74" t="s">
        <v>28</v>
      </c>
      <c r="F136" s="75"/>
      <c r="G136" s="76"/>
      <c r="H136" s="66"/>
      <c r="I136" s="67"/>
      <c r="J136" s="67">
        <v>0</v>
      </c>
      <c r="K136" s="233"/>
      <c r="L136" s="53"/>
      <c r="M136" s="53"/>
      <c r="N136" s="53"/>
    </row>
    <row r="137" spans="1:14" ht="21.75" customHeight="1" x14ac:dyDescent="0.4">
      <c r="A137" s="55"/>
      <c r="B137" s="56"/>
      <c r="C137" s="56"/>
      <c r="D137" s="73"/>
      <c r="E137" s="74" t="s">
        <v>29</v>
      </c>
      <c r="F137" s="75"/>
      <c r="G137" s="76"/>
      <c r="H137" s="66"/>
      <c r="I137" s="67"/>
      <c r="J137" s="67">
        <v>0</v>
      </c>
      <c r="K137" s="233"/>
      <c r="L137" s="53"/>
      <c r="M137" s="53"/>
      <c r="N137" s="53"/>
    </row>
    <row r="138" spans="1:14" ht="21.75" customHeight="1" x14ac:dyDescent="0.4">
      <c r="A138" s="55"/>
      <c r="B138" s="56"/>
      <c r="C138" s="56"/>
      <c r="D138" s="73"/>
      <c r="E138" s="77"/>
      <c r="F138" s="75" t="s">
        <v>75</v>
      </c>
      <c r="G138" s="76"/>
      <c r="H138" s="60" t="s">
        <v>16</v>
      </c>
      <c r="I138" s="67">
        <f ca="1">IFERROR(__xludf.DUMMYFUNCTION("IMPORTRANGE(""https://docs.google.com/spreadsheets/d/1C3CXT74ZlgGe6_JY_1olB1XN4rF0dxEuIIF-xsYjHgg/edit?usp=sharing"",""พรบ!AS34"")"),0)</f>
        <v>0</v>
      </c>
      <c r="J138" s="67">
        <v>0</v>
      </c>
      <c r="K138" s="233">
        <f ca="1">IF(I138&gt;0,J138*100/I138,0)</f>
        <v>0</v>
      </c>
      <c r="L138" s="53">
        <f ca="1">IFERROR(__xludf.DUMMYFUNCTION("IMPORTRANGE(""https://docs.google.com/spreadsheets/d/1C3CXT74ZlgGe6_JY_1olB1XN4rF0dxEuIIF-xsYjHgg/edit?usp=sharing"",""กปร!H34"")"),0)</f>
        <v>0</v>
      </c>
      <c r="M138" s="53">
        <v>0</v>
      </c>
      <c r="N138" s="53">
        <f ca="1">+IF(L138&gt;0,M138*100/L138,0)</f>
        <v>0</v>
      </c>
    </row>
    <row r="139" spans="1:14" ht="21.75" customHeight="1" x14ac:dyDescent="0.4">
      <c r="A139" s="55"/>
      <c r="B139" s="56"/>
      <c r="C139" s="56"/>
      <c r="D139" s="73"/>
      <c r="E139" s="77"/>
      <c r="F139" s="74" t="s">
        <v>34</v>
      </c>
      <c r="G139" s="76"/>
      <c r="H139" s="60"/>
      <c r="I139" s="67"/>
      <c r="J139" s="67"/>
      <c r="K139" s="233"/>
      <c r="L139" s="53"/>
      <c r="M139" s="53"/>
      <c r="N139" s="53"/>
    </row>
    <row r="140" spans="1:14" ht="21.75" customHeight="1" x14ac:dyDescent="0.4">
      <c r="A140" s="55"/>
      <c r="B140" s="56"/>
      <c r="C140" s="56"/>
      <c r="D140" s="73"/>
      <c r="E140" s="77"/>
      <c r="F140" s="75"/>
      <c r="G140" s="99" t="s">
        <v>76</v>
      </c>
      <c r="H140" s="60" t="s">
        <v>16</v>
      </c>
      <c r="I140" s="67">
        <f ca="1">IFERROR(__xludf.DUMMYFUNCTION("IMPORTRANGE(""https://docs.google.com/spreadsheets/d/1C3CXT74ZlgGe6_JY_1olB1XN4rF0dxEuIIF-xsYjHgg/edit?usp=sharing"",""พรบ!AT34"")"),0)</f>
        <v>0</v>
      </c>
      <c r="J140" s="67">
        <v>0</v>
      </c>
      <c r="K140" s="233">
        <f t="shared" ref="K140:K141" ca="1" si="34">IF(I140&gt;0,J140*100/I140,0)</f>
        <v>0</v>
      </c>
      <c r="L140" s="53">
        <f ca="1">IFERROR(__xludf.DUMMYFUNCTION("IMPORTRANGE(""https://docs.google.com/spreadsheets/d/1C3CXT74ZlgGe6_JY_1olB1XN4rF0dxEuIIF-xsYjHgg/edit?usp=sharing"",""กปร!I34"")"),0)</f>
        <v>0</v>
      </c>
      <c r="M140" s="53">
        <v>0</v>
      </c>
      <c r="N140" s="53">
        <f t="shared" ref="N140:N141" ca="1" si="35">+IF(L140&gt;0,M140*100/L140,0)</f>
        <v>0</v>
      </c>
    </row>
    <row r="141" spans="1:14" ht="21.75" customHeight="1" x14ac:dyDescent="0.4">
      <c r="A141" s="55"/>
      <c r="B141" s="56"/>
      <c r="C141" s="56"/>
      <c r="D141" s="73"/>
      <c r="E141" s="77"/>
      <c r="F141" s="75"/>
      <c r="G141" s="99" t="s">
        <v>77</v>
      </c>
      <c r="H141" s="60" t="s">
        <v>40</v>
      </c>
      <c r="I141" s="67">
        <f ca="1">IFERROR(__xludf.DUMMYFUNCTION("IMPORTRANGE(""https://docs.google.com/spreadsheets/d/1C3CXT74ZlgGe6_JY_1olB1XN4rF0dxEuIIF-xsYjHgg/edit?usp=sharing"",""พรบ!AU34"")"),0)</f>
        <v>0</v>
      </c>
      <c r="J141" s="67">
        <v>0</v>
      </c>
      <c r="K141" s="233">
        <f t="shared" ca="1" si="34"/>
        <v>0</v>
      </c>
      <c r="L141" s="53">
        <f ca="1">IFERROR(__xludf.DUMMYFUNCTION("IMPORTRANGE(""https://docs.google.com/spreadsheets/d/1C3CXT74ZlgGe6_JY_1olB1XN4rF0dxEuIIF-xsYjHgg/edit?usp=sharing"",""กปร!J34"")"),0)</f>
        <v>0</v>
      </c>
      <c r="M141" s="53">
        <v>0</v>
      </c>
      <c r="N141" s="53">
        <f t="shared" ca="1" si="35"/>
        <v>0</v>
      </c>
    </row>
    <row r="142" spans="1:14" ht="21.75" customHeight="1" x14ac:dyDescent="0.4">
      <c r="A142" s="55"/>
      <c r="B142" s="56"/>
      <c r="C142" s="56"/>
      <c r="D142" s="73"/>
      <c r="E142" s="74" t="s">
        <v>35</v>
      </c>
      <c r="F142" s="75"/>
      <c r="G142" s="76"/>
      <c r="H142" s="66"/>
      <c r="I142" s="67"/>
      <c r="J142" s="67">
        <v>0</v>
      </c>
      <c r="K142" s="233"/>
      <c r="L142" s="53"/>
      <c r="M142" s="53"/>
      <c r="N142" s="53"/>
    </row>
    <row r="143" spans="1:14" ht="21.75" customHeight="1" x14ac:dyDescent="0.4">
      <c r="A143" s="105"/>
      <c r="B143" s="106"/>
      <c r="C143" s="106"/>
      <c r="D143" s="107">
        <v>3</v>
      </c>
      <c r="E143" s="108" t="s">
        <v>36</v>
      </c>
      <c r="F143" s="109"/>
      <c r="G143" s="110"/>
      <c r="H143" s="111"/>
      <c r="I143" s="112"/>
      <c r="J143" s="356">
        <v>0</v>
      </c>
      <c r="K143" s="357"/>
      <c r="L143" s="358"/>
      <c r="M143" s="358"/>
      <c r="N143" s="358"/>
    </row>
    <row r="144" spans="1:14" ht="21.75" customHeight="1" x14ac:dyDescent="0.4">
      <c r="A144" s="132"/>
      <c r="B144" s="133" t="s">
        <v>78</v>
      </c>
      <c r="C144" s="134"/>
      <c r="D144" s="133"/>
      <c r="E144" s="133"/>
      <c r="F144" s="133"/>
      <c r="G144" s="135"/>
      <c r="H144" s="136" t="s">
        <v>16</v>
      </c>
      <c r="I144" s="137">
        <f t="shared" ref="I144:J144" ca="1" si="36">+I149+I158</f>
        <v>13</v>
      </c>
      <c r="J144" s="137">
        <f t="shared" si="36"/>
        <v>0</v>
      </c>
      <c r="K144" s="138">
        <f ca="1">IF(I144&gt;0,J144*100/I144,0)</f>
        <v>0</v>
      </c>
      <c r="L144" s="139">
        <f ca="1">L145+L146</f>
        <v>19295</v>
      </c>
      <c r="M144" s="139">
        <f>SUM(M145:M146)</f>
        <v>0</v>
      </c>
      <c r="N144" s="138">
        <f ca="1">IF(L144&gt;0,M144*100/L144,0)</f>
        <v>0</v>
      </c>
    </row>
    <row r="145" spans="1:14" ht="21.75" customHeight="1" x14ac:dyDescent="0.4">
      <c r="A145" s="42"/>
      <c r="B145" s="43"/>
      <c r="C145" s="43" t="s">
        <v>17</v>
      </c>
      <c r="D145" s="44" t="s">
        <v>18</v>
      </c>
      <c r="E145" s="45"/>
      <c r="F145" s="45"/>
      <c r="G145" s="46" t="s">
        <v>19</v>
      </c>
      <c r="H145" s="47" t="s">
        <v>20</v>
      </c>
      <c r="I145" s="48" t="s">
        <v>21</v>
      </c>
      <c r="J145" s="48"/>
      <c r="K145" s="49"/>
      <c r="L145" s="50">
        <v>0</v>
      </c>
      <c r="M145" s="50">
        <v>0</v>
      </c>
      <c r="N145" s="50">
        <f t="shared" ref="N145:N148" si="37">+IF(L145&gt;0,M145*100/L145,0)</f>
        <v>0</v>
      </c>
    </row>
    <row r="146" spans="1:14" ht="21.75" customHeight="1" x14ac:dyDescent="0.4">
      <c r="A146" s="42"/>
      <c r="B146" s="43"/>
      <c r="C146" s="43"/>
      <c r="D146" s="51"/>
      <c r="E146" s="45"/>
      <c r="F146" s="45" t="s">
        <v>21</v>
      </c>
      <c r="G146" s="46" t="s">
        <v>22</v>
      </c>
      <c r="H146" s="47" t="s">
        <v>20</v>
      </c>
      <c r="I146" s="48"/>
      <c r="J146" s="48"/>
      <c r="K146" s="49"/>
      <c r="L146" s="50">
        <f t="shared" ref="L146:M146" ca="1" si="38">SUM(L147:L148)</f>
        <v>19295</v>
      </c>
      <c r="M146" s="50">
        <f t="shared" si="38"/>
        <v>0</v>
      </c>
      <c r="N146" s="50">
        <f t="shared" ca="1" si="37"/>
        <v>0</v>
      </c>
    </row>
    <row r="147" spans="1:14" ht="21.75" customHeight="1" x14ac:dyDescent="0.4">
      <c r="A147" s="42"/>
      <c r="B147" s="43"/>
      <c r="C147" s="43"/>
      <c r="D147" s="51"/>
      <c r="E147" s="45"/>
      <c r="F147" s="45"/>
      <c r="G147" s="52" t="s">
        <v>23</v>
      </c>
      <c r="H147" s="47" t="s">
        <v>20</v>
      </c>
      <c r="I147" s="48"/>
      <c r="J147" s="48"/>
      <c r="K147" s="49"/>
      <c r="L147" s="53">
        <v>0</v>
      </c>
      <c r="M147" s="53">
        <v>0</v>
      </c>
      <c r="N147" s="53">
        <f t="shared" si="37"/>
        <v>0</v>
      </c>
    </row>
    <row r="148" spans="1:14" ht="21.75" customHeight="1" x14ac:dyDescent="0.4">
      <c r="A148" s="42"/>
      <c r="B148" s="43"/>
      <c r="C148" s="43"/>
      <c r="D148" s="51"/>
      <c r="E148" s="45"/>
      <c r="F148" s="45"/>
      <c r="G148" s="52" t="s">
        <v>24</v>
      </c>
      <c r="H148" s="47" t="s">
        <v>20</v>
      </c>
      <c r="I148" s="48"/>
      <c r="J148" s="48"/>
      <c r="K148" s="49"/>
      <c r="L148" s="53">
        <f ca="1">IFERROR(__xludf.DUMMYFUNCTION("IMPORTRANGE(""https://docs.google.com/spreadsheets/d/1C3CXT74ZlgGe6_JY_1olB1XN4rF0dxEuIIF-xsYjHgg/edit?usp=sharing"",""พรบ!AY34"")"),19295)</f>
        <v>19295</v>
      </c>
      <c r="M148" s="54">
        <v>0</v>
      </c>
      <c r="N148" s="53">
        <f t="shared" ca="1" si="37"/>
        <v>0</v>
      </c>
    </row>
    <row r="149" spans="1:14" ht="21.75" customHeight="1" x14ac:dyDescent="0.4">
      <c r="A149" s="55"/>
      <c r="B149" s="155"/>
      <c r="C149" s="134" t="s">
        <v>79</v>
      </c>
      <c r="D149" s="133"/>
      <c r="E149" s="133"/>
      <c r="F149" s="133"/>
      <c r="G149" s="135"/>
      <c r="H149" s="136" t="s">
        <v>16</v>
      </c>
      <c r="I149" s="137">
        <f ca="1">I155</f>
        <v>13</v>
      </c>
      <c r="J149" s="137">
        <f>+J155</f>
        <v>0</v>
      </c>
      <c r="K149" s="138">
        <f ca="1">IF(I149&gt;0,J149*100/I149,0)</f>
        <v>0</v>
      </c>
      <c r="L149" s="140"/>
      <c r="M149" s="140"/>
      <c r="N149" s="140"/>
    </row>
    <row r="150" spans="1:14" ht="21.75" customHeight="1" x14ac:dyDescent="0.4">
      <c r="A150" s="55"/>
      <c r="B150" s="56"/>
      <c r="C150" s="43" t="s">
        <v>17</v>
      </c>
      <c r="D150" s="57" t="s">
        <v>25</v>
      </c>
      <c r="E150" s="58"/>
      <c r="F150" s="58"/>
      <c r="G150" s="59"/>
      <c r="H150" s="60"/>
      <c r="I150" s="48"/>
      <c r="J150" s="48"/>
      <c r="K150" s="49"/>
      <c r="L150" s="61"/>
      <c r="M150" s="61"/>
      <c r="N150" s="61"/>
    </row>
    <row r="151" spans="1:14" ht="21.75" customHeight="1" x14ac:dyDescent="0.4">
      <c r="A151" s="55"/>
      <c r="B151" s="56"/>
      <c r="C151" s="56"/>
      <c r="D151" s="62">
        <v>1</v>
      </c>
      <c r="E151" s="63" t="s">
        <v>26</v>
      </c>
      <c r="F151" s="64"/>
      <c r="G151" s="65"/>
      <c r="H151" s="66"/>
      <c r="I151" s="67"/>
      <c r="J151" s="68">
        <v>0</v>
      </c>
      <c r="K151" s="49"/>
      <c r="L151" s="61"/>
      <c r="M151" s="61"/>
      <c r="N151" s="61"/>
    </row>
    <row r="152" spans="1:14" ht="21.75" customHeight="1" x14ac:dyDescent="0.4">
      <c r="A152" s="55"/>
      <c r="B152" s="56"/>
      <c r="C152" s="56"/>
      <c r="D152" s="69">
        <v>2</v>
      </c>
      <c r="E152" s="70" t="s">
        <v>27</v>
      </c>
      <c r="F152" s="71"/>
      <c r="G152" s="72"/>
      <c r="H152" s="66"/>
      <c r="I152" s="67"/>
      <c r="J152" s="68">
        <v>1</v>
      </c>
      <c r="K152" s="49"/>
      <c r="L152" s="61" t="s">
        <v>21</v>
      </c>
      <c r="M152" s="61" t="s">
        <v>21</v>
      </c>
      <c r="N152" s="61"/>
    </row>
    <row r="153" spans="1:14" ht="21.75" customHeight="1" x14ac:dyDescent="0.4">
      <c r="A153" s="55"/>
      <c r="B153" s="56"/>
      <c r="C153" s="56"/>
      <c r="D153" s="73"/>
      <c r="E153" s="74" t="s">
        <v>28</v>
      </c>
      <c r="F153" s="75"/>
      <c r="G153" s="76"/>
      <c r="H153" s="66"/>
      <c r="I153" s="67"/>
      <c r="J153" s="68">
        <v>1</v>
      </c>
      <c r="K153" s="49"/>
      <c r="L153" s="61"/>
      <c r="M153" s="61"/>
      <c r="N153" s="61"/>
    </row>
    <row r="154" spans="1:14" ht="21.75" customHeight="1" x14ac:dyDescent="0.4">
      <c r="A154" s="55"/>
      <c r="B154" s="56"/>
      <c r="C154" s="56"/>
      <c r="D154" s="73"/>
      <c r="E154" s="74" t="s">
        <v>29</v>
      </c>
      <c r="F154" s="75"/>
      <c r="G154" s="76"/>
      <c r="H154" s="66"/>
      <c r="I154" s="67"/>
      <c r="J154" s="68">
        <v>0</v>
      </c>
      <c r="K154" s="49"/>
      <c r="L154" s="61"/>
      <c r="M154" s="61"/>
      <c r="N154" s="61"/>
    </row>
    <row r="155" spans="1:14" ht="21.75" customHeight="1" x14ac:dyDescent="0.4">
      <c r="A155" s="55"/>
      <c r="B155" s="56"/>
      <c r="C155" s="56"/>
      <c r="D155" s="73"/>
      <c r="E155" s="77"/>
      <c r="F155" s="75"/>
      <c r="G155" s="99" t="s">
        <v>50</v>
      </c>
      <c r="H155" s="66" t="s">
        <v>16</v>
      </c>
      <c r="I155" s="67">
        <f ca="1">IFERROR(__xludf.DUMMYFUNCTION("IMPORTRANGE(""https://docs.google.com/spreadsheets/d/1C3CXT74ZlgGe6_JY_1olB1XN4rF0dxEuIIF-xsYjHgg/edit?usp=sharing"",""พรบ!BA34"")"),13)</f>
        <v>13</v>
      </c>
      <c r="J155" s="68">
        <v>0</v>
      </c>
      <c r="K155" s="49">
        <f ca="1">IF(I155&gt;0,J155*100/I155,0)</f>
        <v>0</v>
      </c>
      <c r="L155" s="61"/>
      <c r="M155" s="61"/>
      <c r="N155" s="61"/>
    </row>
    <row r="156" spans="1:14" ht="21.75" customHeight="1" x14ac:dyDescent="0.4">
      <c r="A156" s="55"/>
      <c r="B156" s="56"/>
      <c r="C156" s="56"/>
      <c r="D156" s="73"/>
      <c r="E156" s="74" t="s">
        <v>35</v>
      </c>
      <c r="F156" s="75"/>
      <c r="G156" s="76"/>
      <c r="H156" s="66"/>
      <c r="I156" s="67"/>
      <c r="J156" s="68">
        <v>0</v>
      </c>
      <c r="K156" s="49"/>
      <c r="L156" s="61"/>
      <c r="M156" s="61"/>
      <c r="N156" s="61"/>
    </row>
    <row r="157" spans="1:14" ht="21.75" customHeight="1" x14ac:dyDescent="0.4">
      <c r="A157" s="55"/>
      <c r="B157" s="56"/>
      <c r="C157" s="56"/>
      <c r="D157" s="81">
        <v>3</v>
      </c>
      <c r="E157" s="82" t="s">
        <v>36</v>
      </c>
      <c r="F157" s="83"/>
      <c r="G157" s="84"/>
      <c r="H157" s="66"/>
      <c r="I157" s="67"/>
      <c r="J157" s="85">
        <v>0</v>
      </c>
      <c r="K157" s="49"/>
      <c r="L157" s="61"/>
      <c r="M157" s="61"/>
      <c r="N157" s="61"/>
    </row>
    <row r="158" spans="1:14" ht="21.75" customHeight="1" x14ac:dyDescent="0.4">
      <c r="A158" s="55"/>
      <c r="B158" s="56"/>
      <c r="C158" s="134" t="s">
        <v>81</v>
      </c>
      <c r="D158" s="156"/>
      <c r="E158" s="133"/>
      <c r="F158" s="133"/>
      <c r="G158" s="135"/>
      <c r="H158" s="136" t="s">
        <v>16</v>
      </c>
      <c r="I158" s="137">
        <f>I164</f>
        <v>0</v>
      </c>
      <c r="J158" s="137">
        <f>+J164</f>
        <v>0</v>
      </c>
      <c r="K158" s="138">
        <f>IF(I158&gt;0,J158*100/I158,0)</f>
        <v>0</v>
      </c>
      <c r="L158" s="61"/>
      <c r="M158" s="61"/>
      <c r="N158" s="61"/>
    </row>
    <row r="159" spans="1:14" ht="21.75" customHeight="1" x14ac:dyDescent="0.4">
      <c r="A159" s="55"/>
      <c r="B159" s="56"/>
      <c r="C159" s="43" t="s">
        <v>17</v>
      </c>
      <c r="D159" s="57" t="s">
        <v>25</v>
      </c>
      <c r="E159" s="58"/>
      <c r="F159" s="58"/>
      <c r="G159" s="59"/>
      <c r="H159" s="60"/>
      <c r="I159" s="48"/>
      <c r="J159" s="48"/>
      <c r="K159" s="49"/>
      <c r="L159" s="61"/>
      <c r="M159" s="61"/>
      <c r="N159" s="61"/>
    </row>
    <row r="160" spans="1:14" ht="21.75" customHeight="1" x14ac:dyDescent="0.4">
      <c r="A160" s="55"/>
      <c r="B160" s="56"/>
      <c r="C160" s="56"/>
      <c r="D160" s="62">
        <v>1</v>
      </c>
      <c r="E160" s="63" t="s">
        <v>26</v>
      </c>
      <c r="F160" s="64"/>
      <c r="G160" s="65"/>
      <c r="H160" s="66"/>
      <c r="I160" s="67"/>
      <c r="J160" s="67">
        <v>0</v>
      </c>
      <c r="K160" s="49"/>
      <c r="L160" s="61"/>
      <c r="M160" s="61"/>
      <c r="N160" s="61"/>
    </row>
    <row r="161" spans="1:14" ht="21.75" customHeight="1" x14ac:dyDescent="0.4">
      <c r="A161" s="55"/>
      <c r="B161" s="56"/>
      <c r="C161" s="56"/>
      <c r="D161" s="69">
        <v>2</v>
      </c>
      <c r="E161" s="70" t="s">
        <v>27</v>
      </c>
      <c r="F161" s="71"/>
      <c r="G161" s="72"/>
      <c r="H161" s="66"/>
      <c r="I161" s="67"/>
      <c r="J161" s="67">
        <v>0</v>
      </c>
      <c r="K161" s="49"/>
      <c r="L161" s="61" t="s">
        <v>21</v>
      </c>
      <c r="M161" s="61" t="s">
        <v>21</v>
      </c>
      <c r="N161" s="61"/>
    </row>
    <row r="162" spans="1:14" ht="21.75" customHeight="1" x14ac:dyDescent="0.4">
      <c r="A162" s="55"/>
      <c r="B162" s="56"/>
      <c r="C162" s="56"/>
      <c r="D162" s="73"/>
      <c r="E162" s="74" t="s">
        <v>28</v>
      </c>
      <c r="F162" s="75"/>
      <c r="G162" s="76"/>
      <c r="H162" s="66"/>
      <c r="I162" s="67"/>
      <c r="J162" s="67">
        <v>0</v>
      </c>
      <c r="K162" s="49"/>
      <c r="L162" s="61"/>
      <c r="M162" s="61"/>
      <c r="N162" s="61"/>
    </row>
    <row r="163" spans="1:14" ht="21.75" customHeight="1" x14ac:dyDescent="0.4">
      <c r="A163" s="55"/>
      <c r="B163" s="56"/>
      <c r="C163" s="56"/>
      <c r="D163" s="73"/>
      <c r="E163" s="74" t="s">
        <v>29</v>
      </c>
      <c r="F163" s="75"/>
      <c r="G163" s="76"/>
      <c r="H163" s="66"/>
      <c r="I163" s="67"/>
      <c r="J163" s="67">
        <v>0</v>
      </c>
      <c r="K163" s="49"/>
      <c r="L163" s="61"/>
      <c r="M163" s="61"/>
      <c r="N163" s="61"/>
    </row>
    <row r="164" spans="1:14" ht="21.75" customHeight="1" x14ac:dyDescent="0.4">
      <c r="A164" s="55"/>
      <c r="B164" s="56"/>
      <c r="C164" s="56"/>
      <c r="D164" s="73"/>
      <c r="E164" s="75"/>
      <c r="F164" s="74" t="s">
        <v>82</v>
      </c>
      <c r="G164" s="75"/>
      <c r="H164" s="66" t="s">
        <v>16</v>
      </c>
      <c r="I164" s="67">
        <v>0</v>
      </c>
      <c r="J164" s="67">
        <v>0</v>
      </c>
      <c r="K164" s="49">
        <f>IF(I164&gt;0,J164*100/I164,0)</f>
        <v>0</v>
      </c>
      <c r="L164" s="61"/>
      <c r="M164" s="61"/>
      <c r="N164" s="61"/>
    </row>
    <row r="165" spans="1:14" ht="21.75" customHeight="1" x14ac:dyDescent="0.4">
      <c r="A165" s="55"/>
      <c r="B165" s="56"/>
      <c r="C165" s="56"/>
      <c r="D165" s="73"/>
      <c r="E165" s="74" t="s">
        <v>35</v>
      </c>
      <c r="F165" s="75"/>
      <c r="G165" s="76"/>
      <c r="H165" s="66"/>
      <c r="I165" s="67"/>
      <c r="J165" s="67">
        <v>0</v>
      </c>
      <c r="K165" s="49"/>
      <c r="L165" s="61"/>
      <c r="M165" s="61"/>
      <c r="N165" s="61"/>
    </row>
    <row r="166" spans="1:14" ht="21.75" customHeight="1" x14ac:dyDescent="0.4">
      <c r="A166" s="105"/>
      <c r="B166" s="106"/>
      <c r="C166" s="106"/>
      <c r="D166" s="107">
        <v>3</v>
      </c>
      <c r="E166" s="108" t="s">
        <v>36</v>
      </c>
      <c r="F166" s="109"/>
      <c r="G166" s="110"/>
      <c r="H166" s="111"/>
      <c r="I166" s="112"/>
      <c r="J166" s="356">
        <v>0</v>
      </c>
      <c r="K166" s="114"/>
      <c r="L166" s="115"/>
      <c r="M166" s="115"/>
      <c r="N166" s="115"/>
    </row>
    <row r="167" spans="1:14" ht="21.75" customHeight="1" x14ac:dyDescent="0.4">
      <c r="A167" s="157" t="s">
        <v>83</v>
      </c>
      <c r="B167" s="158"/>
      <c r="C167" s="158"/>
      <c r="D167" s="158"/>
      <c r="E167" s="159"/>
      <c r="F167" s="159"/>
      <c r="G167" s="160"/>
      <c r="H167" s="161"/>
      <c r="I167" s="162"/>
      <c r="J167" s="162"/>
      <c r="K167" s="163"/>
      <c r="L167" s="164"/>
      <c r="M167" s="164"/>
      <c r="N167" s="165"/>
    </row>
    <row r="168" spans="1:14" ht="21.75" customHeight="1" x14ac:dyDescent="0.4">
      <c r="A168" s="166" t="s">
        <v>84</v>
      </c>
      <c r="B168" s="167"/>
      <c r="C168" s="167"/>
      <c r="D168" s="168"/>
      <c r="E168" s="168"/>
      <c r="F168" s="168"/>
      <c r="G168" s="169"/>
      <c r="H168" s="170"/>
      <c r="I168" s="171"/>
      <c r="J168" s="171"/>
      <c r="K168" s="172"/>
      <c r="L168" s="172"/>
      <c r="M168" s="172"/>
      <c r="N168" s="173"/>
    </row>
    <row r="169" spans="1:14" ht="21.75" customHeight="1" x14ac:dyDescent="0.4">
      <c r="A169" s="174"/>
      <c r="B169" s="175" t="s">
        <v>85</v>
      </c>
      <c r="C169" s="175"/>
      <c r="D169" s="175"/>
      <c r="E169" s="175"/>
      <c r="F169" s="175"/>
      <c r="G169" s="176"/>
      <c r="H169" s="177" t="s">
        <v>16</v>
      </c>
      <c r="I169" s="178">
        <f ca="1">I180</f>
        <v>0</v>
      </c>
      <c r="J169" s="178">
        <f>+J180</f>
        <v>0</v>
      </c>
      <c r="K169" s="179">
        <f ca="1">IF(I169&gt;0,J169*100/I169,0)</f>
        <v>0</v>
      </c>
      <c r="L169" s="180">
        <f ca="1">L170+L171</f>
        <v>0</v>
      </c>
      <c r="M169" s="180">
        <f>SUM(M170:M171)</f>
        <v>0</v>
      </c>
      <c r="N169" s="179">
        <f ca="1">IF(L169&gt;0,M169*100/L169,0)</f>
        <v>0</v>
      </c>
    </row>
    <row r="170" spans="1:14" ht="21.75" customHeight="1" x14ac:dyDescent="0.4">
      <c r="A170" s="42"/>
      <c r="B170" s="43"/>
      <c r="C170" s="43" t="s">
        <v>17</v>
      </c>
      <c r="D170" s="44" t="s">
        <v>18</v>
      </c>
      <c r="E170" s="45"/>
      <c r="F170" s="45"/>
      <c r="G170" s="46" t="s">
        <v>19</v>
      </c>
      <c r="H170" s="47" t="s">
        <v>20</v>
      </c>
      <c r="I170" s="67" t="s">
        <v>21</v>
      </c>
      <c r="J170" s="67"/>
      <c r="K170" s="233"/>
      <c r="L170" s="50">
        <v>0</v>
      </c>
      <c r="M170" s="50">
        <v>0</v>
      </c>
      <c r="N170" s="50">
        <f t="shared" ref="N170:N173" si="39">+IF(L170&gt;0,M170*100/L170,0)</f>
        <v>0</v>
      </c>
    </row>
    <row r="171" spans="1:14" ht="21.75" customHeight="1" x14ac:dyDescent="0.4">
      <c r="A171" s="42"/>
      <c r="B171" s="43"/>
      <c r="C171" s="43"/>
      <c r="D171" s="51"/>
      <c r="E171" s="45"/>
      <c r="F171" s="45" t="s">
        <v>21</v>
      </c>
      <c r="G171" s="46" t="s">
        <v>22</v>
      </c>
      <c r="H171" s="47" t="s">
        <v>20</v>
      </c>
      <c r="I171" s="67"/>
      <c r="J171" s="67"/>
      <c r="K171" s="233"/>
      <c r="L171" s="50">
        <f t="shared" ref="L171:M171" ca="1" si="40">SUM(L172:L173)</f>
        <v>0</v>
      </c>
      <c r="M171" s="50">
        <f t="shared" si="40"/>
        <v>0</v>
      </c>
      <c r="N171" s="50">
        <f t="shared" ca="1" si="39"/>
        <v>0</v>
      </c>
    </row>
    <row r="172" spans="1:14" ht="21.75" customHeight="1" x14ac:dyDescent="0.4">
      <c r="A172" s="42"/>
      <c r="B172" s="43"/>
      <c r="C172" s="43"/>
      <c r="D172" s="51"/>
      <c r="E172" s="45"/>
      <c r="F172" s="45"/>
      <c r="G172" s="52" t="s">
        <v>23</v>
      </c>
      <c r="H172" s="47" t="s">
        <v>20</v>
      </c>
      <c r="I172" s="67"/>
      <c r="J172" s="67"/>
      <c r="K172" s="233"/>
      <c r="L172" s="53">
        <f ca="1">IFERROR(__xludf.DUMMYFUNCTION("IMPORTRANGE(""https://docs.google.com/spreadsheets/d/1C3CXT74ZlgGe6_JY_1olB1XN4rF0dxEuIIF-xsYjHgg/edit?usp=sharing"",""พรบ!BD34"")"),0)</f>
        <v>0</v>
      </c>
      <c r="M172" s="53">
        <v>0</v>
      </c>
      <c r="N172" s="53">
        <f t="shared" ca="1" si="39"/>
        <v>0</v>
      </c>
    </row>
    <row r="173" spans="1:14" ht="21.75" customHeight="1" x14ac:dyDescent="0.4">
      <c r="A173" s="42"/>
      <c r="B173" s="43"/>
      <c r="C173" s="43"/>
      <c r="D173" s="51"/>
      <c r="E173" s="45"/>
      <c r="F173" s="45"/>
      <c r="G173" s="52" t="s">
        <v>24</v>
      </c>
      <c r="H173" s="47" t="s">
        <v>20</v>
      </c>
      <c r="I173" s="67"/>
      <c r="J173" s="67"/>
      <c r="K173" s="233"/>
      <c r="L173" s="53">
        <f ca="1">IFERROR(__xludf.DUMMYFUNCTION("IMPORTRANGE(""https://docs.google.com/spreadsheets/d/1C3CXT74ZlgGe6_JY_1olB1XN4rF0dxEuIIF-xsYjHgg/edit?usp=sharing"",""พรบ!BE34"")"),0)</f>
        <v>0</v>
      </c>
      <c r="M173" s="53">
        <v>0</v>
      </c>
      <c r="N173" s="53">
        <f t="shared" ca="1" si="39"/>
        <v>0</v>
      </c>
    </row>
    <row r="174" spans="1:14" ht="21.75" customHeight="1" x14ac:dyDescent="0.4">
      <c r="A174" s="55"/>
      <c r="B174" s="56"/>
      <c r="C174" s="43" t="s">
        <v>17</v>
      </c>
      <c r="D174" s="57" t="s">
        <v>25</v>
      </c>
      <c r="E174" s="58"/>
      <c r="F174" s="58"/>
      <c r="G174" s="59"/>
      <c r="H174" s="60"/>
      <c r="I174" s="67"/>
      <c r="J174" s="67"/>
      <c r="K174" s="233"/>
      <c r="L174" s="53"/>
      <c r="M174" s="53"/>
      <c r="N174" s="53"/>
    </row>
    <row r="175" spans="1:14" ht="21.75" customHeight="1" x14ac:dyDescent="0.4">
      <c r="A175" s="55"/>
      <c r="B175" s="56"/>
      <c r="C175" s="56"/>
      <c r="D175" s="62">
        <v>1</v>
      </c>
      <c r="E175" s="63" t="s">
        <v>26</v>
      </c>
      <c r="F175" s="64"/>
      <c r="G175" s="65"/>
      <c r="H175" s="66"/>
      <c r="I175" s="67"/>
      <c r="J175" s="67">
        <v>0</v>
      </c>
      <c r="K175" s="233"/>
      <c r="L175" s="53"/>
      <c r="M175" s="53"/>
      <c r="N175" s="53"/>
    </row>
    <row r="176" spans="1:14" ht="21.75" customHeight="1" x14ac:dyDescent="0.4">
      <c r="A176" s="55"/>
      <c r="B176" s="56"/>
      <c r="C176" s="56"/>
      <c r="D176" s="69">
        <v>2</v>
      </c>
      <c r="E176" s="70" t="s">
        <v>27</v>
      </c>
      <c r="F176" s="71"/>
      <c r="G176" s="72"/>
      <c r="H176" s="66"/>
      <c r="I176" s="67"/>
      <c r="J176" s="67">
        <v>0</v>
      </c>
      <c r="K176" s="233"/>
      <c r="L176" s="53" t="s">
        <v>21</v>
      </c>
      <c r="M176" s="53" t="s">
        <v>21</v>
      </c>
      <c r="N176" s="53"/>
    </row>
    <row r="177" spans="1:14" ht="21.75" customHeight="1" x14ac:dyDescent="0.4">
      <c r="A177" s="55"/>
      <c r="B177" s="56"/>
      <c r="C177" s="56"/>
      <c r="D177" s="73"/>
      <c r="E177" s="74" t="s">
        <v>28</v>
      </c>
      <c r="F177" s="75"/>
      <c r="G177" s="76"/>
      <c r="H177" s="66"/>
      <c r="I177" s="67"/>
      <c r="J177" s="67">
        <v>0</v>
      </c>
      <c r="K177" s="233"/>
      <c r="L177" s="53"/>
      <c r="M177" s="53"/>
      <c r="N177" s="53"/>
    </row>
    <row r="178" spans="1:14" ht="21.75" customHeight="1" x14ac:dyDescent="0.4">
      <c r="A178" s="55"/>
      <c r="B178" s="56"/>
      <c r="C178" s="56"/>
      <c r="D178" s="73"/>
      <c r="E178" s="74" t="s">
        <v>29</v>
      </c>
      <c r="F178" s="75"/>
      <c r="G178" s="76"/>
      <c r="H178" s="66"/>
      <c r="I178" s="67"/>
      <c r="J178" s="67">
        <v>0</v>
      </c>
      <c r="K178" s="233"/>
      <c r="L178" s="53"/>
      <c r="M178" s="53"/>
      <c r="N178" s="53"/>
    </row>
    <row r="179" spans="1:14" ht="21.75" customHeight="1" x14ac:dyDescent="0.4">
      <c r="A179" s="55"/>
      <c r="B179" s="56"/>
      <c r="C179" s="56"/>
      <c r="D179" s="73"/>
      <c r="E179" s="77"/>
      <c r="F179" s="74" t="s">
        <v>86</v>
      </c>
      <c r="G179" s="76"/>
      <c r="H179" s="60" t="s">
        <v>40</v>
      </c>
      <c r="I179" s="67">
        <f ca="1">IFERROR(__xludf.DUMMYFUNCTION("IMPORTRANGE(""https://docs.google.com/spreadsheets/d/1C3CXT74ZlgGe6_JY_1olB1XN4rF0dxEuIIF-xsYjHgg/edit?usp=sharing"",""พรบ!BF34"")"),0)</f>
        <v>0</v>
      </c>
      <c r="J179" s="67">
        <v>0</v>
      </c>
      <c r="K179" s="233">
        <f t="shared" ref="K179:K182" ca="1" si="41">IF(I179&gt;0,J179*100/I179,0)</f>
        <v>0</v>
      </c>
      <c r="L179" s="53"/>
      <c r="M179" s="53"/>
      <c r="N179" s="53"/>
    </row>
    <row r="180" spans="1:14" ht="21.75" customHeight="1" x14ac:dyDescent="0.4">
      <c r="A180" s="55"/>
      <c r="B180" s="56"/>
      <c r="C180" s="56"/>
      <c r="D180" s="73"/>
      <c r="E180" s="77"/>
      <c r="F180" s="74" t="s">
        <v>87</v>
      </c>
      <c r="G180" s="76"/>
      <c r="H180" s="60" t="s">
        <v>16</v>
      </c>
      <c r="I180" s="67">
        <f ca="1">IFERROR(__xludf.DUMMYFUNCTION("IMPORTRANGE(""https://docs.google.com/spreadsheets/d/1C3CXT74ZlgGe6_JY_1olB1XN4rF0dxEuIIF-xsYjHgg/edit?usp=sharing"",""พรบ!BG34"")"),0)</f>
        <v>0</v>
      </c>
      <c r="J180" s="67">
        <v>0</v>
      </c>
      <c r="K180" s="233">
        <f t="shared" ca="1" si="41"/>
        <v>0</v>
      </c>
      <c r="L180" s="53"/>
      <c r="M180" s="53"/>
      <c r="N180" s="53"/>
    </row>
    <row r="181" spans="1:14" ht="21.75" customHeight="1" x14ac:dyDescent="0.4">
      <c r="A181" s="55"/>
      <c r="B181" s="56"/>
      <c r="C181" s="56"/>
      <c r="D181" s="73"/>
      <c r="E181" s="77"/>
      <c r="F181" s="74" t="s">
        <v>88</v>
      </c>
      <c r="G181" s="76"/>
      <c r="H181" s="60" t="s">
        <v>16</v>
      </c>
      <c r="I181" s="67">
        <f ca="1">IFERROR(__xludf.DUMMYFUNCTION("IMPORTRANGE(""https://docs.google.com/spreadsheets/d/1C3CXT74ZlgGe6_JY_1olB1XN4rF0dxEuIIF-xsYjHgg/edit?usp=sharing"",""พรบ!BH34"")"),0)</f>
        <v>0</v>
      </c>
      <c r="J181" s="67">
        <v>0</v>
      </c>
      <c r="K181" s="233">
        <f t="shared" ca="1" si="41"/>
        <v>0</v>
      </c>
      <c r="L181" s="53"/>
      <c r="M181" s="53"/>
      <c r="N181" s="53"/>
    </row>
    <row r="182" spans="1:14" ht="21.75" customHeight="1" x14ac:dyDescent="0.4">
      <c r="A182" s="55"/>
      <c r="B182" s="56"/>
      <c r="C182" s="56"/>
      <c r="D182" s="73"/>
      <c r="E182" s="77"/>
      <c r="F182" s="74" t="s">
        <v>89</v>
      </c>
      <c r="G182" s="76"/>
      <c r="H182" s="60" t="s">
        <v>16</v>
      </c>
      <c r="I182" s="67">
        <f ca="1">IFERROR(__xludf.DUMMYFUNCTION("IMPORTRANGE(""https://docs.google.com/spreadsheets/d/1C3CXT74ZlgGe6_JY_1olB1XN4rF0dxEuIIF-xsYjHgg/edit?usp=sharing"",""พรบ!BI34"")"),0)</f>
        <v>0</v>
      </c>
      <c r="J182" s="67">
        <v>0</v>
      </c>
      <c r="K182" s="233">
        <f t="shared" ca="1" si="41"/>
        <v>0</v>
      </c>
      <c r="L182" s="53"/>
      <c r="M182" s="53"/>
      <c r="N182" s="53"/>
    </row>
    <row r="183" spans="1:14" ht="21.75" customHeight="1" x14ac:dyDescent="0.4">
      <c r="A183" s="55"/>
      <c r="B183" s="56"/>
      <c r="C183" s="56"/>
      <c r="D183" s="73"/>
      <c r="E183" s="74" t="s">
        <v>35</v>
      </c>
      <c r="F183" s="75"/>
      <c r="G183" s="76"/>
      <c r="H183" s="66"/>
      <c r="I183" s="67"/>
      <c r="J183" s="67">
        <v>0</v>
      </c>
      <c r="K183" s="233"/>
      <c r="L183" s="53"/>
      <c r="M183" s="53"/>
      <c r="N183" s="53"/>
    </row>
    <row r="184" spans="1:14" ht="21.75" customHeight="1" x14ac:dyDescent="0.4">
      <c r="A184" s="105"/>
      <c r="B184" s="106"/>
      <c r="C184" s="106"/>
      <c r="D184" s="107">
        <v>3</v>
      </c>
      <c r="E184" s="108" t="s">
        <v>36</v>
      </c>
      <c r="F184" s="109"/>
      <c r="G184" s="110"/>
      <c r="H184" s="111"/>
      <c r="I184" s="112"/>
      <c r="J184" s="356">
        <v>0</v>
      </c>
      <c r="K184" s="357"/>
      <c r="L184" s="358"/>
      <c r="M184" s="358"/>
      <c r="N184" s="358"/>
    </row>
    <row r="185" spans="1:14" ht="21.75" customHeight="1" x14ac:dyDescent="0.4">
      <c r="A185" s="174"/>
      <c r="B185" s="175" t="s">
        <v>90</v>
      </c>
      <c r="C185" s="175"/>
      <c r="D185" s="175"/>
      <c r="E185" s="175"/>
      <c r="F185" s="175"/>
      <c r="G185" s="176"/>
      <c r="H185" s="177" t="s">
        <v>16</v>
      </c>
      <c r="I185" s="178">
        <f ca="1">I195</f>
        <v>15</v>
      </c>
      <c r="J185" s="178">
        <f>+J195</f>
        <v>0</v>
      </c>
      <c r="K185" s="179">
        <f ca="1">IF(I185&gt;0,J185*100/I185,0)</f>
        <v>0</v>
      </c>
      <c r="L185" s="180">
        <f ca="1">L186+L187</f>
        <v>237700</v>
      </c>
      <c r="M185" s="180">
        <f>SUM(M186:M187)</f>
        <v>11000</v>
      </c>
      <c r="N185" s="179">
        <f ca="1">IF(L185&gt;0,M185*100/L185,0)</f>
        <v>4.6276819520403869</v>
      </c>
    </row>
    <row r="186" spans="1:14" ht="21.75" customHeight="1" x14ac:dyDescent="0.4">
      <c r="A186" s="42"/>
      <c r="B186" s="43"/>
      <c r="C186" s="43" t="s">
        <v>17</v>
      </c>
      <c r="D186" s="44" t="s">
        <v>18</v>
      </c>
      <c r="E186" s="45"/>
      <c r="F186" s="45"/>
      <c r="G186" s="46" t="s">
        <v>19</v>
      </c>
      <c r="H186" s="47" t="s">
        <v>20</v>
      </c>
      <c r="I186" s="48" t="s">
        <v>21</v>
      </c>
      <c r="J186" s="48"/>
      <c r="K186" s="49"/>
      <c r="L186" s="50">
        <v>0</v>
      </c>
      <c r="M186" s="50">
        <v>0</v>
      </c>
      <c r="N186" s="50">
        <f t="shared" ref="N186:N189" si="42">+IF(L186&gt;0,M186*100/L186,0)</f>
        <v>0</v>
      </c>
    </row>
    <row r="187" spans="1:14" ht="21.75" customHeight="1" x14ac:dyDescent="0.4">
      <c r="A187" s="42"/>
      <c r="B187" s="43"/>
      <c r="C187" s="43"/>
      <c r="D187" s="51"/>
      <c r="E187" s="45"/>
      <c r="F187" s="45" t="s">
        <v>21</v>
      </c>
      <c r="G187" s="46" t="s">
        <v>22</v>
      </c>
      <c r="H187" s="47" t="s">
        <v>20</v>
      </c>
      <c r="I187" s="48"/>
      <c r="J187" s="48"/>
      <c r="K187" s="49"/>
      <c r="L187" s="50">
        <f t="shared" ref="L187:M187" ca="1" si="43">SUM(L188:L189)</f>
        <v>237700</v>
      </c>
      <c r="M187" s="50">
        <f t="shared" si="43"/>
        <v>11000</v>
      </c>
      <c r="N187" s="50">
        <f t="shared" ca="1" si="42"/>
        <v>4.6276819520403869</v>
      </c>
    </row>
    <row r="188" spans="1:14" ht="21.75" customHeight="1" x14ac:dyDescent="0.4">
      <c r="A188" s="42"/>
      <c r="B188" s="43"/>
      <c r="C188" s="43"/>
      <c r="D188" s="51"/>
      <c r="E188" s="45"/>
      <c r="F188" s="45"/>
      <c r="G188" s="52" t="s">
        <v>23</v>
      </c>
      <c r="H188" s="47" t="s">
        <v>20</v>
      </c>
      <c r="I188" s="48"/>
      <c r="J188" s="48"/>
      <c r="K188" s="49"/>
      <c r="L188" s="53">
        <f ca="1">IFERROR(__xludf.DUMMYFUNCTION("IMPORTRANGE(""https://docs.google.com/spreadsheets/d/1C3CXT74ZlgGe6_JY_1olB1XN4rF0dxEuIIF-xsYjHgg/edit?usp=sharing"",""พรบ!BK34"")"),132000)</f>
        <v>132000</v>
      </c>
      <c r="M188" s="54">
        <v>11000</v>
      </c>
      <c r="N188" s="53">
        <f t="shared" ca="1" si="42"/>
        <v>8.3333333333333339</v>
      </c>
    </row>
    <row r="189" spans="1:14" ht="21.75" customHeight="1" x14ac:dyDescent="0.4">
      <c r="A189" s="42"/>
      <c r="B189" s="43"/>
      <c r="C189" s="43"/>
      <c r="D189" s="51"/>
      <c r="E189" s="45"/>
      <c r="F189" s="45"/>
      <c r="G189" s="52" t="s">
        <v>24</v>
      </c>
      <c r="H189" s="47" t="s">
        <v>20</v>
      </c>
      <c r="I189" s="48"/>
      <c r="J189" s="48"/>
      <c r="K189" s="49"/>
      <c r="L189" s="53">
        <f ca="1">IFERROR(__xludf.DUMMYFUNCTION("IMPORTRANGE(""https://docs.google.com/spreadsheets/d/1C3CXT74ZlgGe6_JY_1olB1XN4rF0dxEuIIF-xsYjHgg/edit?usp=sharing"",""พรบ!BL34"")"),105700)</f>
        <v>105700</v>
      </c>
      <c r="M189" s="54">
        <v>0</v>
      </c>
      <c r="N189" s="53">
        <f t="shared" ca="1" si="42"/>
        <v>0</v>
      </c>
    </row>
    <row r="190" spans="1:14" ht="21.75" customHeight="1" x14ac:dyDescent="0.4">
      <c r="A190" s="55"/>
      <c r="B190" s="56"/>
      <c r="C190" s="43" t="s">
        <v>17</v>
      </c>
      <c r="D190" s="57" t="s">
        <v>25</v>
      </c>
      <c r="E190" s="58"/>
      <c r="F190" s="58"/>
      <c r="G190" s="59"/>
      <c r="H190" s="60"/>
      <c r="I190" s="48"/>
      <c r="J190" s="48"/>
      <c r="K190" s="49"/>
      <c r="L190" s="61"/>
      <c r="M190" s="61"/>
      <c r="N190" s="61"/>
    </row>
    <row r="191" spans="1:14" ht="21.75" customHeight="1" x14ac:dyDescent="0.4">
      <c r="A191" s="55"/>
      <c r="B191" s="56"/>
      <c r="C191" s="56"/>
      <c r="D191" s="62">
        <v>1</v>
      </c>
      <c r="E191" s="63" t="s">
        <v>26</v>
      </c>
      <c r="F191" s="64"/>
      <c r="G191" s="65"/>
      <c r="H191" s="66"/>
      <c r="I191" s="67"/>
      <c r="J191" s="68">
        <v>0</v>
      </c>
      <c r="K191" s="49"/>
      <c r="L191" s="61"/>
      <c r="M191" s="61"/>
      <c r="N191" s="61"/>
    </row>
    <row r="192" spans="1:14" ht="21.75" customHeight="1" x14ac:dyDescent="0.4">
      <c r="A192" s="55"/>
      <c r="B192" s="56"/>
      <c r="C192" s="56"/>
      <c r="D192" s="69">
        <v>2</v>
      </c>
      <c r="E192" s="70" t="s">
        <v>27</v>
      </c>
      <c r="F192" s="71"/>
      <c r="G192" s="72"/>
      <c r="H192" s="66"/>
      <c r="I192" s="67"/>
      <c r="J192" s="68">
        <v>1</v>
      </c>
      <c r="K192" s="49"/>
      <c r="L192" s="61"/>
      <c r="M192" s="61"/>
      <c r="N192" s="61"/>
    </row>
    <row r="193" spans="1:14" ht="21.75" customHeight="1" x14ac:dyDescent="0.4">
      <c r="A193" s="55"/>
      <c r="B193" s="56"/>
      <c r="C193" s="56"/>
      <c r="D193" s="73"/>
      <c r="E193" s="74" t="s">
        <v>28</v>
      </c>
      <c r="F193" s="75"/>
      <c r="G193" s="76"/>
      <c r="H193" s="66"/>
      <c r="I193" s="67"/>
      <c r="J193" s="68">
        <v>1</v>
      </c>
      <c r="K193" s="49"/>
      <c r="L193" s="61"/>
      <c r="M193" s="61"/>
      <c r="N193" s="61"/>
    </row>
    <row r="194" spans="1:14" ht="21.75" customHeight="1" x14ac:dyDescent="0.4">
      <c r="A194" s="55"/>
      <c r="B194" s="56"/>
      <c r="C194" s="56"/>
      <c r="D194" s="73"/>
      <c r="E194" s="74" t="s">
        <v>29</v>
      </c>
      <c r="F194" s="75"/>
      <c r="G194" s="76"/>
      <c r="H194" s="66"/>
      <c r="I194" s="67"/>
      <c r="J194" s="68">
        <v>0</v>
      </c>
      <c r="K194" s="49"/>
      <c r="L194" s="61"/>
      <c r="M194" s="61"/>
      <c r="N194" s="61"/>
    </row>
    <row r="195" spans="1:14" ht="21.75" customHeight="1" x14ac:dyDescent="0.4">
      <c r="A195" s="55"/>
      <c r="B195" s="56"/>
      <c r="C195" s="56"/>
      <c r="D195" s="73"/>
      <c r="E195" s="75"/>
      <c r="F195" s="74" t="s">
        <v>91</v>
      </c>
      <c r="G195" s="76"/>
      <c r="H195" s="66" t="s">
        <v>16</v>
      </c>
      <c r="I195" s="67">
        <f ca="1">IFERROR(__xludf.DUMMYFUNCTION("IMPORTRANGE(""https://docs.google.com/spreadsheets/d/1C3CXT74ZlgGe6_JY_1olB1XN4rF0dxEuIIF-xsYjHgg/edit?usp=sharing"",""พรบ!BM34"")"),15)</f>
        <v>15</v>
      </c>
      <c r="J195" s="68">
        <v>0</v>
      </c>
      <c r="K195" s="49">
        <f ca="1">IF(I195&gt;0,J195*100/I195,0)</f>
        <v>0</v>
      </c>
      <c r="L195" s="61"/>
      <c r="M195" s="61"/>
      <c r="N195" s="61"/>
    </row>
    <row r="196" spans="1:14" ht="21.75" customHeight="1" x14ac:dyDescent="0.4">
      <c r="A196" s="55"/>
      <c r="B196" s="56"/>
      <c r="C196" s="56"/>
      <c r="D196" s="73"/>
      <c r="E196" s="74" t="s">
        <v>35</v>
      </c>
      <c r="F196" s="75"/>
      <c r="G196" s="76"/>
      <c r="H196" s="66"/>
      <c r="I196" s="67"/>
      <c r="J196" s="68">
        <v>0</v>
      </c>
      <c r="K196" s="49"/>
      <c r="L196" s="61"/>
      <c r="M196" s="61"/>
      <c r="N196" s="61"/>
    </row>
    <row r="197" spans="1:14" ht="21.75" customHeight="1" x14ac:dyDescent="0.4">
      <c r="A197" s="55"/>
      <c r="B197" s="56"/>
      <c r="C197" s="56"/>
      <c r="D197" s="81">
        <v>3</v>
      </c>
      <c r="E197" s="82" t="s">
        <v>36</v>
      </c>
      <c r="F197" s="83"/>
      <c r="G197" s="84"/>
      <c r="H197" s="66"/>
      <c r="I197" s="67"/>
      <c r="J197" s="85">
        <v>0</v>
      </c>
      <c r="K197" s="49"/>
      <c r="L197" s="61"/>
      <c r="M197" s="61"/>
      <c r="N197" s="61"/>
    </row>
    <row r="198" spans="1:14" ht="21.75" customHeight="1" x14ac:dyDescent="0.4">
      <c r="A198" s="166" t="s">
        <v>92</v>
      </c>
      <c r="B198" s="167"/>
      <c r="C198" s="167"/>
      <c r="D198" s="168"/>
      <c r="E198" s="167"/>
      <c r="F198" s="167"/>
      <c r="G198" s="181"/>
      <c r="H198" s="182"/>
      <c r="I198" s="183"/>
      <c r="J198" s="183"/>
      <c r="K198" s="184"/>
      <c r="L198" s="184"/>
      <c r="M198" s="184"/>
      <c r="N198" s="173"/>
    </row>
    <row r="199" spans="1:14" ht="21.75" customHeight="1" x14ac:dyDescent="0.4">
      <c r="A199" s="185"/>
      <c r="B199" s="175" t="s">
        <v>93</v>
      </c>
      <c r="C199" s="186"/>
      <c r="D199" s="187"/>
      <c r="E199" s="175"/>
      <c r="F199" s="175"/>
      <c r="G199" s="176"/>
      <c r="H199" s="177" t="s">
        <v>16</v>
      </c>
      <c r="I199" s="178">
        <f t="shared" ref="I199:J199" ca="1" si="44">I209</f>
        <v>0</v>
      </c>
      <c r="J199" s="178">
        <f t="shared" si="44"/>
        <v>0</v>
      </c>
      <c r="K199" s="179">
        <f ca="1">IF(I199&gt;0,J199*100/I199,0)</f>
        <v>0</v>
      </c>
      <c r="L199" s="180">
        <f ca="1">L200+L201</f>
        <v>0</v>
      </c>
      <c r="M199" s="180">
        <f>SUM(M200:M201)</f>
        <v>0</v>
      </c>
      <c r="N199" s="179">
        <f ca="1">IF(L199&gt;0,M199*100/L199,0)</f>
        <v>0</v>
      </c>
    </row>
    <row r="200" spans="1:14" ht="21.75" customHeight="1" x14ac:dyDescent="0.4">
      <c r="A200" s="42"/>
      <c r="B200" s="43"/>
      <c r="C200" s="43" t="s">
        <v>17</v>
      </c>
      <c r="D200" s="44" t="s">
        <v>18</v>
      </c>
      <c r="E200" s="45"/>
      <c r="F200" s="45"/>
      <c r="G200" s="46" t="s">
        <v>19</v>
      </c>
      <c r="H200" s="47" t="s">
        <v>20</v>
      </c>
      <c r="I200" s="67" t="s">
        <v>21</v>
      </c>
      <c r="J200" s="67"/>
      <c r="K200" s="233"/>
      <c r="L200" s="50">
        <v>0</v>
      </c>
      <c r="M200" s="50">
        <v>0</v>
      </c>
      <c r="N200" s="50">
        <f t="shared" ref="N200:N202" si="45">+IF(L200&gt;0,M200*100/L200,0)</f>
        <v>0</v>
      </c>
    </row>
    <row r="201" spans="1:14" ht="21.75" customHeight="1" x14ac:dyDescent="0.4">
      <c r="A201" s="42"/>
      <c r="B201" s="43"/>
      <c r="C201" s="43"/>
      <c r="D201" s="51"/>
      <c r="E201" s="45"/>
      <c r="F201" s="45" t="s">
        <v>21</v>
      </c>
      <c r="G201" s="46" t="s">
        <v>22</v>
      </c>
      <c r="H201" s="47" t="s">
        <v>20</v>
      </c>
      <c r="I201" s="67"/>
      <c r="J201" s="67"/>
      <c r="K201" s="233"/>
      <c r="L201" s="50">
        <f t="shared" ref="L201:M201" ca="1" si="46">SUM(L202:L203)</f>
        <v>0</v>
      </c>
      <c r="M201" s="50">
        <f t="shared" si="46"/>
        <v>0</v>
      </c>
      <c r="N201" s="50">
        <f t="shared" ca="1" si="45"/>
        <v>0</v>
      </c>
    </row>
    <row r="202" spans="1:14" ht="21.75" customHeight="1" x14ac:dyDescent="0.4">
      <c r="A202" s="42"/>
      <c r="B202" s="43"/>
      <c r="C202" s="43"/>
      <c r="D202" s="51"/>
      <c r="E202" s="45"/>
      <c r="F202" s="45"/>
      <c r="G202" s="52" t="s">
        <v>23</v>
      </c>
      <c r="H202" s="47" t="s">
        <v>20</v>
      </c>
      <c r="I202" s="67"/>
      <c r="J202" s="67"/>
      <c r="K202" s="233"/>
      <c r="L202" s="53">
        <v>0</v>
      </c>
      <c r="M202" s="53">
        <v>0</v>
      </c>
      <c r="N202" s="53">
        <f t="shared" si="45"/>
        <v>0</v>
      </c>
    </row>
    <row r="203" spans="1:14" ht="21.75" customHeight="1" x14ac:dyDescent="0.4">
      <c r="A203" s="42"/>
      <c r="B203" s="43"/>
      <c r="C203" s="43"/>
      <c r="D203" s="51"/>
      <c r="E203" s="45"/>
      <c r="F203" s="45"/>
      <c r="G203" s="52" t="s">
        <v>24</v>
      </c>
      <c r="H203" s="47" t="s">
        <v>20</v>
      </c>
      <c r="I203" s="67"/>
      <c r="J203" s="67"/>
      <c r="K203" s="233"/>
      <c r="L203" s="53">
        <f ca="1">IFERROR(__xludf.DUMMYFUNCTION("IMPORTRANGE(""https://docs.google.com/spreadsheets/d/1C3CXT74ZlgGe6_JY_1olB1XN4rF0dxEuIIF-xsYjHgg/edit?usp=sharing"",""พรบ!BP34"")"),0)</f>
        <v>0</v>
      </c>
      <c r="M203" s="53">
        <v>0</v>
      </c>
      <c r="N203" s="53">
        <f>+IF(L343&gt;0,M343*100/L343,0)</f>
        <v>0</v>
      </c>
    </row>
    <row r="204" spans="1:14" ht="21.75" customHeight="1" x14ac:dyDescent="0.4">
      <c r="A204" s="55"/>
      <c r="B204" s="56"/>
      <c r="C204" s="43" t="s">
        <v>17</v>
      </c>
      <c r="D204" s="57" t="s">
        <v>25</v>
      </c>
      <c r="E204" s="58"/>
      <c r="F204" s="58"/>
      <c r="G204" s="59"/>
      <c r="H204" s="60"/>
      <c r="I204" s="67"/>
      <c r="J204" s="67"/>
      <c r="K204" s="233"/>
      <c r="L204" s="53"/>
      <c r="M204" s="53"/>
      <c r="N204" s="53"/>
    </row>
    <row r="205" spans="1:14" ht="21.75" customHeight="1" x14ac:dyDescent="0.4">
      <c r="A205" s="55"/>
      <c r="B205" s="56"/>
      <c r="C205" s="56"/>
      <c r="D205" s="62">
        <v>1</v>
      </c>
      <c r="E205" s="63" t="s">
        <v>26</v>
      </c>
      <c r="F205" s="64"/>
      <c r="G205" s="65"/>
      <c r="H205" s="66"/>
      <c r="I205" s="67"/>
      <c r="J205" s="67">
        <v>0</v>
      </c>
      <c r="K205" s="233"/>
      <c r="L205" s="53"/>
      <c r="M205" s="53"/>
      <c r="N205" s="53"/>
    </row>
    <row r="206" spans="1:14" ht="21.75" customHeight="1" x14ac:dyDescent="0.4">
      <c r="A206" s="55"/>
      <c r="B206" s="56"/>
      <c r="C206" s="56"/>
      <c r="D206" s="69">
        <v>2</v>
      </c>
      <c r="E206" s="70" t="s">
        <v>27</v>
      </c>
      <c r="F206" s="71"/>
      <c r="G206" s="72"/>
      <c r="H206" s="66"/>
      <c r="I206" s="67"/>
      <c r="J206" s="67">
        <v>0</v>
      </c>
      <c r="K206" s="233"/>
      <c r="L206" s="53" t="s">
        <v>21</v>
      </c>
      <c r="M206" s="53" t="s">
        <v>21</v>
      </c>
      <c r="N206" s="53"/>
    </row>
    <row r="207" spans="1:14" ht="21.75" customHeight="1" x14ac:dyDescent="0.4">
      <c r="A207" s="55"/>
      <c r="B207" s="56"/>
      <c r="C207" s="56"/>
      <c r="D207" s="73"/>
      <c r="E207" s="74" t="s">
        <v>28</v>
      </c>
      <c r="F207" s="75"/>
      <c r="G207" s="76"/>
      <c r="H207" s="66"/>
      <c r="I207" s="67"/>
      <c r="J207" s="67">
        <v>0</v>
      </c>
      <c r="K207" s="233"/>
      <c r="L207" s="53"/>
      <c r="M207" s="53"/>
      <c r="N207" s="53"/>
    </row>
    <row r="208" spans="1:14" ht="21.75" customHeight="1" x14ac:dyDescent="0.4">
      <c r="A208" s="55"/>
      <c r="B208" s="56"/>
      <c r="C208" s="56"/>
      <c r="D208" s="73"/>
      <c r="E208" s="74" t="s">
        <v>29</v>
      </c>
      <c r="F208" s="75"/>
      <c r="G208" s="76"/>
      <c r="H208" s="66"/>
      <c r="I208" s="67"/>
      <c r="J208" s="67">
        <v>0</v>
      </c>
      <c r="K208" s="233"/>
      <c r="L208" s="53"/>
      <c r="M208" s="53"/>
      <c r="N208" s="53"/>
    </row>
    <row r="209" spans="1:14" ht="21.75" customHeight="1" x14ac:dyDescent="0.4">
      <c r="A209" s="55"/>
      <c r="B209" s="56"/>
      <c r="C209" s="56"/>
      <c r="D209" s="73"/>
      <c r="E209" s="77"/>
      <c r="F209" s="74" t="s">
        <v>94</v>
      </c>
      <c r="G209" s="76"/>
      <c r="H209" s="60" t="s">
        <v>16</v>
      </c>
      <c r="I209" s="67">
        <f ca="1">IFERROR(__xludf.DUMMYFUNCTION("IMPORTRANGE(""https://docs.google.com/spreadsheets/d/1C3CXT74ZlgGe6_JY_1olB1XN4rF0dxEuIIF-xsYjHgg/edit?usp=sharing"",""พรบ!BQ34"")"),0)</f>
        <v>0</v>
      </c>
      <c r="J209" s="67">
        <v>0</v>
      </c>
      <c r="K209" s="233">
        <f ca="1">IF(I209&gt;0,J209*100/I209,0)</f>
        <v>0</v>
      </c>
      <c r="L209" s="53"/>
      <c r="M209" s="53"/>
      <c r="N209" s="53"/>
    </row>
    <row r="210" spans="1:14" ht="21.75" customHeight="1" x14ac:dyDescent="0.4">
      <c r="A210" s="55"/>
      <c r="B210" s="56"/>
      <c r="C210" s="56"/>
      <c r="D210" s="73"/>
      <c r="E210" s="77"/>
      <c r="F210" s="74" t="s">
        <v>95</v>
      </c>
      <c r="G210" s="76"/>
      <c r="H210" s="60"/>
      <c r="I210" s="67"/>
      <c r="J210" s="67"/>
      <c r="K210" s="233"/>
      <c r="L210" s="53"/>
      <c r="M210" s="53"/>
      <c r="N210" s="53"/>
    </row>
    <row r="211" spans="1:14" ht="21.75" customHeight="1" x14ac:dyDescent="0.4">
      <c r="A211" s="55"/>
      <c r="B211" s="56"/>
      <c r="C211" s="56"/>
      <c r="D211" s="73"/>
      <c r="E211" s="77"/>
      <c r="F211" s="75" t="s">
        <v>34</v>
      </c>
      <c r="G211" s="76"/>
      <c r="H211" s="60" t="s">
        <v>16</v>
      </c>
      <c r="I211" s="67">
        <f ca="1">IFERROR(__xludf.DUMMYFUNCTION("IMPORTRANGE(""https://docs.google.com/spreadsheets/d/1C3CXT74ZlgGe6_JY_1olB1XN4rF0dxEuIIF-xsYjHgg/edit?usp=sharing"",""พรบ!BR34"")"),0)</f>
        <v>0</v>
      </c>
      <c r="J211" s="67">
        <v>0</v>
      </c>
      <c r="K211" s="233">
        <f ca="1">IF(I211&gt;0,J211*100/I211,0)</f>
        <v>0</v>
      </c>
      <c r="L211" s="53"/>
      <c r="M211" s="53"/>
      <c r="N211" s="53"/>
    </row>
    <row r="212" spans="1:14" ht="21.75" customHeight="1" x14ac:dyDescent="0.4">
      <c r="A212" s="55"/>
      <c r="B212" s="56"/>
      <c r="C212" s="56"/>
      <c r="D212" s="73"/>
      <c r="E212" s="74" t="s">
        <v>35</v>
      </c>
      <c r="F212" s="75"/>
      <c r="G212" s="76"/>
      <c r="H212" s="66"/>
      <c r="I212" s="67"/>
      <c r="J212" s="67">
        <v>0</v>
      </c>
      <c r="K212" s="233"/>
      <c r="L212" s="53"/>
      <c r="M212" s="53"/>
      <c r="N212" s="53"/>
    </row>
    <row r="213" spans="1:14" ht="21.75" customHeight="1" x14ac:dyDescent="0.4">
      <c r="A213" s="55"/>
      <c r="B213" s="56"/>
      <c r="C213" s="56"/>
      <c r="D213" s="81">
        <v>3</v>
      </c>
      <c r="E213" s="82" t="s">
        <v>36</v>
      </c>
      <c r="F213" s="83"/>
      <c r="G213" s="84"/>
      <c r="H213" s="66"/>
      <c r="I213" s="67"/>
      <c r="J213" s="385">
        <v>0</v>
      </c>
      <c r="K213" s="233"/>
      <c r="L213" s="53"/>
      <c r="M213" s="53"/>
      <c r="N213" s="53"/>
    </row>
    <row r="214" spans="1:14" ht="21.75" customHeight="1" x14ac:dyDescent="0.4">
      <c r="A214" s="189"/>
      <c r="B214" s="190" t="s">
        <v>96</v>
      </c>
      <c r="C214" s="191"/>
      <c r="D214" s="192"/>
      <c r="E214" s="190"/>
      <c r="F214" s="190"/>
      <c r="G214" s="193"/>
      <c r="H214" s="194" t="s">
        <v>97</v>
      </c>
      <c r="I214" s="195">
        <f t="shared" ref="I214:J214" ca="1" si="47">I224</f>
        <v>0</v>
      </c>
      <c r="J214" s="195">
        <f t="shared" si="47"/>
        <v>0</v>
      </c>
      <c r="K214" s="196">
        <f ca="1">IF(I214&gt;0,J214*100/I214,0)</f>
        <v>0</v>
      </c>
      <c r="L214" s="197">
        <f ca="1">L215+L216</f>
        <v>0</v>
      </c>
      <c r="M214" s="197">
        <f>SUM(M215:M216)</f>
        <v>0</v>
      </c>
      <c r="N214" s="196">
        <f ca="1">IF(L214&gt;0,M214*100/L214,0)</f>
        <v>0</v>
      </c>
    </row>
    <row r="215" spans="1:14" ht="21.75" customHeight="1" x14ac:dyDescent="0.4">
      <c r="A215" s="42"/>
      <c r="B215" s="43"/>
      <c r="C215" s="43" t="s">
        <v>17</v>
      </c>
      <c r="D215" s="44" t="s">
        <v>18</v>
      </c>
      <c r="E215" s="45"/>
      <c r="F215" s="45"/>
      <c r="G215" s="46" t="s">
        <v>19</v>
      </c>
      <c r="H215" s="47" t="s">
        <v>20</v>
      </c>
      <c r="I215" s="67" t="s">
        <v>21</v>
      </c>
      <c r="J215" s="67"/>
      <c r="K215" s="233"/>
      <c r="L215" s="50">
        <v>0</v>
      </c>
      <c r="M215" s="53">
        <v>0</v>
      </c>
      <c r="N215" s="53">
        <f t="shared" ref="N215:N218" si="48">+IF(L215&gt;0,M215*100/L215,0)</f>
        <v>0</v>
      </c>
    </row>
    <row r="216" spans="1:14" ht="21.75" customHeight="1" x14ac:dyDescent="0.4">
      <c r="A216" s="42"/>
      <c r="B216" s="43"/>
      <c r="C216" s="43"/>
      <c r="D216" s="51"/>
      <c r="E216" s="45"/>
      <c r="F216" s="45" t="s">
        <v>21</v>
      </c>
      <c r="G216" s="46" t="s">
        <v>22</v>
      </c>
      <c r="H216" s="47" t="s">
        <v>20</v>
      </c>
      <c r="I216" s="67"/>
      <c r="J216" s="67"/>
      <c r="K216" s="233"/>
      <c r="L216" s="50">
        <f t="shared" ref="L216:M216" ca="1" si="49">SUM(L217:L218)</f>
        <v>0</v>
      </c>
      <c r="M216" s="53">
        <f t="shared" si="49"/>
        <v>0</v>
      </c>
      <c r="N216" s="53">
        <f t="shared" ca="1" si="48"/>
        <v>0</v>
      </c>
    </row>
    <row r="217" spans="1:14" ht="21.75" customHeight="1" x14ac:dyDescent="0.4">
      <c r="A217" s="42"/>
      <c r="B217" s="43"/>
      <c r="C217" s="43"/>
      <c r="D217" s="51"/>
      <c r="E217" s="45"/>
      <c r="F217" s="45"/>
      <c r="G217" s="52" t="s">
        <v>23</v>
      </c>
      <c r="H217" s="47" t="s">
        <v>20</v>
      </c>
      <c r="I217" s="67"/>
      <c r="J217" s="67"/>
      <c r="K217" s="233"/>
      <c r="L217" s="53">
        <v>0</v>
      </c>
      <c r="M217" s="53">
        <v>0</v>
      </c>
      <c r="N217" s="53">
        <f t="shared" si="48"/>
        <v>0</v>
      </c>
    </row>
    <row r="218" spans="1:14" ht="21.75" customHeight="1" x14ac:dyDescent="0.4">
      <c r="A218" s="42"/>
      <c r="B218" s="43"/>
      <c r="C218" s="43"/>
      <c r="D218" s="51"/>
      <c r="E218" s="45"/>
      <c r="F218" s="45"/>
      <c r="G218" s="52" t="s">
        <v>24</v>
      </c>
      <c r="H218" s="47" t="s">
        <v>20</v>
      </c>
      <c r="I218" s="67"/>
      <c r="J218" s="67"/>
      <c r="K218" s="233"/>
      <c r="L218" s="53">
        <f ca="1">IFERROR(__xludf.DUMMYFUNCTION("IMPORTRANGE(""https://docs.google.com/spreadsheets/d/1C3CXT74ZlgGe6_JY_1olB1XN4rF0dxEuIIF-xsYjHgg/edit?usp=sharing"",""พรบ!BU34"")"),0)</f>
        <v>0</v>
      </c>
      <c r="M218" s="53">
        <v>0</v>
      </c>
      <c r="N218" s="53">
        <f t="shared" ca="1" si="48"/>
        <v>0</v>
      </c>
    </row>
    <row r="219" spans="1:14" ht="21.75" customHeight="1" x14ac:dyDescent="0.4">
      <c r="A219" s="55"/>
      <c r="B219" s="56"/>
      <c r="C219" s="43" t="s">
        <v>17</v>
      </c>
      <c r="D219" s="57" t="s">
        <v>25</v>
      </c>
      <c r="E219" s="58"/>
      <c r="F219" s="58"/>
      <c r="G219" s="59"/>
      <c r="H219" s="60"/>
      <c r="I219" s="67"/>
      <c r="J219" s="67"/>
      <c r="K219" s="233"/>
      <c r="L219" s="53"/>
      <c r="M219" s="53"/>
      <c r="N219" s="53"/>
    </row>
    <row r="220" spans="1:14" ht="21.75" customHeight="1" x14ac:dyDescent="0.4">
      <c r="A220" s="55"/>
      <c r="B220" s="56"/>
      <c r="C220" s="56"/>
      <c r="D220" s="62">
        <v>1</v>
      </c>
      <c r="E220" s="63" t="s">
        <v>26</v>
      </c>
      <c r="F220" s="64"/>
      <c r="G220" s="65"/>
      <c r="H220" s="66"/>
      <c r="I220" s="67"/>
      <c r="J220" s="67">
        <v>0</v>
      </c>
      <c r="K220" s="233"/>
      <c r="L220" s="53"/>
      <c r="M220" s="53"/>
      <c r="N220" s="53"/>
    </row>
    <row r="221" spans="1:14" ht="21.75" customHeight="1" x14ac:dyDescent="0.4">
      <c r="A221" s="55"/>
      <c r="B221" s="56"/>
      <c r="C221" s="56"/>
      <c r="D221" s="69">
        <v>2</v>
      </c>
      <c r="E221" s="70" t="s">
        <v>27</v>
      </c>
      <c r="F221" s="71"/>
      <c r="G221" s="72"/>
      <c r="H221" s="66"/>
      <c r="I221" s="67"/>
      <c r="J221" s="67">
        <v>0</v>
      </c>
      <c r="K221" s="233"/>
      <c r="L221" s="53" t="s">
        <v>21</v>
      </c>
      <c r="M221" s="53" t="s">
        <v>21</v>
      </c>
      <c r="N221" s="53"/>
    </row>
    <row r="222" spans="1:14" ht="21.75" customHeight="1" x14ac:dyDescent="0.4">
      <c r="A222" s="55"/>
      <c r="B222" s="56"/>
      <c r="C222" s="56"/>
      <c r="D222" s="73"/>
      <c r="E222" s="74" t="s">
        <v>28</v>
      </c>
      <c r="F222" s="75"/>
      <c r="G222" s="76"/>
      <c r="H222" s="66"/>
      <c r="I222" s="67"/>
      <c r="J222" s="67">
        <v>0</v>
      </c>
      <c r="K222" s="233"/>
      <c r="L222" s="53"/>
      <c r="M222" s="53"/>
      <c r="N222" s="53"/>
    </row>
    <row r="223" spans="1:14" ht="21.75" customHeight="1" x14ac:dyDescent="0.4">
      <c r="A223" s="55"/>
      <c r="B223" s="56"/>
      <c r="C223" s="56"/>
      <c r="D223" s="73"/>
      <c r="E223" s="74" t="s">
        <v>29</v>
      </c>
      <c r="F223" s="75"/>
      <c r="G223" s="76"/>
      <c r="H223" s="66"/>
      <c r="I223" s="67"/>
      <c r="J223" s="67">
        <v>0</v>
      </c>
      <c r="K223" s="233"/>
      <c r="L223" s="53"/>
      <c r="M223" s="53"/>
      <c r="N223" s="53"/>
    </row>
    <row r="224" spans="1:14" ht="21.75" customHeight="1" x14ac:dyDescent="0.4">
      <c r="A224" s="55"/>
      <c r="B224" s="56"/>
      <c r="C224" s="56"/>
      <c r="D224" s="73"/>
      <c r="E224" s="77"/>
      <c r="F224" s="74" t="s">
        <v>98</v>
      </c>
      <c r="G224" s="76"/>
      <c r="H224" s="66" t="s">
        <v>97</v>
      </c>
      <c r="I224" s="67">
        <f ca="1">IFERROR(__xludf.DUMMYFUNCTION("IMPORTRANGE(""https://docs.google.com/spreadsheets/d/1C3CXT74ZlgGe6_JY_1olB1XN4rF0dxEuIIF-xsYjHgg/edit?usp=sharing"",""พรบ!BV34"")"),0)</f>
        <v>0</v>
      </c>
      <c r="J224" s="67">
        <v>0</v>
      </c>
      <c r="K224" s="233">
        <f ca="1">IF(I224&gt;0,J224*100/I224,0)</f>
        <v>0</v>
      </c>
      <c r="L224" s="53"/>
      <c r="M224" s="53"/>
      <c r="N224" s="53"/>
    </row>
    <row r="225" spans="1:14" ht="21.75" customHeight="1" x14ac:dyDescent="0.4">
      <c r="A225" s="55"/>
      <c r="B225" s="56"/>
      <c r="C225" s="56"/>
      <c r="D225" s="73"/>
      <c r="E225" s="74" t="s">
        <v>35</v>
      </c>
      <c r="F225" s="75"/>
      <c r="G225" s="76"/>
      <c r="H225" s="66"/>
      <c r="I225" s="67"/>
      <c r="J225" s="67">
        <v>0</v>
      </c>
      <c r="K225" s="233"/>
      <c r="L225" s="53"/>
      <c r="M225" s="53"/>
      <c r="N225" s="53"/>
    </row>
    <row r="226" spans="1:14" ht="21.75" customHeight="1" x14ac:dyDescent="0.4">
      <c r="A226" s="55"/>
      <c r="B226" s="56"/>
      <c r="C226" s="56"/>
      <c r="D226" s="81">
        <v>3</v>
      </c>
      <c r="E226" s="82" t="s">
        <v>36</v>
      </c>
      <c r="F226" s="83"/>
      <c r="G226" s="84"/>
      <c r="H226" s="66"/>
      <c r="I226" s="67"/>
      <c r="J226" s="360">
        <v>0</v>
      </c>
      <c r="K226" s="233"/>
      <c r="L226" s="53"/>
      <c r="M226" s="53"/>
      <c r="N226" s="53"/>
    </row>
    <row r="227" spans="1:14" ht="21.75" customHeight="1" x14ac:dyDescent="0.4">
      <c r="A227" s="166" t="s">
        <v>99</v>
      </c>
      <c r="B227" s="167"/>
      <c r="C227" s="167"/>
      <c r="D227" s="168"/>
      <c r="E227" s="167"/>
      <c r="F227" s="167"/>
      <c r="G227" s="181"/>
      <c r="H227" s="170"/>
      <c r="I227" s="171"/>
      <c r="J227" s="171"/>
      <c r="K227" s="172"/>
      <c r="L227" s="172"/>
      <c r="M227" s="172"/>
      <c r="N227" s="173"/>
    </row>
    <row r="228" spans="1:14" ht="21.75" customHeight="1" x14ac:dyDescent="0.4">
      <c r="A228" s="174"/>
      <c r="B228" s="175" t="s">
        <v>100</v>
      </c>
      <c r="C228" s="187"/>
      <c r="D228" s="175"/>
      <c r="E228" s="175"/>
      <c r="F228" s="175"/>
      <c r="G228" s="176"/>
      <c r="H228" s="177" t="s">
        <v>16</v>
      </c>
      <c r="I228" s="198">
        <f ca="1">I236</f>
        <v>270</v>
      </c>
      <c r="J228" s="198">
        <f ca="1">J240</f>
        <v>0</v>
      </c>
      <c r="K228" s="179">
        <f ca="1">IF(I228&gt;0,J228*100/I228,0)</f>
        <v>0</v>
      </c>
      <c r="L228" s="180">
        <f ca="1">L229+L230</f>
        <v>868030</v>
      </c>
      <c r="M228" s="180">
        <f>SUM(M229:M230)</f>
        <v>41500</v>
      </c>
      <c r="N228" s="179">
        <f ca="1">IF(L228&gt;0,M228*100/L228,0)</f>
        <v>4.7809407508957067</v>
      </c>
    </row>
    <row r="229" spans="1:14" ht="21.75" customHeight="1" x14ac:dyDescent="0.4">
      <c r="A229" s="42"/>
      <c r="B229" s="43"/>
      <c r="C229" s="43" t="s">
        <v>17</v>
      </c>
      <c r="D229" s="44" t="s">
        <v>18</v>
      </c>
      <c r="E229" s="45"/>
      <c r="F229" s="45"/>
      <c r="G229" s="46" t="s">
        <v>19</v>
      </c>
      <c r="H229" s="47" t="s">
        <v>20</v>
      </c>
      <c r="I229" s="48" t="s">
        <v>21</v>
      </c>
      <c r="J229" s="48"/>
      <c r="K229" s="49"/>
      <c r="L229" s="50">
        <v>0</v>
      </c>
      <c r="M229" s="53">
        <v>0</v>
      </c>
      <c r="N229" s="53">
        <f t="shared" ref="N229:N232" si="50">+IF(L229&gt;0,M229*100/L229,0)</f>
        <v>0</v>
      </c>
    </row>
    <row r="230" spans="1:14" ht="21.75" customHeight="1" x14ac:dyDescent="0.4">
      <c r="A230" s="42"/>
      <c r="B230" s="43"/>
      <c r="C230" s="43"/>
      <c r="D230" s="51"/>
      <c r="E230" s="45"/>
      <c r="F230" s="45" t="s">
        <v>21</v>
      </c>
      <c r="G230" s="46" t="s">
        <v>22</v>
      </c>
      <c r="H230" s="47" t="s">
        <v>20</v>
      </c>
      <c r="I230" s="48"/>
      <c r="J230" s="48"/>
      <c r="K230" s="49"/>
      <c r="L230" s="50">
        <f t="shared" ref="L230:M230" ca="1" si="51">SUM(L231:L232)</f>
        <v>868030</v>
      </c>
      <c r="M230" s="53">
        <f t="shared" si="51"/>
        <v>41500</v>
      </c>
      <c r="N230" s="53">
        <f t="shared" ca="1" si="50"/>
        <v>4.7809407508957067</v>
      </c>
    </row>
    <row r="231" spans="1:14" ht="21.75" customHeight="1" x14ac:dyDescent="0.4">
      <c r="A231" s="42"/>
      <c r="B231" s="43"/>
      <c r="C231" s="43"/>
      <c r="D231" s="51"/>
      <c r="E231" s="45"/>
      <c r="F231" s="45"/>
      <c r="G231" s="52" t="s">
        <v>23</v>
      </c>
      <c r="H231" s="47" t="s">
        <v>20</v>
      </c>
      <c r="I231" s="48"/>
      <c r="J231" s="48"/>
      <c r="K231" s="49"/>
      <c r="L231" s="53">
        <f ca="1">IFERROR(__xludf.DUMMYFUNCTION("IMPORTRANGE(""https://docs.google.com/spreadsheets/d/1C3CXT74ZlgGe6_JY_1olB1XN4rF0dxEuIIF-xsYjHgg/edit?usp=sharing"",""พรบ!BX34"")"),529200)</f>
        <v>529200</v>
      </c>
      <c r="M231" s="54">
        <v>41500</v>
      </c>
      <c r="N231" s="53">
        <f t="shared" ca="1" si="50"/>
        <v>7.8420256991685564</v>
      </c>
    </row>
    <row r="232" spans="1:14" ht="21.75" customHeight="1" x14ac:dyDescent="0.4">
      <c r="A232" s="42"/>
      <c r="B232" s="43"/>
      <c r="C232" s="43"/>
      <c r="D232" s="51"/>
      <c r="E232" s="45"/>
      <c r="F232" s="45"/>
      <c r="G232" s="52" t="s">
        <v>24</v>
      </c>
      <c r="H232" s="47" t="s">
        <v>20</v>
      </c>
      <c r="I232" s="48"/>
      <c r="J232" s="48"/>
      <c r="K232" s="49"/>
      <c r="L232" s="53">
        <f ca="1">IFERROR(__xludf.DUMMYFUNCTION("IMPORTRANGE(""https://docs.google.com/spreadsheets/d/1C3CXT74ZlgGe6_JY_1olB1XN4rF0dxEuIIF-xsYjHgg/edit?usp=sharing"",""พรบ!BY34"")"),338830)</f>
        <v>338830</v>
      </c>
      <c r="M232" s="54">
        <v>0</v>
      </c>
      <c r="N232" s="53">
        <f t="shared" ca="1" si="50"/>
        <v>0</v>
      </c>
    </row>
    <row r="233" spans="1:14" ht="21.75" customHeight="1" x14ac:dyDescent="0.4">
      <c r="A233" s="55"/>
      <c r="B233" s="155"/>
      <c r="C233" s="199" t="s">
        <v>101</v>
      </c>
      <c r="D233" s="75"/>
      <c r="E233" s="75"/>
      <c r="F233" s="75"/>
      <c r="G233" s="76"/>
      <c r="H233" s="60"/>
      <c r="I233" s="200"/>
      <c r="J233" s="200"/>
      <c r="K233" s="201"/>
      <c r="L233" s="61"/>
      <c r="M233" s="61"/>
      <c r="N233" s="202"/>
    </row>
    <row r="234" spans="1:14" ht="21.75" customHeight="1" x14ac:dyDescent="0.4">
      <c r="A234" s="55"/>
      <c r="B234" s="155"/>
      <c r="C234" s="56"/>
      <c r="D234" s="75"/>
      <c r="E234" s="74" t="s">
        <v>102</v>
      </c>
      <c r="F234" s="75"/>
      <c r="G234" s="76"/>
      <c r="H234" s="60" t="s">
        <v>16</v>
      </c>
      <c r="I234" s="67">
        <v>0</v>
      </c>
      <c r="J234" s="67">
        <f ca="1">IFERROR(__xludf.DUMMYFUNCTION("IMPORTRANGE(""https://docs.google.com/spreadsheets/d/1AGHcLOeeYFL3K4b9R1dSzyJy00PE_ra89DNTVfnxSWM/edit?usp=sharing"",""รวมที่ทำกิน!J23"")"),12)</f>
        <v>12</v>
      </c>
      <c r="K234" s="201">
        <f t="shared" ref="K234:K241" si="52">IF(I234&gt;0,J234*100/I234,0)</f>
        <v>0</v>
      </c>
      <c r="L234" s="61"/>
      <c r="M234" s="61"/>
      <c r="N234" s="202"/>
    </row>
    <row r="235" spans="1:14" ht="21.75" customHeight="1" x14ac:dyDescent="0.4">
      <c r="A235" s="55"/>
      <c r="B235" s="155"/>
      <c r="C235" s="56"/>
      <c r="D235" s="75"/>
      <c r="E235" s="75"/>
      <c r="F235" s="75"/>
      <c r="G235" s="76"/>
      <c r="H235" s="60" t="s">
        <v>103</v>
      </c>
      <c r="I235" s="67">
        <f ca="1">IFERROR(__xludf.DUMMYFUNCTION("IMPORTRANGE(""https://docs.google.com/spreadsheets/d/1C3CXT74ZlgGe6_JY_1olB1XN4rF0dxEuIIF-xsYjHgg/edit?usp=sharing"",""พรบ!BZ34"")"),1440)</f>
        <v>1440</v>
      </c>
      <c r="J235" s="67">
        <f ca="1">IFERROR(__xludf.DUMMYFUNCTION("IMPORTRANGE(""https://docs.google.com/spreadsheets/d/1AGHcLOeeYFL3K4b9R1dSzyJy00PE_ra89DNTVfnxSWM/edit?usp=sharing"",""รวมที่ทำกิน!L23"")"),159.44)</f>
        <v>159.44</v>
      </c>
      <c r="K235" s="201">
        <f t="shared" ca="1" si="52"/>
        <v>11.072222222222223</v>
      </c>
      <c r="L235" s="61"/>
      <c r="M235" s="61"/>
      <c r="N235" s="202"/>
    </row>
    <row r="236" spans="1:14" ht="21.75" customHeight="1" x14ac:dyDescent="0.4">
      <c r="A236" s="55"/>
      <c r="B236" s="155"/>
      <c r="C236" s="56"/>
      <c r="D236" s="75"/>
      <c r="E236" s="74" t="s">
        <v>104</v>
      </c>
      <c r="F236" s="75"/>
      <c r="G236" s="76"/>
      <c r="H236" s="60" t="s">
        <v>16</v>
      </c>
      <c r="I236" s="67">
        <f ca="1">IFERROR(__xludf.DUMMYFUNCTION("IMPORTRANGE(""https://docs.google.com/spreadsheets/d/1C3CXT74ZlgGe6_JY_1olB1XN4rF0dxEuIIF-xsYjHgg/edit?usp=sharing"",""พรบ!CA34"")"),270)</f>
        <v>270</v>
      </c>
      <c r="J236" s="67">
        <f ca="1">IFERROR(__xludf.DUMMYFUNCTION("IMPORTRANGE(""https://docs.google.com/spreadsheets/d/1AGHcLOeeYFL3K4b9R1dSzyJy00PE_ra89DNTVfnxSWM/edit?usp=sharing"",""รวมที่ทำกิน!O23"")"),12)</f>
        <v>12</v>
      </c>
      <c r="K236" s="201">
        <f t="shared" ca="1" si="52"/>
        <v>4.4444444444444446</v>
      </c>
      <c r="L236" s="61"/>
      <c r="M236" s="61"/>
      <c r="N236" s="202"/>
    </row>
    <row r="237" spans="1:14" ht="21.75" customHeight="1" x14ac:dyDescent="0.4">
      <c r="A237" s="55"/>
      <c r="B237" s="155"/>
      <c r="C237" s="56"/>
      <c r="D237" s="75"/>
      <c r="E237" s="75"/>
      <c r="F237" s="75"/>
      <c r="G237" s="76"/>
      <c r="H237" s="60" t="s">
        <v>103</v>
      </c>
      <c r="I237" s="200">
        <v>0</v>
      </c>
      <c r="J237" s="67">
        <f ca="1">IFERROR(__xludf.DUMMYFUNCTION("IMPORTRANGE(""https://docs.google.com/spreadsheets/d/1AGHcLOeeYFL3K4b9R1dSzyJy00PE_ra89DNTVfnxSWM/edit?usp=sharing"",""รวมที่ทำกิน!Q23"")"),156.44)</f>
        <v>156.44</v>
      </c>
      <c r="K237" s="201">
        <f t="shared" si="52"/>
        <v>0</v>
      </c>
      <c r="L237" s="61"/>
      <c r="M237" s="61"/>
      <c r="N237" s="202"/>
    </row>
    <row r="238" spans="1:14" ht="21.75" customHeight="1" x14ac:dyDescent="0.4">
      <c r="A238" s="55"/>
      <c r="B238" s="155"/>
      <c r="C238" s="56"/>
      <c r="D238" s="75"/>
      <c r="E238" s="74" t="s">
        <v>105</v>
      </c>
      <c r="F238" s="75"/>
      <c r="G238" s="76"/>
      <c r="H238" s="60" t="s">
        <v>16</v>
      </c>
      <c r="I238" s="67">
        <f ca="1">IFERROR(__xludf.DUMMYFUNCTION("IMPORTRANGE(""https://docs.google.com/spreadsheets/d/1C3CXT74ZlgGe6_JY_1olB1XN4rF0dxEuIIF-xsYjHgg/edit?usp=sharing"",""พรบ!CB34"")"),270)</f>
        <v>270</v>
      </c>
      <c r="J238" s="67">
        <f ca="1">IFERROR(__xludf.DUMMYFUNCTION("IMPORTRANGE(""https://docs.google.com/spreadsheets/d/1AGHcLOeeYFL3K4b9R1dSzyJy00PE_ra89DNTVfnxSWM/edit?usp=sharing"",""รวมที่ทำกิน!S23"")"),0)</f>
        <v>0</v>
      </c>
      <c r="K238" s="201">
        <f t="shared" ca="1" si="52"/>
        <v>0</v>
      </c>
      <c r="L238" s="61"/>
      <c r="M238" s="61"/>
      <c r="N238" s="202"/>
    </row>
    <row r="239" spans="1:14" ht="21.75" customHeight="1" x14ac:dyDescent="0.4">
      <c r="A239" s="55"/>
      <c r="B239" s="155"/>
      <c r="C239" s="56"/>
      <c r="D239" s="75"/>
      <c r="E239" s="75"/>
      <c r="F239" s="75"/>
      <c r="G239" s="76"/>
      <c r="H239" s="60" t="s">
        <v>103</v>
      </c>
      <c r="I239" s="200">
        <v>0</v>
      </c>
      <c r="J239" s="67">
        <f ca="1">IFERROR(__xludf.DUMMYFUNCTION("IMPORTRANGE(""https://docs.google.com/spreadsheets/d/1AGHcLOeeYFL3K4b9R1dSzyJy00PE_ra89DNTVfnxSWM/edit?usp=sharing"",""รวมที่ทำกิน!U23"")"),0)</f>
        <v>0</v>
      </c>
      <c r="K239" s="201">
        <f t="shared" si="52"/>
        <v>0</v>
      </c>
      <c r="L239" s="61"/>
      <c r="M239" s="61"/>
      <c r="N239" s="202"/>
    </row>
    <row r="240" spans="1:14" ht="21.75" customHeight="1" x14ac:dyDescent="0.4">
      <c r="A240" s="55"/>
      <c r="B240" s="155"/>
      <c r="C240" s="56"/>
      <c r="D240" s="75"/>
      <c r="E240" s="74" t="s">
        <v>106</v>
      </c>
      <c r="F240" s="75"/>
      <c r="G240" s="76"/>
      <c r="H240" s="60" t="s">
        <v>16</v>
      </c>
      <c r="I240" s="67">
        <f ca="1">IFERROR(__xludf.DUMMYFUNCTION("IMPORTRANGE(""https://docs.google.com/spreadsheets/d/1C3CXT74ZlgGe6_JY_1olB1XN4rF0dxEuIIF-xsYjHgg/edit?usp=sharing"",""พรบ!CC34"")"),270)</f>
        <v>270</v>
      </c>
      <c r="J240" s="67">
        <f ca="1">IFERROR(__xludf.DUMMYFUNCTION("IMPORTRANGE(""https://docs.google.com/spreadsheets/d/1AGHcLOeeYFL3K4b9R1dSzyJy00PE_ra89DNTVfnxSWM/edit?usp=sharing"",""รวมที่ทำกิน!W23"")"),0)</f>
        <v>0</v>
      </c>
      <c r="K240" s="201">
        <f t="shared" ca="1" si="52"/>
        <v>0</v>
      </c>
      <c r="L240" s="61"/>
      <c r="M240" s="61"/>
      <c r="N240" s="202"/>
    </row>
    <row r="241" spans="1:14" ht="21.75" customHeight="1" x14ac:dyDescent="0.4">
      <c r="A241" s="105"/>
      <c r="B241" s="203"/>
      <c r="C241" s="106"/>
      <c r="D241" s="203"/>
      <c r="E241" s="204"/>
      <c r="F241" s="204"/>
      <c r="G241" s="205"/>
      <c r="H241" s="206" t="s">
        <v>103</v>
      </c>
      <c r="I241" s="207">
        <v>0</v>
      </c>
      <c r="J241" s="67">
        <f ca="1">IFERROR(__xludf.DUMMYFUNCTION("IMPORTRANGE(""https://docs.google.com/spreadsheets/d/1AGHcLOeeYFL3K4b9R1dSzyJy00PE_ra89DNTVfnxSWM/edit?usp=sharing"",""รวมที่ทำกิน!Y23"")"),0)</f>
        <v>0</v>
      </c>
      <c r="K241" s="201">
        <f t="shared" si="52"/>
        <v>0</v>
      </c>
      <c r="L241" s="115"/>
      <c r="M241" s="115"/>
      <c r="N241" s="208"/>
    </row>
    <row r="242" spans="1:14" ht="21.75" customHeight="1" x14ac:dyDescent="0.4">
      <c r="A242" s="209" t="s">
        <v>107</v>
      </c>
      <c r="B242" s="210"/>
      <c r="C242" s="210"/>
      <c r="D242" s="210"/>
      <c r="E242" s="210"/>
      <c r="F242" s="210"/>
      <c r="G242" s="211"/>
      <c r="H242" s="212"/>
      <c r="I242" s="213"/>
      <c r="J242" s="213"/>
      <c r="K242" s="214"/>
      <c r="L242" s="214">
        <f t="shared" ref="L242:M242" ca="1" si="53">SUM(L244,L275,L296,L330,L350,L426,L444,L457,L473,L490)</f>
        <v>1955983</v>
      </c>
      <c r="M242" s="214">
        <f t="shared" si="53"/>
        <v>33660</v>
      </c>
      <c r="N242" s="214">
        <f ca="1">+IF(L242&gt;0,M242*100/L242,0)</f>
        <v>1.7208738521756068</v>
      </c>
    </row>
    <row r="243" spans="1:14" ht="21.75" customHeight="1" x14ac:dyDescent="0.4">
      <c r="A243" s="215" t="s">
        <v>108</v>
      </c>
      <c r="B243" s="216"/>
      <c r="C243" s="216"/>
      <c r="D243" s="216"/>
      <c r="E243" s="216"/>
      <c r="F243" s="216"/>
      <c r="G243" s="217"/>
      <c r="H243" s="218"/>
      <c r="I243" s="219"/>
      <c r="J243" s="219"/>
      <c r="K243" s="220"/>
      <c r="L243" s="220"/>
      <c r="M243" s="220"/>
      <c r="N243" s="221"/>
    </row>
    <row r="244" spans="1:14" ht="21.75" customHeight="1" x14ac:dyDescent="0.4">
      <c r="A244" s="222"/>
      <c r="B244" s="223">
        <v>1</v>
      </c>
      <c r="C244" s="224" t="s">
        <v>109</v>
      </c>
      <c r="D244" s="224"/>
      <c r="E244" s="224"/>
      <c r="F244" s="224"/>
      <c r="G244" s="225"/>
      <c r="H244" s="226" t="s">
        <v>103</v>
      </c>
      <c r="I244" s="227">
        <f t="shared" ref="I244:J244" ca="1" si="54">I270</f>
        <v>80</v>
      </c>
      <c r="J244" s="227">
        <f t="shared" si="54"/>
        <v>0</v>
      </c>
      <c r="K244" s="228">
        <f t="shared" ref="K244:K245" ca="1" si="55">IF(I244&gt;0,J244*100/I244,0)</f>
        <v>0</v>
      </c>
      <c r="L244" s="229">
        <f t="shared" ref="L244:M244" ca="1" si="56">SUM(L246:L247)</f>
        <v>367080</v>
      </c>
      <c r="M244" s="229">
        <f t="shared" si="56"/>
        <v>0</v>
      </c>
      <c r="N244" s="229">
        <f ca="1">+IF(L244&gt;0,M244*100/L244,0)</f>
        <v>0</v>
      </c>
    </row>
    <row r="245" spans="1:14" ht="21.75" customHeight="1" x14ac:dyDescent="0.4">
      <c r="A245" s="222"/>
      <c r="B245" s="223"/>
      <c r="C245" s="224"/>
      <c r="D245" s="224"/>
      <c r="E245" s="224"/>
      <c r="F245" s="224"/>
      <c r="G245" s="225"/>
      <c r="H245" s="226" t="s">
        <v>16</v>
      </c>
      <c r="I245" s="227">
        <f ca="1">I263</f>
        <v>80</v>
      </c>
      <c r="J245" s="227">
        <f>+J263</f>
        <v>0</v>
      </c>
      <c r="K245" s="228">
        <f t="shared" ca="1" si="55"/>
        <v>0</v>
      </c>
      <c r="L245" s="229"/>
      <c r="M245" s="229"/>
      <c r="N245" s="229"/>
    </row>
    <row r="246" spans="1:14" ht="21.75" customHeight="1" x14ac:dyDescent="0.4">
      <c r="A246" s="42"/>
      <c r="B246" s="43"/>
      <c r="C246" s="43" t="s">
        <v>17</v>
      </c>
      <c r="D246" s="44" t="s">
        <v>18</v>
      </c>
      <c r="E246" s="45"/>
      <c r="F246" s="45"/>
      <c r="G246" s="46" t="s">
        <v>19</v>
      </c>
      <c r="H246" s="47" t="s">
        <v>20</v>
      </c>
      <c r="I246" s="48" t="s">
        <v>21</v>
      </c>
      <c r="J246" s="48"/>
      <c r="K246" s="49"/>
      <c r="L246" s="50">
        <v>0</v>
      </c>
      <c r="M246" s="50">
        <v>0</v>
      </c>
      <c r="N246" s="50">
        <f t="shared" ref="N246:N249" si="57">+IF(L246&gt;0,M246*100/L246,0)</f>
        <v>0</v>
      </c>
    </row>
    <row r="247" spans="1:14" ht="21.75" customHeight="1" x14ac:dyDescent="0.4">
      <c r="A247" s="42"/>
      <c r="B247" s="43"/>
      <c r="C247" s="43"/>
      <c r="D247" s="51"/>
      <c r="E247" s="45"/>
      <c r="F247" s="45" t="s">
        <v>21</v>
      </c>
      <c r="G247" s="46" t="s">
        <v>22</v>
      </c>
      <c r="H247" s="47" t="s">
        <v>20</v>
      </c>
      <c r="I247" s="48"/>
      <c r="J247" s="48"/>
      <c r="K247" s="49"/>
      <c r="L247" s="50">
        <f t="shared" ref="L247:M247" ca="1" si="58">SUM(L248:L249)</f>
        <v>367080</v>
      </c>
      <c r="M247" s="50">
        <f t="shared" si="58"/>
        <v>0</v>
      </c>
      <c r="N247" s="50">
        <f t="shared" ca="1" si="57"/>
        <v>0</v>
      </c>
    </row>
    <row r="248" spans="1:14" ht="21.75" customHeight="1" x14ac:dyDescent="0.4">
      <c r="A248" s="42"/>
      <c r="B248" s="43"/>
      <c r="C248" s="43"/>
      <c r="D248" s="51"/>
      <c r="E248" s="45"/>
      <c r="F248" s="45"/>
      <c r="G248" s="52" t="s">
        <v>110</v>
      </c>
      <c r="H248" s="47" t="s">
        <v>20</v>
      </c>
      <c r="I248" s="48"/>
      <c r="J248" s="48"/>
      <c r="K248" s="49"/>
      <c r="L248" s="53">
        <f ca="1">IFERROR(__xludf.DUMMYFUNCTION("IMPORTRANGE(""https://docs.google.com/spreadsheets/d/1C3CXT74ZlgGe6_JY_1olB1XN4rF0dxEuIIF-xsYjHgg/edit?usp=sharing"",""งบกองทุน!d34"")"),0)</f>
        <v>0</v>
      </c>
      <c r="M248" s="53">
        <v>0</v>
      </c>
      <c r="N248" s="53">
        <f t="shared" ca="1" si="57"/>
        <v>0</v>
      </c>
    </row>
    <row r="249" spans="1:14" ht="21.75" customHeight="1" x14ac:dyDescent="0.4">
      <c r="A249" s="42"/>
      <c r="B249" s="43"/>
      <c r="C249" s="43"/>
      <c r="D249" s="51"/>
      <c r="E249" s="45"/>
      <c r="F249" s="45"/>
      <c r="G249" s="52" t="s">
        <v>111</v>
      </c>
      <c r="H249" s="47" t="s">
        <v>20</v>
      </c>
      <c r="I249" s="48"/>
      <c r="J249" s="48"/>
      <c r="K249" s="49"/>
      <c r="L249" s="53">
        <f ca="1">IFERROR(__xludf.DUMMYFUNCTION("IMPORTRANGE(""https://docs.google.com/spreadsheets/d/1C3CXT74ZlgGe6_JY_1olB1XN4rF0dxEuIIF-xsYjHgg/edit?usp=sharing"",""งบกองทุน!e34"")"),367080)</f>
        <v>367080</v>
      </c>
      <c r="M249" s="53">
        <f>SUM(M250:M253)</f>
        <v>0</v>
      </c>
      <c r="N249" s="53">
        <f t="shared" ca="1" si="57"/>
        <v>0</v>
      </c>
    </row>
    <row r="250" spans="1:14" ht="21.75" customHeight="1" x14ac:dyDescent="0.4">
      <c r="A250" s="230"/>
      <c r="B250" s="231"/>
      <c r="C250" s="43"/>
      <c r="D250" s="232"/>
      <c r="E250" s="45"/>
      <c r="F250" s="45"/>
      <c r="G250" s="46" t="s">
        <v>112</v>
      </c>
      <c r="H250" s="47" t="s">
        <v>20</v>
      </c>
      <c r="I250" s="67"/>
      <c r="J250" s="67"/>
      <c r="K250" s="233"/>
      <c r="L250" s="53"/>
      <c r="M250" s="54">
        <v>0</v>
      </c>
      <c r="N250" s="53"/>
    </row>
    <row r="251" spans="1:14" ht="21.75" customHeight="1" x14ac:dyDescent="0.4">
      <c r="A251" s="230"/>
      <c r="B251" s="231"/>
      <c r="C251" s="43"/>
      <c r="D251" s="232"/>
      <c r="E251" s="45"/>
      <c r="F251" s="45"/>
      <c r="G251" s="46" t="s">
        <v>113</v>
      </c>
      <c r="H251" s="47" t="s">
        <v>20</v>
      </c>
      <c r="I251" s="67"/>
      <c r="J251" s="67"/>
      <c r="K251" s="233"/>
      <c r="L251" s="53"/>
      <c r="M251" s="54">
        <v>0</v>
      </c>
      <c r="N251" s="53"/>
    </row>
    <row r="252" spans="1:14" ht="21.75" customHeight="1" x14ac:dyDescent="0.4">
      <c r="A252" s="230"/>
      <c r="B252" s="231"/>
      <c r="C252" s="43"/>
      <c r="D252" s="232"/>
      <c r="E252" s="45"/>
      <c r="F252" s="45"/>
      <c r="G252" s="46" t="s">
        <v>114</v>
      </c>
      <c r="H252" s="47" t="s">
        <v>20</v>
      </c>
      <c r="I252" s="67"/>
      <c r="J252" s="67"/>
      <c r="K252" s="233"/>
      <c r="L252" s="53"/>
      <c r="M252" s="54">
        <v>0</v>
      </c>
      <c r="N252" s="53"/>
    </row>
    <row r="253" spans="1:14" ht="21.75" customHeight="1" x14ac:dyDescent="0.4">
      <c r="A253" s="230"/>
      <c r="B253" s="231"/>
      <c r="C253" s="43"/>
      <c r="D253" s="232"/>
      <c r="E253" s="45"/>
      <c r="F253" s="45"/>
      <c r="G253" s="46" t="s">
        <v>115</v>
      </c>
      <c r="H253" s="47" t="s">
        <v>20</v>
      </c>
      <c r="I253" s="67"/>
      <c r="J253" s="67"/>
      <c r="K253" s="233"/>
      <c r="L253" s="53"/>
      <c r="M253" s="54">
        <v>0</v>
      </c>
      <c r="N253" s="53"/>
    </row>
    <row r="254" spans="1:14" ht="21.75" customHeight="1" x14ac:dyDescent="0.4">
      <c r="A254" s="55"/>
      <c r="B254" s="56"/>
      <c r="C254" s="43" t="s">
        <v>17</v>
      </c>
      <c r="D254" s="57" t="s">
        <v>25</v>
      </c>
      <c r="E254" s="58"/>
      <c r="F254" s="58"/>
      <c r="G254" s="59"/>
      <c r="H254" s="60"/>
      <c r="I254" s="48"/>
      <c r="J254" s="48"/>
      <c r="K254" s="49"/>
      <c r="L254" s="61"/>
      <c r="M254" s="61"/>
      <c r="N254" s="61"/>
    </row>
    <row r="255" spans="1:14" ht="21.75" customHeight="1" x14ac:dyDescent="0.4">
      <c r="A255" s="55"/>
      <c r="B255" s="56"/>
      <c r="C255" s="56"/>
      <c r="D255" s="62">
        <v>1</v>
      </c>
      <c r="E255" s="63" t="s">
        <v>26</v>
      </c>
      <c r="F255" s="64"/>
      <c r="G255" s="65"/>
      <c r="H255" s="66"/>
      <c r="I255" s="67"/>
      <c r="J255" s="68">
        <v>0</v>
      </c>
      <c r="K255" s="49"/>
      <c r="L255" s="61"/>
      <c r="M255" s="61"/>
      <c r="N255" s="61"/>
    </row>
    <row r="256" spans="1:14" ht="21.75" customHeight="1" x14ac:dyDescent="0.4">
      <c r="A256" s="55"/>
      <c r="B256" s="56"/>
      <c r="C256" s="56"/>
      <c r="D256" s="69">
        <v>2</v>
      </c>
      <c r="E256" s="70" t="s">
        <v>27</v>
      </c>
      <c r="F256" s="71"/>
      <c r="G256" s="72"/>
      <c r="H256" s="66"/>
      <c r="I256" s="67"/>
      <c r="J256" s="68">
        <v>1</v>
      </c>
      <c r="K256" s="49"/>
      <c r="L256" s="61" t="s">
        <v>21</v>
      </c>
      <c r="M256" s="61" t="s">
        <v>21</v>
      </c>
      <c r="N256" s="61"/>
    </row>
    <row r="257" spans="1:14" ht="21.75" customHeight="1" x14ac:dyDescent="0.4">
      <c r="A257" s="55"/>
      <c r="B257" s="56"/>
      <c r="C257" s="56"/>
      <c r="D257" s="73"/>
      <c r="E257" s="74" t="s">
        <v>28</v>
      </c>
      <c r="F257" s="75"/>
      <c r="G257" s="76"/>
      <c r="H257" s="66"/>
      <c r="I257" s="67"/>
      <c r="J257" s="68">
        <v>1</v>
      </c>
      <c r="K257" s="49"/>
      <c r="L257" s="61"/>
      <c r="M257" s="61"/>
      <c r="N257" s="61"/>
    </row>
    <row r="258" spans="1:14" ht="21.75" customHeight="1" x14ac:dyDescent="0.4">
      <c r="A258" s="55"/>
      <c r="B258" s="56"/>
      <c r="C258" s="56"/>
      <c r="D258" s="73"/>
      <c r="E258" s="74" t="s">
        <v>29</v>
      </c>
      <c r="F258" s="75"/>
      <c r="G258" s="76"/>
      <c r="H258" s="66"/>
      <c r="I258" s="67"/>
      <c r="J258" s="68">
        <v>0</v>
      </c>
      <c r="K258" s="49"/>
      <c r="L258" s="61"/>
      <c r="M258" s="61"/>
      <c r="N258" s="61"/>
    </row>
    <row r="259" spans="1:14" ht="21.75" hidden="1" customHeight="1" x14ac:dyDescent="0.4">
      <c r="A259" s="55"/>
      <c r="B259" s="56"/>
      <c r="C259" s="56"/>
      <c r="D259" s="73"/>
      <c r="E259" s="77"/>
      <c r="F259" s="74" t="s">
        <v>50</v>
      </c>
      <c r="G259" s="76"/>
      <c r="H259" s="60"/>
      <c r="I259" s="67"/>
      <c r="J259" s="67">
        <f>+J260+J263+J268</f>
        <v>0</v>
      </c>
      <c r="K259" s="49"/>
      <c r="L259" s="61"/>
      <c r="M259" s="61"/>
      <c r="N259" s="61"/>
    </row>
    <row r="260" spans="1:14" ht="21.75" hidden="1" customHeight="1" x14ac:dyDescent="0.4">
      <c r="A260" s="55"/>
      <c r="B260" s="56"/>
      <c r="C260" s="56"/>
      <c r="D260" s="73"/>
      <c r="E260" s="77"/>
      <c r="F260" s="75"/>
      <c r="G260" s="99" t="s">
        <v>116</v>
      </c>
      <c r="H260" s="60" t="s">
        <v>16</v>
      </c>
      <c r="I260" s="67">
        <f ca="1">IFERROR(__xludf.DUMMYFUNCTION("IMPORTRANGE(""https://docs.google.com/spreadsheets/d/1C3CXT74ZlgGe6_JY_1olB1XN4rF0dxEuIIF-xsYjHgg/edit?usp=sharing"",""งบกองทุน!f34"")"),0)</f>
        <v>0</v>
      </c>
      <c r="J260" s="67">
        <v>0</v>
      </c>
      <c r="K260" s="49">
        <f ca="1">IF(I260&gt;0,J260*100/I260,0)</f>
        <v>0</v>
      </c>
      <c r="L260" s="61"/>
      <c r="M260" s="61"/>
      <c r="N260" s="61"/>
    </row>
    <row r="261" spans="1:14" ht="21.75" hidden="1" customHeight="1" x14ac:dyDescent="0.4">
      <c r="A261" s="55"/>
      <c r="B261" s="56"/>
      <c r="C261" s="56"/>
      <c r="D261" s="73"/>
      <c r="E261" s="77"/>
      <c r="F261" s="75"/>
      <c r="G261" s="76" t="s">
        <v>117</v>
      </c>
      <c r="H261" s="60"/>
      <c r="I261" s="48"/>
      <c r="J261" s="67"/>
      <c r="K261" s="49"/>
      <c r="L261" s="61"/>
      <c r="M261" s="61"/>
      <c r="N261" s="61"/>
    </row>
    <row r="262" spans="1:14" ht="21.75" hidden="1" customHeight="1" x14ac:dyDescent="0.4">
      <c r="A262" s="55"/>
      <c r="B262" s="56"/>
      <c r="C262" s="56"/>
      <c r="D262" s="73"/>
      <c r="E262" s="77"/>
      <c r="F262" s="75"/>
      <c r="G262" s="99" t="s">
        <v>118</v>
      </c>
      <c r="H262" s="66" t="s">
        <v>103</v>
      </c>
      <c r="I262" s="67">
        <f t="shared" ref="I262:J262" ca="1" si="59">SUM(I264,I266)</f>
        <v>80</v>
      </c>
      <c r="J262" s="67">
        <f t="shared" si="59"/>
        <v>0</v>
      </c>
      <c r="K262" s="49">
        <f t="shared" ref="K262:K268" ca="1" si="60">IF(I262&gt;0,J262*100/I262,0)</f>
        <v>0</v>
      </c>
      <c r="L262" s="61"/>
      <c r="M262" s="61"/>
      <c r="N262" s="61"/>
    </row>
    <row r="263" spans="1:14" ht="21.75" customHeight="1" x14ac:dyDescent="0.4">
      <c r="A263" s="55"/>
      <c r="B263" s="56"/>
      <c r="C263" s="56"/>
      <c r="D263" s="73"/>
      <c r="E263" s="77"/>
      <c r="F263" s="99" t="s">
        <v>119</v>
      </c>
      <c r="G263" s="76"/>
      <c r="H263" s="66" t="s">
        <v>16</v>
      </c>
      <c r="I263" s="48">
        <f ca="1">IFERROR(__xludf.DUMMYFUNCTION("IMPORTRANGE(""https://docs.google.com/spreadsheets/d/1C3CXT74ZlgGe6_JY_1olB1XN4rF0dxEuIIF-xsYjHgg/edit?usp=sharing"",""งบกองทุน!H34"")"),80)</f>
        <v>80</v>
      </c>
      <c r="J263" s="67">
        <f>J267</f>
        <v>0</v>
      </c>
      <c r="K263" s="49">
        <f t="shared" ca="1" si="60"/>
        <v>0</v>
      </c>
      <c r="L263" s="61"/>
      <c r="M263" s="61"/>
      <c r="N263" s="61"/>
    </row>
    <row r="264" spans="1:14" ht="21.75" hidden="1" customHeight="1" x14ac:dyDescent="0.4">
      <c r="A264" s="55"/>
      <c r="B264" s="56"/>
      <c r="C264" s="56"/>
      <c r="D264" s="73"/>
      <c r="E264" s="77"/>
      <c r="F264" s="75"/>
      <c r="H264" s="60" t="s">
        <v>103</v>
      </c>
      <c r="I264" s="48">
        <f ca="1">IFERROR(__xludf.DUMMYFUNCTION("IMPORTRANGE(""https://docs.google.com/spreadsheets/d/1C3CXT74ZlgGe6_JY_1olB1XN4rF0dxEuIIF-xsYjHgg/edit?usp=sharing"",""งบกองทุน!i34"")"),34)</f>
        <v>34</v>
      </c>
      <c r="J264" s="68">
        <v>0</v>
      </c>
      <c r="K264" s="49">
        <f t="shared" ca="1" si="60"/>
        <v>0</v>
      </c>
      <c r="L264" s="61"/>
      <c r="M264" s="61"/>
      <c r="N264" s="61"/>
    </row>
    <row r="265" spans="1:14" ht="21.75" customHeight="1" x14ac:dyDescent="0.4">
      <c r="A265" s="55"/>
      <c r="B265" s="56"/>
      <c r="C265" s="56"/>
      <c r="D265" s="73"/>
      <c r="E265" s="77"/>
      <c r="F265" s="75"/>
      <c r="G265" s="99" t="s">
        <v>219</v>
      </c>
      <c r="H265" s="60" t="s">
        <v>16</v>
      </c>
      <c r="I265" s="48">
        <f ca="1">I263</f>
        <v>80</v>
      </c>
      <c r="J265" s="68">
        <v>0</v>
      </c>
      <c r="K265" s="49">
        <f t="shared" ca="1" si="60"/>
        <v>0</v>
      </c>
      <c r="L265" s="61"/>
      <c r="M265" s="61"/>
      <c r="N265" s="61"/>
    </row>
    <row r="266" spans="1:14" ht="21.75" hidden="1" customHeight="1" x14ac:dyDescent="0.4">
      <c r="A266" s="55"/>
      <c r="B266" s="56"/>
      <c r="C266" s="56"/>
      <c r="D266" s="73"/>
      <c r="E266" s="77"/>
      <c r="F266" s="75"/>
      <c r="G266" s="76"/>
      <c r="H266" s="60" t="s">
        <v>103</v>
      </c>
      <c r="I266" s="48">
        <f ca="1">IFERROR(__xludf.DUMMYFUNCTION("IMPORTRANGE(""https://docs.google.com/spreadsheets/d/1C3CXT74ZlgGe6_JY_1olB1XN4rF0dxEuIIF-xsYjHgg/edit?usp=sharing"",""งบกองทุน!k34"")"),46)</f>
        <v>46</v>
      </c>
      <c r="J266" s="68">
        <v>0</v>
      </c>
      <c r="K266" s="49">
        <f t="shared" ca="1" si="60"/>
        <v>0</v>
      </c>
      <c r="L266" s="61"/>
      <c r="M266" s="61"/>
      <c r="N266" s="61"/>
    </row>
    <row r="267" spans="1:14" ht="21.75" customHeight="1" x14ac:dyDescent="0.4">
      <c r="A267" s="55"/>
      <c r="B267" s="56"/>
      <c r="C267" s="56"/>
      <c r="D267" s="73"/>
      <c r="E267" s="77"/>
      <c r="F267" s="75"/>
      <c r="G267" s="76" t="s">
        <v>220</v>
      </c>
      <c r="H267" s="60" t="s">
        <v>16</v>
      </c>
      <c r="I267" s="48">
        <f ca="1">I265</f>
        <v>80</v>
      </c>
      <c r="J267" s="68">
        <v>0</v>
      </c>
      <c r="K267" s="49">
        <f t="shared" ca="1" si="60"/>
        <v>0</v>
      </c>
      <c r="L267" s="61"/>
      <c r="M267" s="61"/>
      <c r="N267" s="61"/>
    </row>
    <row r="268" spans="1:14" ht="21.75" hidden="1" customHeight="1" x14ac:dyDescent="0.4">
      <c r="A268" s="55"/>
      <c r="B268" s="56"/>
      <c r="C268" s="56"/>
      <c r="D268" s="73"/>
      <c r="E268" s="77"/>
      <c r="F268" s="75"/>
      <c r="G268" s="99" t="s">
        <v>122</v>
      </c>
      <c r="H268" s="60" t="s">
        <v>16</v>
      </c>
      <c r="I268" s="67">
        <f ca="1">IFERROR(__xludf.DUMMYFUNCTION("IMPORTRANGE(""https://docs.google.com/spreadsheets/d/1C3CXT74ZlgGe6_JY_1olB1XN4rF0dxEuIIF-xsYjHgg/edit?usp=sharing"",""งบกองทุน!m34"")"),0)</f>
        <v>0</v>
      </c>
      <c r="J268" s="67">
        <v>0</v>
      </c>
      <c r="K268" s="49">
        <f t="shared" ca="1" si="60"/>
        <v>0</v>
      </c>
      <c r="L268" s="61"/>
      <c r="M268" s="61"/>
      <c r="N268" s="61"/>
    </row>
    <row r="269" spans="1:14" ht="21.75" hidden="1" customHeight="1" x14ac:dyDescent="0.4">
      <c r="A269" s="55"/>
      <c r="B269" s="56"/>
      <c r="C269" s="56"/>
      <c r="D269" s="73"/>
      <c r="E269" s="77"/>
      <c r="F269" s="75"/>
      <c r="G269" s="76" t="s">
        <v>123</v>
      </c>
      <c r="H269" s="60"/>
      <c r="I269" s="67"/>
      <c r="J269" s="67"/>
      <c r="K269" s="49"/>
      <c r="L269" s="61"/>
      <c r="M269" s="61"/>
      <c r="N269" s="61"/>
    </row>
    <row r="270" spans="1:14" ht="21.75" customHeight="1" x14ac:dyDescent="0.4">
      <c r="A270" s="55"/>
      <c r="B270" s="56"/>
      <c r="C270" s="56"/>
      <c r="D270" s="73"/>
      <c r="E270" s="75"/>
      <c r="F270" s="74" t="s">
        <v>34</v>
      </c>
      <c r="G270" s="76"/>
      <c r="H270" s="66" t="s">
        <v>103</v>
      </c>
      <c r="I270" s="67">
        <f t="shared" ref="I270:J270" ca="1" si="61">SUM(I271:I272)</f>
        <v>80</v>
      </c>
      <c r="J270" s="67">
        <f t="shared" si="61"/>
        <v>0</v>
      </c>
      <c r="K270" s="49">
        <f t="shared" ref="K270:K272" ca="1" si="62">IF(I270&gt;0,J270*100/I270,0)</f>
        <v>0</v>
      </c>
      <c r="L270" s="61"/>
      <c r="M270" s="61"/>
      <c r="N270" s="61"/>
    </row>
    <row r="271" spans="1:14" ht="21.75" customHeight="1" x14ac:dyDescent="0.4">
      <c r="A271" s="55"/>
      <c r="B271" s="56"/>
      <c r="C271" s="56"/>
      <c r="D271" s="73"/>
      <c r="E271" s="75"/>
      <c r="F271" s="75"/>
      <c r="G271" s="76" t="s">
        <v>124</v>
      </c>
      <c r="H271" s="66" t="s">
        <v>103</v>
      </c>
      <c r="I271" s="67">
        <f ca="1">IFERROR(__xludf.DUMMYFUNCTION("IMPORTRANGE(""https://docs.google.com/spreadsheets/d/1C3CXT74ZlgGe6_JY_1olB1XN4rF0dxEuIIF-xsYjHgg/edit?usp=sharing"",""งบกองทุน!o34"")"),46)</f>
        <v>46</v>
      </c>
      <c r="J271" s="68">
        <v>0</v>
      </c>
      <c r="K271" s="49">
        <f t="shared" ca="1" si="62"/>
        <v>0</v>
      </c>
      <c r="L271" s="61"/>
      <c r="M271" s="61"/>
      <c r="N271" s="61"/>
    </row>
    <row r="272" spans="1:14" ht="21.75" customHeight="1" x14ac:dyDescent="0.4">
      <c r="A272" s="55"/>
      <c r="B272" s="56"/>
      <c r="C272" s="56"/>
      <c r="D272" s="73"/>
      <c r="E272" s="75"/>
      <c r="F272" s="75"/>
      <c r="G272" s="76" t="s">
        <v>125</v>
      </c>
      <c r="H272" s="66" t="s">
        <v>103</v>
      </c>
      <c r="I272" s="67">
        <f ca="1">IFERROR(__xludf.DUMMYFUNCTION("IMPORTRANGE(""https://docs.google.com/spreadsheets/d/1C3CXT74ZlgGe6_JY_1olB1XN4rF0dxEuIIF-xsYjHgg/edit?usp=sharing"",""งบกองทุน!p34"")"),34)</f>
        <v>34</v>
      </c>
      <c r="J272" s="68">
        <v>0</v>
      </c>
      <c r="K272" s="49">
        <f t="shared" ca="1" si="62"/>
        <v>0</v>
      </c>
      <c r="L272" s="61"/>
      <c r="M272" s="61"/>
      <c r="N272" s="61"/>
    </row>
    <row r="273" spans="1:14" ht="21.75" customHeight="1" x14ac:dyDescent="0.4">
      <c r="A273" s="55"/>
      <c r="B273" s="56"/>
      <c r="C273" s="56"/>
      <c r="D273" s="73"/>
      <c r="E273" s="74" t="s">
        <v>35</v>
      </c>
      <c r="F273" s="75"/>
      <c r="G273" s="76"/>
      <c r="H273" s="66"/>
      <c r="I273" s="67"/>
      <c r="J273" s="68">
        <v>0</v>
      </c>
      <c r="K273" s="49"/>
      <c r="L273" s="61"/>
      <c r="M273" s="61"/>
      <c r="N273" s="61"/>
    </row>
    <row r="274" spans="1:14" ht="21.75" customHeight="1" x14ac:dyDescent="0.4">
      <c r="A274" s="55"/>
      <c r="B274" s="56"/>
      <c r="C274" s="56"/>
      <c r="D274" s="81">
        <v>3</v>
      </c>
      <c r="E274" s="82" t="s">
        <v>36</v>
      </c>
      <c r="F274" s="83"/>
      <c r="G274" s="84"/>
      <c r="H274" s="66"/>
      <c r="I274" s="67"/>
      <c r="J274" s="85">
        <v>0</v>
      </c>
      <c r="K274" s="49"/>
      <c r="L274" s="61"/>
      <c r="M274" s="61"/>
      <c r="N274" s="61"/>
    </row>
    <row r="275" spans="1:14" ht="21.75" customHeight="1" x14ac:dyDescent="0.4">
      <c r="A275" s="222"/>
      <c r="B275" s="223">
        <v>2</v>
      </c>
      <c r="C275" s="224" t="s">
        <v>126</v>
      </c>
      <c r="D275" s="224"/>
      <c r="E275" s="234"/>
      <c r="F275" s="234"/>
      <c r="G275" s="235"/>
      <c r="H275" s="226" t="s">
        <v>103</v>
      </c>
      <c r="I275" s="227">
        <f ca="1">I292</f>
        <v>200</v>
      </c>
      <c r="J275" s="227">
        <f>+J292</f>
        <v>0</v>
      </c>
      <c r="K275" s="228">
        <f t="shared" ref="K275:K276" ca="1" si="63">IF(I275&gt;0,J275*100/I275,0)</f>
        <v>0</v>
      </c>
      <c r="L275" s="229">
        <f t="shared" ref="L275:M275" ca="1" si="64">SUM(L277:L278)</f>
        <v>207560</v>
      </c>
      <c r="M275" s="229">
        <f t="shared" si="64"/>
        <v>0</v>
      </c>
      <c r="N275" s="229">
        <f ca="1">+IF(L275&gt;0,M275*100/L275,0)</f>
        <v>0</v>
      </c>
    </row>
    <row r="276" spans="1:14" ht="21.75" customHeight="1" x14ac:dyDescent="0.4">
      <c r="A276" s="222"/>
      <c r="B276" s="223"/>
      <c r="C276" s="224"/>
      <c r="D276" s="236"/>
      <c r="E276" s="237"/>
      <c r="F276" s="237"/>
      <c r="G276" s="238"/>
      <c r="H276" s="226" t="s">
        <v>16</v>
      </c>
      <c r="I276" s="227">
        <f ca="1">I291</f>
        <v>20</v>
      </c>
      <c r="J276" s="227">
        <f>+J291</f>
        <v>0</v>
      </c>
      <c r="K276" s="228">
        <f t="shared" ca="1" si="63"/>
        <v>0</v>
      </c>
      <c r="L276" s="229"/>
      <c r="M276" s="229"/>
      <c r="N276" s="229"/>
    </row>
    <row r="277" spans="1:14" ht="21.75" customHeight="1" x14ac:dyDescent="0.4">
      <c r="A277" s="42"/>
      <c r="B277" s="43"/>
      <c r="C277" s="43" t="s">
        <v>17</v>
      </c>
      <c r="D277" s="44" t="s">
        <v>18</v>
      </c>
      <c r="E277" s="45"/>
      <c r="F277" s="45"/>
      <c r="G277" s="46" t="s">
        <v>19</v>
      </c>
      <c r="H277" s="47" t="s">
        <v>20</v>
      </c>
      <c r="I277" s="48" t="s">
        <v>21</v>
      </c>
      <c r="J277" s="48"/>
      <c r="K277" s="49"/>
      <c r="L277" s="50">
        <v>0</v>
      </c>
      <c r="M277" s="50">
        <v>0</v>
      </c>
      <c r="N277" s="50">
        <f t="shared" ref="N277:N280" si="65">+IF(L277&gt;0,M277*100/L277,0)</f>
        <v>0</v>
      </c>
    </row>
    <row r="278" spans="1:14" ht="21.75" customHeight="1" x14ac:dyDescent="0.4">
      <c r="A278" s="42"/>
      <c r="B278" s="43"/>
      <c r="C278" s="43"/>
      <c r="D278" s="51"/>
      <c r="E278" s="45"/>
      <c r="F278" s="45" t="s">
        <v>21</v>
      </c>
      <c r="G278" s="46" t="s">
        <v>22</v>
      </c>
      <c r="H278" s="47" t="s">
        <v>20</v>
      </c>
      <c r="I278" s="48"/>
      <c r="J278" s="48"/>
      <c r="K278" s="49"/>
      <c r="L278" s="50">
        <f t="shared" ref="L278:M278" ca="1" si="66">SUM(L279:L280)</f>
        <v>207560</v>
      </c>
      <c r="M278" s="50">
        <f t="shared" si="66"/>
        <v>0</v>
      </c>
      <c r="N278" s="50">
        <f t="shared" ca="1" si="65"/>
        <v>0</v>
      </c>
    </row>
    <row r="279" spans="1:14" ht="21.75" customHeight="1" x14ac:dyDescent="0.4">
      <c r="A279" s="42"/>
      <c r="B279" s="43"/>
      <c r="C279" s="43"/>
      <c r="D279" s="51"/>
      <c r="E279" s="45"/>
      <c r="F279" s="45"/>
      <c r="G279" s="52" t="s">
        <v>110</v>
      </c>
      <c r="H279" s="47" t="s">
        <v>20</v>
      </c>
      <c r="I279" s="48"/>
      <c r="J279" s="48"/>
      <c r="K279" s="49"/>
      <c r="L279" s="53">
        <f ca="1">IFERROR(__xludf.DUMMYFUNCTION("IMPORTRANGE(""https://docs.google.com/spreadsheets/d/1C3CXT74ZlgGe6_JY_1olB1XN4rF0dxEuIIF-xsYjHgg/edit?usp=sharing"",""งบกองทุน!r34"")"),0)</f>
        <v>0</v>
      </c>
      <c r="M279" s="53">
        <v>0</v>
      </c>
      <c r="N279" s="53">
        <f t="shared" ca="1" si="65"/>
        <v>0</v>
      </c>
    </row>
    <row r="280" spans="1:14" ht="21.75" customHeight="1" x14ac:dyDescent="0.4">
      <c r="A280" s="42"/>
      <c r="B280" s="43"/>
      <c r="C280" s="43"/>
      <c r="D280" s="51"/>
      <c r="E280" s="45"/>
      <c r="F280" s="45"/>
      <c r="G280" s="52" t="s">
        <v>111</v>
      </c>
      <c r="H280" s="47" t="s">
        <v>20</v>
      </c>
      <c r="I280" s="48"/>
      <c r="J280" s="48"/>
      <c r="K280" s="49"/>
      <c r="L280" s="53">
        <f ca="1">IFERROR(__xludf.DUMMYFUNCTION("IMPORTRANGE(""https://docs.google.com/spreadsheets/d/1C3CXT74ZlgGe6_JY_1olB1XN4rF0dxEuIIF-xsYjHgg/edit?usp=sharing"",""งบกองทุน!s34"")"),207560)</f>
        <v>207560</v>
      </c>
      <c r="M280" s="53">
        <f>SUM(M281:M284)</f>
        <v>0</v>
      </c>
      <c r="N280" s="53">
        <f t="shared" ca="1" si="65"/>
        <v>0</v>
      </c>
    </row>
    <row r="281" spans="1:14" ht="21.75" customHeight="1" x14ac:dyDescent="0.4">
      <c r="A281" s="230"/>
      <c r="B281" s="231"/>
      <c r="C281" s="43"/>
      <c r="D281" s="232"/>
      <c r="E281" s="45"/>
      <c r="F281" s="45"/>
      <c r="G281" s="46" t="s">
        <v>112</v>
      </c>
      <c r="H281" s="47" t="s">
        <v>20</v>
      </c>
      <c r="I281" s="67"/>
      <c r="J281" s="67"/>
      <c r="K281" s="233"/>
      <c r="L281" s="53"/>
      <c r="M281" s="54">
        <v>0</v>
      </c>
      <c r="N281" s="53"/>
    </row>
    <row r="282" spans="1:14" ht="21.75" customHeight="1" x14ac:dyDescent="0.4">
      <c r="A282" s="230"/>
      <c r="B282" s="231"/>
      <c r="C282" s="43"/>
      <c r="D282" s="232"/>
      <c r="E282" s="45"/>
      <c r="F282" s="45"/>
      <c r="G282" s="46" t="s">
        <v>113</v>
      </c>
      <c r="H282" s="47" t="s">
        <v>20</v>
      </c>
      <c r="I282" s="67"/>
      <c r="J282" s="67"/>
      <c r="K282" s="233"/>
      <c r="L282" s="53"/>
      <c r="M282" s="54">
        <v>0</v>
      </c>
      <c r="N282" s="53"/>
    </row>
    <row r="283" spans="1:14" ht="21.75" customHeight="1" x14ac:dyDescent="0.4">
      <c r="A283" s="230"/>
      <c r="B283" s="231"/>
      <c r="C283" s="43"/>
      <c r="D283" s="232"/>
      <c r="E283" s="45"/>
      <c r="F283" s="45"/>
      <c r="G283" s="46" t="s">
        <v>114</v>
      </c>
      <c r="H283" s="47" t="s">
        <v>20</v>
      </c>
      <c r="I283" s="67"/>
      <c r="J283" s="67"/>
      <c r="K283" s="233"/>
      <c r="L283" s="53"/>
      <c r="M283" s="54">
        <v>0</v>
      </c>
      <c r="N283" s="53"/>
    </row>
    <row r="284" spans="1:14" ht="21.75" customHeight="1" x14ac:dyDescent="0.4">
      <c r="A284" s="230"/>
      <c r="B284" s="231"/>
      <c r="C284" s="43"/>
      <c r="D284" s="232"/>
      <c r="E284" s="45"/>
      <c r="F284" s="45"/>
      <c r="G284" s="46" t="s">
        <v>115</v>
      </c>
      <c r="H284" s="47" t="s">
        <v>20</v>
      </c>
      <c r="I284" s="67"/>
      <c r="J284" s="67"/>
      <c r="K284" s="233"/>
      <c r="L284" s="53"/>
      <c r="M284" s="54">
        <v>0</v>
      </c>
      <c r="N284" s="53"/>
    </row>
    <row r="285" spans="1:14" ht="21.75" customHeight="1" x14ac:dyDescent="0.4">
      <c r="A285" s="55"/>
      <c r="B285" s="56"/>
      <c r="C285" s="43" t="s">
        <v>17</v>
      </c>
      <c r="D285" s="57" t="s">
        <v>25</v>
      </c>
      <c r="E285" s="58"/>
      <c r="F285" s="58"/>
      <c r="G285" s="59"/>
      <c r="H285" s="60"/>
      <c r="I285" s="48"/>
      <c r="J285" s="48"/>
      <c r="K285" s="49"/>
      <c r="L285" s="61"/>
      <c r="M285" s="61"/>
      <c r="N285" s="61"/>
    </row>
    <row r="286" spans="1:14" ht="21.75" customHeight="1" x14ac:dyDescent="0.4">
      <c r="A286" s="55"/>
      <c r="B286" s="56"/>
      <c r="C286" s="56"/>
      <c r="D286" s="62">
        <v>1</v>
      </c>
      <c r="E286" s="63" t="s">
        <v>26</v>
      </c>
      <c r="F286" s="64"/>
      <c r="G286" s="65"/>
      <c r="H286" s="66"/>
      <c r="I286" s="67"/>
      <c r="J286" s="68">
        <v>0</v>
      </c>
      <c r="K286" s="49"/>
      <c r="L286" s="61"/>
      <c r="M286" s="61"/>
      <c r="N286" s="61"/>
    </row>
    <row r="287" spans="1:14" ht="21.75" customHeight="1" x14ac:dyDescent="0.4">
      <c r="A287" s="55"/>
      <c r="B287" s="56"/>
      <c r="C287" s="56"/>
      <c r="D287" s="69">
        <v>2</v>
      </c>
      <c r="E287" s="70" t="s">
        <v>27</v>
      </c>
      <c r="F287" s="71"/>
      <c r="G287" s="72"/>
      <c r="H287" s="66"/>
      <c r="I287" s="67"/>
      <c r="J287" s="68">
        <v>1</v>
      </c>
      <c r="K287" s="49"/>
      <c r="L287" s="61" t="s">
        <v>21</v>
      </c>
      <c r="M287" s="61" t="s">
        <v>21</v>
      </c>
      <c r="N287" s="61"/>
    </row>
    <row r="288" spans="1:14" ht="21.75" customHeight="1" x14ac:dyDescent="0.4">
      <c r="A288" s="55"/>
      <c r="B288" s="56"/>
      <c r="C288" s="56"/>
      <c r="D288" s="73"/>
      <c r="E288" s="74" t="s">
        <v>28</v>
      </c>
      <c r="F288" s="75"/>
      <c r="G288" s="76"/>
      <c r="H288" s="66"/>
      <c r="I288" s="67"/>
      <c r="J288" s="68">
        <v>1</v>
      </c>
      <c r="K288" s="49"/>
      <c r="L288" s="61"/>
      <c r="M288" s="61"/>
      <c r="N288" s="61"/>
    </row>
    <row r="289" spans="1:14" ht="21.75" customHeight="1" x14ac:dyDescent="0.4">
      <c r="A289" s="55"/>
      <c r="B289" s="56"/>
      <c r="C289" s="56"/>
      <c r="D289" s="73"/>
      <c r="E289" s="74" t="s">
        <v>29</v>
      </c>
      <c r="F289" s="75"/>
      <c r="G289" s="76"/>
      <c r="H289" s="66"/>
      <c r="I289" s="67"/>
      <c r="J289" s="68">
        <v>0</v>
      </c>
      <c r="K289" s="49"/>
      <c r="L289" s="61"/>
      <c r="M289" s="61"/>
      <c r="N289" s="61"/>
    </row>
    <row r="290" spans="1:14" ht="21.75" customHeight="1" x14ac:dyDescent="0.4">
      <c r="A290" s="55"/>
      <c r="B290" s="56"/>
      <c r="C290" s="56"/>
      <c r="D290" s="73"/>
      <c r="E290" s="77"/>
      <c r="F290" s="74" t="s">
        <v>127</v>
      </c>
      <c r="G290" s="75"/>
      <c r="H290" s="66"/>
      <c r="I290" s="67"/>
      <c r="J290" s="67"/>
      <c r="K290" s="49"/>
      <c r="L290" s="61"/>
      <c r="M290" s="61"/>
      <c r="N290" s="61"/>
    </row>
    <row r="291" spans="1:14" ht="21.75" customHeight="1" x14ac:dyDescent="0.4">
      <c r="A291" s="55"/>
      <c r="B291" s="56"/>
      <c r="C291" s="56"/>
      <c r="D291" s="73"/>
      <c r="E291" s="77"/>
      <c r="F291" s="75"/>
      <c r="G291" s="99" t="s">
        <v>50</v>
      </c>
      <c r="H291" s="66" t="s">
        <v>16</v>
      </c>
      <c r="I291" s="67">
        <f ca="1">IFERROR(__xludf.DUMMYFUNCTION("IMPORTRANGE(""https://docs.google.com/spreadsheets/d/1C3CXT74ZlgGe6_JY_1olB1XN4rF0dxEuIIF-xsYjHgg/edit?usp=sharing"",""งบกองทุน!v34"")"),20)</f>
        <v>20</v>
      </c>
      <c r="J291" s="68">
        <v>0</v>
      </c>
      <c r="K291" s="49">
        <f t="shared" ref="K291:K293" ca="1" si="67">IF(I291&gt;0,J291*100/I291,0)</f>
        <v>0</v>
      </c>
      <c r="L291" s="61"/>
      <c r="M291" s="61"/>
      <c r="N291" s="61"/>
    </row>
    <row r="292" spans="1:14" ht="21.75" customHeight="1" x14ac:dyDescent="0.4">
      <c r="A292" s="55"/>
      <c r="B292" s="56"/>
      <c r="C292" s="56"/>
      <c r="D292" s="73"/>
      <c r="E292" s="77"/>
      <c r="F292" s="75"/>
      <c r="G292" s="76" t="s">
        <v>34</v>
      </c>
      <c r="H292" s="66" t="s">
        <v>103</v>
      </c>
      <c r="I292" s="67">
        <f ca="1">IFERROR(__xludf.DUMMYFUNCTION("IMPORTRANGE(""https://docs.google.com/spreadsheets/d/1C3CXT74ZlgGe6_JY_1olB1XN4rF0dxEuIIF-xsYjHgg/edit?usp=sharing"",""งบกองทุน!w34"")"),200)</f>
        <v>200</v>
      </c>
      <c r="J292" s="68">
        <v>0</v>
      </c>
      <c r="K292" s="49">
        <f t="shared" ca="1" si="67"/>
        <v>0</v>
      </c>
      <c r="L292" s="61"/>
      <c r="M292" s="61"/>
      <c r="N292" s="61"/>
    </row>
    <row r="293" spans="1:14" ht="21.75" customHeight="1" x14ac:dyDescent="0.4">
      <c r="A293" s="55"/>
      <c r="B293" s="56"/>
      <c r="C293" s="56"/>
      <c r="D293" s="73"/>
      <c r="E293" s="77"/>
      <c r="F293" s="75"/>
      <c r="G293" s="76"/>
      <c r="H293" s="66" t="s">
        <v>16</v>
      </c>
      <c r="I293" s="67">
        <f ca="1">IFERROR(__xludf.DUMMYFUNCTION("IMPORTRANGE(""https://docs.google.com/spreadsheets/d/1C3CXT74ZlgGe6_JY_1olB1XN4rF0dxEuIIF-xsYjHgg/edit?usp=sharing"",""งบกองทุน!x34"")"),20)</f>
        <v>20</v>
      </c>
      <c r="J293" s="68">
        <v>0</v>
      </c>
      <c r="K293" s="49">
        <f t="shared" ca="1" si="67"/>
        <v>0</v>
      </c>
      <c r="L293" s="61"/>
      <c r="M293" s="61"/>
      <c r="N293" s="61"/>
    </row>
    <row r="294" spans="1:14" ht="21.75" customHeight="1" x14ac:dyDescent="0.4">
      <c r="A294" s="55"/>
      <c r="B294" s="56"/>
      <c r="C294" s="56"/>
      <c r="D294" s="73"/>
      <c r="E294" s="74" t="s">
        <v>35</v>
      </c>
      <c r="F294" s="75"/>
      <c r="G294" s="76"/>
      <c r="H294" s="66"/>
      <c r="I294" s="67"/>
      <c r="J294" s="68">
        <v>0</v>
      </c>
      <c r="K294" s="49"/>
      <c r="L294" s="61"/>
      <c r="M294" s="61"/>
      <c r="N294" s="61"/>
    </row>
    <row r="295" spans="1:14" ht="21.75" customHeight="1" x14ac:dyDescent="0.4">
      <c r="A295" s="55"/>
      <c r="B295" s="56"/>
      <c r="C295" s="56"/>
      <c r="D295" s="81">
        <v>3</v>
      </c>
      <c r="E295" s="82" t="s">
        <v>36</v>
      </c>
      <c r="F295" s="83"/>
      <c r="G295" s="84"/>
      <c r="H295" s="66"/>
      <c r="I295" s="67"/>
      <c r="J295" s="85">
        <v>0</v>
      </c>
      <c r="K295" s="49"/>
      <c r="L295" s="61"/>
      <c r="M295" s="61"/>
      <c r="N295" s="61"/>
    </row>
    <row r="296" spans="1:14" ht="21.75" customHeight="1" x14ac:dyDescent="0.4">
      <c r="A296" s="222"/>
      <c r="B296" s="223">
        <v>3</v>
      </c>
      <c r="C296" s="223" t="s">
        <v>128</v>
      </c>
      <c r="D296" s="224"/>
      <c r="E296" s="224"/>
      <c r="F296" s="224"/>
      <c r="G296" s="225"/>
      <c r="H296" s="226" t="s">
        <v>103</v>
      </c>
      <c r="I296" s="227">
        <f ca="1">SUM(I313,I317,I322)</f>
        <v>285</v>
      </c>
      <c r="J296" s="227">
        <f>J313+J317+J322</f>
        <v>0</v>
      </c>
      <c r="K296" s="228">
        <f t="shared" ref="K296:K297" ca="1" si="68">IF(I296&gt;0,J296*100/I296,0)</f>
        <v>0</v>
      </c>
      <c r="L296" s="229">
        <f t="shared" ref="L296:M296" ca="1" si="69">SUM(L298:L299)</f>
        <v>300950</v>
      </c>
      <c r="M296" s="229">
        <f t="shared" si="69"/>
        <v>0</v>
      </c>
      <c r="N296" s="229">
        <f ca="1">+IF(L296&gt;0,M296*100/L296,0)</f>
        <v>0</v>
      </c>
    </row>
    <row r="297" spans="1:14" ht="21.75" customHeight="1" x14ac:dyDescent="0.4">
      <c r="A297" s="222"/>
      <c r="B297" s="223"/>
      <c r="C297" s="223"/>
      <c r="D297" s="236"/>
      <c r="E297" s="236"/>
      <c r="F297" s="236"/>
      <c r="G297" s="239"/>
      <c r="H297" s="226" t="s">
        <v>16</v>
      </c>
      <c r="I297" s="227">
        <f ca="1">SUM(I312,I316,I321)</f>
        <v>95</v>
      </c>
      <c r="J297" s="227">
        <f ca="1">J311</f>
        <v>10</v>
      </c>
      <c r="K297" s="228">
        <f t="shared" ca="1" si="68"/>
        <v>10.526315789473685</v>
      </c>
      <c r="L297" s="229"/>
      <c r="M297" s="229"/>
      <c r="N297" s="229"/>
    </row>
    <row r="298" spans="1:14" ht="21.75" customHeight="1" x14ac:dyDescent="0.4">
      <c r="A298" s="42"/>
      <c r="B298" s="43"/>
      <c r="C298" s="43" t="s">
        <v>17</v>
      </c>
      <c r="D298" s="44" t="s">
        <v>18</v>
      </c>
      <c r="E298" s="45"/>
      <c r="F298" s="45"/>
      <c r="G298" s="46" t="s">
        <v>19</v>
      </c>
      <c r="H298" s="47" t="s">
        <v>20</v>
      </c>
      <c r="I298" s="48" t="s">
        <v>21</v>
      </c>
      <c r="J298" s="48"/>
      <c r="K298" s="49"/>
      <c r="L298" s="50">
        <v>0</v>
      </c>
      <c r="M298" s="53">
        <v>0</v>
      </c>
      <c r="N298" s="53">
        <f t="shared" ref="N298:N301" si="70">+IF(L298&gt;0,M298*100/L298,0)</f>
        <v>0</v>
      </c>
    </row>
    <row r="299" spans="1:14" ht="21.75" customHeight="1" x14ac:dyDescent="0.4">
      <c r="A299" s="42"/>
      <c r="B299" s="43"/>
      <c r="C299" s="43"/>
      <c r="D299" s="51"/>
      <c r="E299" s="45"/>
      <c r="F299" s="45" t="s">
        <v>21</v>
      </c>
      <c r="G299" s="46" t="s">
        <v>22</v>
      </c>
      <c r="H299" s="47" t="s">
        <v>20</v>
      </c>
      <c r="I299" s="48"/>
      <c r="J299" s="48"/>
      <c r="K299" s="49"/>
      <c r="L299" s="50">
        <f t="shared" ref="L299:M299" ca="1" si="71">SUM(L300:L301)</f>
        <v>300950</v>
      </c>
      <c r="M299" s="53">
        <f t="shared" si="71"/>
        <v>0</v>
      </c>
      <c r="N299" s="53">
        <f t="shared" ca="1" si="70"/>
        <v>0</v>
      </c>
    </row>
    <row r="300" spans="1:14" ht="21.75" customHeight="1" x14ac:dyDescent="0.4">
      <c r="A300" s="42"/>
      <c r="B300" s="43"/>
      <c r="C300" s="43"/>
      <c r="D300" s="51"/>
      <c r="E300" s="45"/>
      <c r="F300" s="45"/>
      <c r="G300" s="52" t="s">
        <v>110</v>
      </c>
      <c r="H300" s="47" t="s">
        <v>20</v>
      </c>
      <c r="I300" s="48"/>
      <c r="J300" s="48"/>
      <c r="K300" s="49"/>
      <c r="L300" s="53">
        <f ca="1">IFERROR(__xludf.DUMMYFUNCTION("IMPORTRANGE(""https://docs.google.com/spreadsheets/d/1C3CXT74ZlgGe6_JY_1olB1XN4rF0dxEuIIF-xsYjHgg/edit?usp=sharing"",""งบกองทุน!z34"")"),0)</f>
        <v>0</v>
      </c>
      <c r="M300" s="53">
        <v>0</v>
      </c>
      <c r="N300" s="53">
        <f t="shared" ca="1" si="70"/>
        <v>0</v>
      </c>
    </row>
    <row r="301" spans="1:14" ht="21.75" customHeight="1" x14ac:dyDescent="0.4">
      <c r="A301" s="42"/>
      <c r="B301" s="43"/>
      <c r="C301" s="43"/>
      <c r="D301" s="51"/>
      <c r="E301" s="45"/>
      <c r="F301" s="45"/>
      <c r="G301" s="52" t="s">
        <v>111</v>
      </c>
      <c r="H301" s="47" t="s">
        <v>20</v>
      </c>
      <c r="I301" s="48"/>
      <c r="J301" s="48"/>
      <c r="K301" s="49"/>
      <c r="L301" s="53">
        <f ca="1">IFERROR(__xludf.DUMMYFUNCTION("IMPORTRANGE(""https://docs.google.com/spreadsheets/d/1C3CXT74ZlgGe6_JY_1olB1XN4rF0dxEuIIF-xsYjHgg/edit?usp=sharing"",""งบกองทุน!aa34"")"),300950)</f>
        <v>300950</v>
      </c>
      <c r="M301" s="53">
        <f>SUM(M302:M305)</f>
        <v>0</v>
      </c>
      <c r="N301" s="53">
        <f t="shared" ca="1" si="70"/>
        <v>0</v>
      </c>
    </row>
    <row r="302" spans="1:14" ht="21.75" customHeight="1" x14ac:dyDescent="0.4">
      <c r="A302" s="230"/>
      <c r="B302" s="231"/>
      <c r="C302" s="43"/>
      <c r="D302" s="232"/>
      <c r="E302" s="45"/>
      <c r="F302" s="45"/>
      <c r="G302" s="46" t="s">
        <v>112</v>
      </c>
      <c r="H302" s="47" t="s">
        <v>20</v>
      </c>
      <c r="I302" s="67"/>
      <c r="J302" s="67"/>
      <c r="K302" s="233"/>
      <c r="L302" s="53"/>
      <c r="M302" s="54">
        <v>0</v>
      </c>
      <c r="N302" s="53"/>
    </row>
    <row r="303" spans="1:14" ht="21.75" customHeight="1" x14ac:dyDescent="0.4">
      <c r="A303" s="230"/>
      <c r="B303" s="231"/>
      <c r="C303" s="43"/>
      <c r="D303" s="232"/>
      <c r="E303" s="45"/>
      <c r="F303" s="45"/>
      <c r="G303" s="46" t="s">
        <v>113</v>
      </c>
      <c r="H303" s="47" t="s">
        <v>20</v>
      </c>
      <c r="I303" s="67"/>
      <c r="J303" s="67"/>
      <c r="K303" s="233"/>
      <c r="L303" s="53"/>
      <c r="M303" s="54">
        <v>0</v>
      </c>
      <c r="N303" s="53"/>
    </row>
    <row r="304" spans="1:14" ht="21.75" customHeight="1" x14ac:dyDescent="0.4">
      <c r="A304" s="230"/>
      <c r="B304" s="231"/>
      <c r="C304" s="43"/>
      <c r="D304" s="232"/>
      <c r="E304" s="45"/>
      <c r="F304" s="45"/>
      <c r="G304" s="46" t="s">
        <v>114</v>
      </c>
      <c r="H304" s="47" t="s">
        <v>20</v>
      </c>
      <c r="I304" s="67"/>
      <c r="J304" s="67"/>
      <c r="K304" s="233"/>
      <c r="L304" s="53"/>
      <c r="M304" s="54">
        <v>0</v>
      </c>
      <c r="N304" s="53"/>
    </row>
    <row r="305" spans="1:14" ht="21.75" customHeight="1" x14ac:dyDescent="0.4">
      <c r="A305" s="230"/>
      <c r="B305" s="231"/>
      <c r="C305" s="43"/>
      <c r="D305" s="232"/>
      <c r="E305" s="45"/>
      <c r="F305" s="45"/>
      <c r="G305" s="46" t="s">
        <v>115</v>
      </c>
      <c r="H305" s="47" t="s">
        <v>20</v>
      </c>
      <c r="I305" s="67"/>
      <c r="J305" s="67"/>
      <c r="K305" s="233"/>
      <c r="L305" s="53"/>
      <c r="M305" s="54">
        <v>0</v>
      </c>
      <c r="N305" s="53"/>
    </row>
    <row r="306" spans="1:14" ht="21.75" customHeight="1" x14ac:dyDescent="0.4">
      <c r="A306" s="55"/>
      <c r="B306" s="56"/>
      <c r="C306" s="43" t="s">
        <v>17</v>
      </c>
      <c r="D306" s="57" t="s">
        <v>25</v>
      </c>
      <c r="E306" s="58"/>
      <c r="F306" s="58"/>
      <c r="G306" s="59"/>
      <c r="H306" s="60"/>
      <c r="I306" s="48"/>
      <c r="J306" s="48"/>
      <c r="K306" s="49"/>
      <c r="L306" s="61"/>
      <c r="M306" s="61"/>
      <c r="N306" s="61"/>
    </row>
    <row r="307" spans="1:14" ht="21.75" customHeight="1" x14ac:dyDescent="0.4">
      <c r="A307" s="55"/>
      <c r="B307" s="56"/>
      <c r="C307" s="56"/>
      <c r="D307" s="62">
        <v>1</v>
      </c>
      <c r="E307" s="63" t="s">
        <v>26</v>
      </c>
      <c r="F307" s="64"/>
      <c r="G307" s="65"/>
      <c r="H307" s="66"/>
      <c r="I307" s="67"/>
      <c r="J307" s="68">
        <v>0</v>
      </c>
      <c r="K307" s="49"/>
      <c r="L307" s="61"/>
      <c r="M307" s="61"/>
      <c r="N307" s="61"/>
    </row>
    <row r="308" spans="1:14" ht="21.75" customHeight="1" x14ac:dyDescent="0.4">
      <c r="A308" s="55"/>
      <c r="B308" s="56"/>
      <c r="C308" s="56"/>
      <c r="D308" s="69">
        <v>2</v>
      </c>
      <c r="E308" s="70" t="s">
        <v>27</v>
      </c>
      <c r="F308" s="71"/>
      <c r="G308" s="72"/>
      <c r="H308" s="66"/>
      <c r="I308" s="67"/>
      <c r="J308" s="68">
        <v>1</v>
      </c>
      <c r="K308" s="49"/>
      <c r="L308" s="61" t="s">
        <v>21</v>
      </c>
      <c r="M308" s="61" t="s">
        <v>21</v>
      </c>
      <c r="N308" s="61"/>
    </row>
    <row r="309" spans="1:14" ht="21.75" customHeight="1" x14ac:dyDescent="0.4">
      <c r="A309" s="55"/>
      <c r="B309" s="56"/>
      <c r="C309" s="56"/>
      <c r="D309" s="73"/>
      <c r="E309" s="74" t="s">
        <v>28</v>
      </c>
      <c r="F309" s="75"/>
      <c r="G309" s="76"/>
      <c r="H309" s="66"/>
      <c r="I309" s="67"/>
      <c r="J309" s="68">
        <v>1</v>
      </c>
      <c r="K309" s="49"/>
      <c r="L309" s="61"/>
      <c r="M309" s="61"/>
      <c r="N309" s="61"/>
    </row>
    <row r="310" spans="1:14" ht="21.75" customHeight="1" x14ac:dyDescent="0.4">
      <c r="A310" s="55"/>
      <c r="B310" s="56"/>
      <c r="C310" s="56"/>
      <c r="D310" s="73"/>
      <c r="E310" s="74" t="s">
        <v>29</v>
      </c>
      <c r="F310" s="75"/>
      <c r="G310" s="76"/>
      <c r="H310" s="66"/>
      <c r="I310" s="67"/>
      <c r="J310" s="68">
        <v>0</v>
      </c>
      <c r="K310" s="49"/>
      <c r="L310" s="61"/>
      <c r="M310" s="61"/>
      <c r="N310" s="61"/>
    </row>
    <row r="311" spans="1:14" ht="21.75" customHeight="1" x14ac:dyDescent="0.4">
      <c r="A311" s="55"/>
      <c r="B311" s="56"/>
      <c r="C311" s="56"/>
      <c r="D311" s="73"/>
      <c r="E311" s="77"/>
      <c r="F311" s="74" t="s">
        <v>50</v>
      </c>
      <c r="G311" s="240"/>
      <c r="H311" s="241" t="s">
        <v>16</v>
      </c>
      <c r="I311" s="79">
        <f t="shared" ref="I311:J311" ca="1" si="72">+I312+I316+I321</f>
        <v>95</v>
      </c>
      <c r="J311" s="79">
        <f t="shared" ca="1" si="72"/>
        <v>10</v>
      </c>
      <c r="K311" s="80">
        <f t="shared" ref="K311:K327" ca="1" si="73">IF(I311&gt;0,J311*100/I311,0)</f>
        <v>10.526315789473685</v>
      </c>
      <c r="L311" s="61"/>
      <c r="M311" s="61"/>
      <c r="N311" s="61"/>
    </row>
    <row r="312" spans="1:14" ht="21.75" customHeight="1" x14ac:dyDescent="0.4">
      <c r="A312" s="55"/>
      <c r="B312" s="56"/>
      <c r="C312" s="56"/>
      <c r="D312" s="73"/>
      <c r="E312" s="77"/>
      <c r="F312" s="242" t="s">
        <v>129</v>
      </c>
      <c r="G312" s="76"/>
      <c r="H312" s="78" t="s">
        <v>16</v>
      </c>
      <c r="I312" s="243">
        <f ca="1">IFERROR(__xludf.DUMMYFUNCTION("IMPORTRANGE(""https://docs.google.com/spreadsheets/d/1C3CXT74ZlgGe6_JY_1olB1XN4rF0dxEuIIF-xsYjHgg/edit?usp=sharing"",""งบกองทุน!ae34"")"),10)</f>
        <v>10</v>
      </c>
      <c r="J312" s="79">
        <f ca="1">IF(AND(J314=I314,J315=I315),I314,0)</f>
        <v>10</v>
      </c>
      <c r="K312" s="80">
        <f t="shared" ca="1" si="73"/>
        <v>100</v>
      </c>
      <c r="L312" s="61"/>
      <c r="M312" s="61"/>
      <c r="N312" s="61"/>
    </row>
    <row r="313" spans="1:14" ht="21.75" customHeight="1" x14ac:dyDescent="0.4">
      <c r="A313" s="230"/>
      <c r="B313" s="231"/>
      <c r="C313" s="231"/>
      <c r="D313" s="310"/>
      <c r="E313" s="386"/>
      <c r="F313" s="311"/>
      <c r="G313" s="312"/>
      <c r="H313" s="241" t="s">
        <v>103</v>
      </c>
      <c r="I313" s="243">
        <f ca="1">IFERROR(__xludf.DUMMYFUNCTION("IMPORTRANGE(""https://docs.google.com/spreadsheets/d/1C3CXT74ZlgGe6_JY_1olB1XN4rF0dxEuIIF-xsYjHgg/edit?usp=sharing"",""งบกองทุน!ad34"")"),30)</f>
        <v>30</v>
      </c>
      <c r="J313" s="154">
        <v>0</v>
      </c>
      <c r="K313" s="362">
        <f t="shared" ca="1" si="73"/>
        <v>0</v>
      </c>
      <c r="L313" s="53"/>
      <c r="M313" s="53"/>
      <c r="N313" s="53"/>
    </row>
    <row r="314" spans="1:14" ht="21.75" customHeight="1" x14ac:dyDescent="0.4">
      <c r="A314" s="55"/>
      <c r="B314" s="56"/>
      <c r="C314" s="56"/>
      <c r="D314" s="73"/>
      <c r="E314" s="77"/>
      <c r="F314" s="75"/>
      <c r="G314" s="99" t="s">
        <v>130</v>
      </c>
      <c r="H314" s="60" t="s">
        <v>16</v>
      </c>
      <c r="I314" s="200">
        <f ca="1">IFERROR(__xludf.DUMMYFUNCTION("IMPORTRANGE(""https://docs.google.com/spreadsheets/d/1C3CXT74ZlgGe6_JY_1olB1XN4rF0dxEuIIF-xsYjHgg/edit?usp=sharing"",""งบกองทุน!af34"")"),10)</f>
        <v>10</v>
      </c>
      <c r="J314" s="68">
        <v>10</v>
      </c>
      <c r="K314" s="49">
        <f t="shared" ca="1" si="73"/>
        <v>100</v>
      </c>
      <c r="L314" s="61"/>
      <c r="M314" s="61"/>
      <c r="N314" s="61"/>
    </row>
    <row r="315" spans="1:14" ht="21.75" customHeight="1" x14ac:dyDescent="0.4">
      <c r="A315" s="105"/>
      <c r="B315" s="106"/>
      <c r="C315" s="106"/>
      <c r="D315" s="244"/>
      <c r="E315" s="245"/>
      <c r="F315" s="204"/>
      <c r="G315" s="246" t="s">
        <v>131</v>
      </c>
      <c r="H315" s="206" t="s">
        <v>16</v>
      </c>
      <c r="I315" s="207">
        <f ca="1">IFERROR(__xludf.DUMMYFUNCTION("IMPORTRANGE(""https://docs.google.com/spreadsheets/d/1C3CXT74ZlgGe6_JY_1olB1XN4rF0dxEuIIF-xsYjHgg/edit?usp=sharing"",""งบกองทุน!ag34"")"),10)</f>
        <v>10</v>
      </c>
      <c r="J315" s="247">
        <v>10</v>
      </c>
      <c r="K315" s="114">
        <f t="shared" ca="1" si="73"/>
        <v>100</v>
      </c>
      <c r="L315" s="115"/>
      <c r="M315" s="115"/>
      <c r="N315" s="115"/>
    </row>
    <row r="316" spans="1:14" ht="21.75" customHeight="1" x14ac:dyDescent="0.4">
      <c r="A316" s="55"/>
      <c r="B316" s="56"/>
      <c r="C316" s="56"/>
      <c r="D316" s="73"/>
      <c r="E316" s="77"/>
      <c r="F316" s="242" t="s">
        <v>132</v>
      </c>
      <c r="G316" s="76"/>
      <c r="H316" s="78" t="s">
        <v>16</v>
      </c>
      <c r="I316" s="243">
        <f ca="1">IFERROR(__xludf.DUMMYFUNCTION("IMPORTRANGE(""https://docs.google.com/spreadsheets/d/1C3CXT74ZlgGe6_JY_1olB1XN4rF0dxEuIIF-xsYjHgg/edit?usp=sharing"",""งบกองทุน!ai34"")"),75)</f>
        <v>75</v>
      </c>
      <c r="J316" s="79">
        <f ca="1">IF(AND(J318=I318,J319=I319,J320=I320),I318,0)</f>
        <v>0</v>
      </c>
      <c r="K316" s="80">
        <f t="shared" ca="1" si="73"/>
        <v>0</v>
      </c>
      <c r="L316" s="61"/>
      <c r="M316" s="61"/>
      <c r="N316" s="61"/>
    </row>
    <row r="317" spans="1:14" ht="21.75" customHeight="1" x14ac:dyDescent="0.4">
      <c r="A317" s="230"/>
      <c r="B317" s="231"/>
      <c r="C317" s="231"/>
      <c r="D317" s="310"/>
      <c r="E317" s="386"/>
      <c r="F317" s="311"/>
      <c r="G317" s="312"/>
      <c r="H317" s="241" t="s">
        <v>103</v>
      </c>
      <c r="I317" s="243">
        <f ca="1">IFERROR(__xludf.DUMMYFUNCTION("IMPORTRANGE(""https://docs.google.com/spreadsheets/d/1C3CXT74ZlgGe6_JY_1olB1XN4rF0dxEuIIF-xsYjHgg/edit?usp=sharing"",""งบกองทุน!ah34"")"),225)</f>
        <v>225</v>
      </c>
      <c r="J317" s="154">
        <v>0</v>
      </c>
      <c r="K317" s="362">
        <f t="shared" ca="1" si="73"/>
        <v>0</v>
      </c>
      <c r="L317" s="53"/>
      <c r="M317" s="53"/>
      <c r="N317" s="53"/>
    </row>
    <row r="318" spans="1:14" ht="21.75" customHeight="1" x14ac:dyDescent="0.4">
      <c r="A318" s="55"/>
      <c r="B318" s="56"/>
      <c r="C318" s="56"/>
      <c r="D318" s="73"/>
      <c r="E318" s="77"/>
      <c r="F318" s="75"/>
      <c r="G318" s="99" t="s">
        <v>133</v>
      </c>
      <c r="H318" s="60" t="s">
        <v>16</v>
      </c>
      <c r="I318" s="200">
        <f ca="1">IFERROR(__xludf.DUMMYFUNCTION("IMPORTRANGE(""https://docs.google.com/spreadsheets/d/1C3CXT74ZlgGe6_JY_1olB1XN4rF0dxEuIIF-xsYjHgg/edit?usp=sharing"",""งบกองทุน!aj34"")"),75)</f>
        <v>75</v>
      </c>
      <c r="J318" s="68">
        <v>0</v>
      </c>
      <c r="K318" s="49">
        <f t="shared" ca="1" si="73"/>
        <v>0</v>
      </c>
      <c r="L318" s="61"/>
      <c r="M318" s="61"/>
      <c r="N318" s="61"/>
    </row>
    <row r="319" spans="1:14" ht="21.75" customHeight="1" x14ac:dyDescent="0.4">
      <c r="A319" s="55"/>
      <c r="B319" s="56"/>
      <c r="C319" s="56"/>
      <c r="D319" s="73"/>
      <c r="E319" s="77"/>
      <c r="F319" s="75"/>
      <c r="G319" s="99" t="s">
        <v>134</v>
      </c>
      <c r="H319" s="60" t="s">
        <v>16</v>
      </c>
      <c r="I319" s="200">
        <f ca="1">IFERROR(__xludf.DUMMYFUNCTION("IMPORTRANGE(""https://docs.google.com/spreadsheets/d/1C3CXT74ZlgGe6_JY_1olB1XN4rF0dxEuIIF-xsYjHgg/edit?usp=sharing"",""งบกองทุน!ak34"")"),75)</f>
        <v>75</v>
      </c>
      <c r="J319" s="68">
        <v>0</v>
      </c>
      <c r="K319" s="49">
        <f t="shared" ca="1" si="73"/>
        <v>0</v>
      </c>
      <c r="L319" s="61"/>
      <c r="M319" s="61"/>
      <c r="N319" s="61"/>
    </row>
    <row r="320" spans="1:14" ht="21.75" customHeight="1" x14ac:dyDescent="0.4">
      <c r="A320" s="55"/>
      <c r="B320" s="56"/>
      <c r="C320" s="56"/>
      <c r="D320" s="73"/>
      <c r="E320" s="77"/>
      <c r="F320" s="75"/>
      <c r="G320" s="99" t="s">
        <v>135</v>
      </c>
      <c r="H320" s="60" t="s">
        <v>16</v>
      </c>
      <c r="I320" s="200">
        <f ca="1">IFERROR(__xludf.DUMMYFUNCTION("IMPORTRANGE(""https://docs.google.com/spreadsheets/d/1C3CXT74ZlgGe6_JY_1olB1XN4rF0dxEuIIF-xsYjHgg/edit?usp=sharing"",""งบกองทุน!al34"")"),75)</f>
        <v>75</v>
      </c>
      <c r="J320" s="68">
        <v>0</v>
      </c>
      <c r="K320" s="49">
        <f t="shared" ca="1" si="73"/>
        <v>0</v>
      </c>
      <c r="L320" s="61"/>
      <c r="M320" s="61"/>
      <c r="N320" s="61"/>
    </row>
    <row r="321" spans="1:14" ht="21.75" customHeight="1" x14ac:dyDescent="0.4">
      <c r="A321" s="55"/>
      <c r="B321" s="56"/>
      <c r="C321" s="56"/>
      <c r="D321" s="73"/>
      <c r="E321" s="77"/>
      <c r="F321" s="242" t="s">
        <v>136</v>
      </c>
      <c r="G321" s="76"/>
      <c r="H321" s="78" t="s">
        <v>16</v>
      </c>
      <c r="I321" s="243">
        <f ca="1">IFERROR(__xludf.DUMMYFUNCTION("IMPORTRANGE(""https://docs.google.com/spreadsheets/d/1C3CXT74ZlgGe6_JY_1olB1XN4rF0dxEuIIF-xsYjHgg/edit?usp=sharing"",""งบกองทุน!an34"")"),10)</f>
        <v>10</v>
      </c>
      <c r="J321" s="79">
        <f ca="1">IF(AND(J323=I323,J324=I324),I323,0)</f>
        <v>0</v>
      </c>
      <c r="K321" s="80">
        <f t="shared" ca="1" si="73"/>
        <v>0</v>
      </c>
      <c r="L321" s="61"/>
      <c r="M321" s="61"/>
      <c r="N321" s="61"/>
    </row>
    <row r="322" spans="1:14" ht="21.75" customHeight="1" x14ac:dyDescent="0.4">
      <c r="A322" s="230"/>
      <c r="B322" s="231"/>
      <c r="C322" s="231"/>
      <c r="D322" s="310"/>
      <c r="E322" s="386"/>
      <c r="F322" s="311"/>
      <c r="G322" s="312"/>
      <c r="H322" s="241" t="s">
        <v>103</v>
      </c>
      <c r="I322" s="243">
        <f ca="1">IFERROR(__xludf.DUMMYFUNCTION("IMPORTRANGE(""https://docs.google.com/spreadsheets/d/1C3CXT74ZlgGe6_JY_1olB1XN4rF0dxEuIIF-xsYjHgg/edit?usp=sharing"",""งบกองทุน!am34"")"),30)</f>
        <v>30</v>
      </c>
      <c r="J322" s="154">
        <v>0</v>
      </c>
      <c r="K322" s="362">
        <f t="shared" ca="1" si="73"/>
        <v>0</v>
      </c>
      <c r="L322" s="53"/>
      <c r="M322" s="53"/>
      <c r="N322" s="53"/>
    </row>
    <row r="323" spans="1:14" ht="21.75" customHeight="1" x14ac:dyDescent="0.4">
      <c r="A323" s="55"/>
      <c r="B323" s="56"/>
      <c r="C323" s="56"/>
      <c r="D323" s="73"/>
      <c r="E323" s="77"/>
      <c r="F323" s="75"/>
      <c r="G323" s="99" t="s">
        <v>137</v>
      </c>
      <c r="H323" s="60" t="s">
        <v>16</v>
      </c>
      <c r="I323" s="248">
        <f ca="1">IFERROR(__xludf.DUMMYFUNCTION("IMPORTRANGE(""https://docs.google.com/spreadsheets/d/1C3CXT74ZlgGe6_JY_1olB1XN4rF0dxEuIIF-xsYjHgg/edit?usp=sharing"",""งบกองทุน!ao34"")"),10)</f>
        <v>10</v>
      </c>
      <c r="J323" s="68">
        <v>0</v>
      </c>
      <c r="K323" s="49">
        <f t="shared" ca="1" si="73"/>
        <v>0</v>
      </c>
      <c r="L323" s="61"/>
      <c r="M323" s="61"/>
      <c r="N323" s="61"/>
    </row>
    <row r="324" spans="1:14" ht="21.75" customHeight="1" x14ac:dyDescent="0.4">
      <c r="A324" s="55"/>
      <c r="B324" s="56"/>
      <c r="C324" s="56"/>
      <c r="D324" s="73"/>
      <c r="E324" s="77"/>
      <c r="F324" s="75"/>
      <c r="G324" s="99" t="s">
        <v>138</v>
      </c>
      <c r="H324" s="60" t="s">
        <v>16</v>
      </c>
      <c r="I324" s="248">
        <f ca="1">IFERROR(__xludf.DUMMYFUNCTION("IMPORTRANGE(""https://docs.google.com/spreadsheets/d/1C3CXT74ZlgGe6_JY_1olB1XN4rF0dxEuIIF-xsYjHgg/edit?usp=sharing"",""งบกองทุน!ap34"")"),10)</f>
        <v>10</v>
      </c>
      <c r="J324" s="68">
        <v>0</v>
      </c>
      <c r="K324" s="49">
        <f t="shared" ca="1" si="73"/>
        <v>0</v>
      </c>
      <c r="L324" s="61"/>
      <c r="M324" s="61"/>
      <c r="N324" s="61"/>
    </row>
    <row r="325" spans="1:14" ht="21.75" customHeight="1" x14ac:dyDescent="0.4">
      <c r="A325" s="55"/>
      <c r="B325" s="56"/>
      <c r="C325" s="56"/>
      <c r="D325" s="73"/>
      <c r="E325" s="77"/>
      <c r="F325" s="74" t="s">
        <v>34</v>
      </c>
      <c r="G325" s="240"/>
      <c r="H325" s="241" t="s">
        <v>16</v>
      </c>
      <c r="I325" s="79">
        <f ca="1">SUM(I326,I327)</f>
        <v>85</v>
      </c>
      <c r="J325" s="79">
        <f ca="1">IF(AND(J326=I326,J327=I327),I325,0)</f>
        <v>0</v>
      </c>
      <c r="K325" s="80">
        <f t="shared" ca="1" si="73"/>
        <v>0</v>
      </c>
      <c r="L325" s="61"/>
      <c r="M325" s="61"/>
      <c r="N325" s="61"/>
    </row>
    <row r="326" spans="1:14" ht="21.75" customHeight="1" x14ac:dyDescent="0.4">
      <c r="A326" s="249"/>
      <c r="B326" s="250"/>
      <c r="C326" s="250"/>
      <c r="D326" s="251"/>
      <c r="E326" s="77"/>
      <c r="F326" s="75"/>
      <c r="G326" s="99" t="s">
        <v>139</v>
      </c>
      <c r="H326" s="60" t="s">
        <v>16</v>
      </c>
      <c r="I326" s="248">
        <f ca="1">IFERROR(__xludf.DUMMYFUNCTION("IMPORTRANGE(""https://docs.google.com/spreadsheets/d/1C3CXT74ZlgGe6_JY_1olB1XN4rF0dxEuIIF-xsYjHgg/edit?usp=sharing"",""งบกองทุน!ar34"")"),10)</f>
        <v>10</v>
      </c>
      <c r="J326" s="68">
        <v>0</v>
      </c>
      <c r="K326" s="49">
        <f t="shared" ca="1" si="73"/>
        <v>0</v>
      </c>
      <c r="L326" s="61"/>
      <c r="M326" s="61"/>
      <c r="N326" s="61"/>
    </row>
    <row r="327" spans="1:14" ht="21.75" customHeight="1" x14ac:dyDescent="0.4">
      <c r="A327" s="249"/>
      <c r="B327" s="250"/>
      <c r="C327" s="250"/>
      <c r="D327" s="251"/>
      <c r="E327" s="77"/>
      <c r="F327" s="75"/>
      <c r="G327" s="99" t="s">
        <v>140</v>
      </c>
      <c r="H327" s="60" t="s">
        <v>16</v>
      </c>
      <c r="I327" s="248">
        <f ca="1">IFERROR(__xludf.DUMMYFUNCTION("IMPORTRANGE(""https://docs.google.com/spreadsheets/d/1C3CXT74ZlgGe6_JY_1olB1XN4rF0dxEuIIF-xsYjHgg/edit?usp=sharing"",""งบกองทุน!as34"")"),75)</f>
        <v>75</v>
      </c>
      <c r="J327" s="68">
        <v>0</v>
      </c>
      <c r="K327" s="49">
        <f t="shared" ca="1" si="73"/>
        <v>0</v>
      </c>
      <c r="L327" s="61"/>
      <c r="M327" s="61"/>
      <c r="N327" s="61"/>
    </row>
    <row r="328" spans="1:14" ht="21.75" customHeight="1" x14ac:dyDescent="0.4">
      <c r="A328" s="55"/>
      <c r="B328" s="56"/>
      <c r="C328" s="56"/>
      <c r="D328" s="73"/>
      <c r="E328" s="74" t="s">
        <v>35</v>
      </c>
      <c r="F328" s="75"/>
      <c r="G328" s="76"/>
      <c r="H328" s="66"/>
      <c r="I328" s="67"/>
      <c r="J328" s="68">
        <v>0</v>
      </c>
      <c r="K328" s="49"/>
      <c r="L328" s="61"/>
      <c r="M328" s="61"/>
      <c r="N328" s="61"/>
    </row>
    <row r="329" spans="1:14" ht="21.75" customHeight="1" x14ac:dyDescent="0.4">
      <c r="A329" s="55"/>
      <c r="B329" s="56"/>
      <c r="C329" s="56"/>
      <c r="D329" s="81">
        <v>3</v>
      </c>
      <c r="E329" s="82" t="s">
        <v>36</v>
      </c>
      <c r="F329" s="83"/>
      <c r="G329" s="84"/>
      <c r="H329" s="66"/>
      <c r="I329" s="67"/>
      <c r="J329" s="85">
        <v>0</v>
      </c>
      <c r="K329" s="49"/>
      <c r="L329" s="61"/>
      <c r="M329" s="61"/>
      <c r="N329" s="61"/>
    </row>
    <row r="330" spans="1:14" ht="21.75" customHeight="1" x14ac:dyDescent="0.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81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218000</v>
      </c>
      <c r="M330" s="259">
        <f t="shared" si="74"/>
        <v>33660</v>
      </c>
      <c r="N330" s="259">
        <f t="shared" ref="N330:N334" ca="1" si="75">+IF(L330&gt;0,M330*100/L330,0)</f>
        <v>15.440366972477063</v>
      </c>
    </row>
    <row r="331" spans="1:14" ht="21.75" customHeight="1" x14ac:dyDescent="0.4">
      <c r="A331" s="42"/>
      <c r="B331" s="43"/>
      <c r="C331" s="43" t="s">
        <v>17</v>
      </c>
      <c r="D331" s="44" t="s">
        <v>18</v>
      </c>
      <c r="E331" s="45"/>
      <c r="F331" s="45"/>
      <c r="G331" s="46" t="s">
        <v>19</v>
      </c>
      <c r="H331" s="47" t="s">
        <v>20</v>
      </c>
      <c r="I331" s="48" t="s">
        <v>21</v>
      </c>
      <c r="J331" s="48"/>
      <c r="K331" s="49"/>
      <c r="L331" s="50">
        <v>0</v>
      </c>
      <c r="M331" s="53">
        <v>0</v>
      </c>
      <c r="N331" s="53">
        <f t="shared" si="75"/>
        <v>0</v>
      </c>
    </row>
    <row r="332" spans="1:14" ht="21.75" customHeight="1" x14ac:dyDescent="0.4">
      <c r="A332" s="42"/>
      <c r="B332" s="43"/>
      <c r="C332" s="43"/>
      <c r="D332" s="51"/>
      <c r="E332" s="45"/>
      <c r="F332" s="45" t="s">
        <v>21</v>
      </c>
      <c r="G332" s="46" t="s">
        <v>22</v>
      </c>
      <c r="H332" s="47" t="s">
        <v>20</v>
      </c>
      <c r="I332" s="48"/>
      <c r="J332" s="48"/>
      <c r="K332" s="49"/>
      <c r="L332" s="50">
        <f t="shared" ref="L332:M332" ca="1" si="76">SUM(L333:L334)</f>
        <v>218000</v>
      </c>
      <c r="M332" s="53">
        <f t="shared" si="76"/>
        <v>33660</v>
      </c>
      <c r="N332" s="53">
        <f t="shared" ca="1" si="75"/>
        <v>15.440366972477063</v>
      </c>
    </row>
    <row r="333" spans="1:14" ht="21.75" customHeight="1" x14ac:dyDescent="0.4">
      <c r="A333" s="42"/>
      <c r="B333" s="43"/>
      <c r="C333" s="43"/>
      <c r="D333" s="51"/>
      <c r="E333" s="45"/>
      <c r="F333" s="45"/>
      <c r="G333" s="52" t="s">
        <v>110</v>
      </c>
      <c r="H333" s="47" t="s">
        <v>20</v>
      </c>
      <c r="I333" s="48"/>
      <c r="J333" s="48"/>
      <c r="K333" s="49"/>
      <c r="L333" s="53">
        <f ca="1">IFERROR(__xludf.DUMMYFUNCTION("IMPORTRANGE(""https://docs.google.com/spreadsheets/d/1C3CXT74ZlgGe6_JY_1olB1XN4rF0dxEuIIF-xsYjHgg/edit?usp=sharing"",""งบกองทุน!au34"")"),0)</f>
        <v>0</v>
      </c>
      <c r="M333" s="53">
        <v>0</v>
      </c>
      <c r="N333" s="53">
        <f t="shared" ca="1" si="75"/>
        <v>0</v>
      </c>
    </row>
    <row r="334" spans="1:14" ht="21.75" customHeight="1" x14ac:dyDescent="0.4">
      <c r="A334" s="42"/>
      <c r="B334" s="43"/>
      <c r="C334" s="43"/>
      <c r="D334" s="51"/>
      <c r="E334" s="45"/>
      <c r="F334" s="45"/>
      <c r="G334" s="52" t="s">
        <v>111</v>
      </c>
      <c r="H334" s="47" t="s">
        <v>20</v>
      </c>
      <c r="I334" s="48"/>
      <c r="J334" s="48"/>
      <c r="K334" s="49"/>
      <c r="L334" s="53">
        <f ca="1">IFERROR(__xludf.DUMMYFUNCTION("IMPORTRANGE(""https://docs.google.com/spreadsheets/d/1C3CXT74ZlgGe6_JY_1olB1XN4rF0dxEuIIF-xsYjHgg/edit?usp=sharing"",""งบกองทุน!av34"")"),218000)</f>
        <v>218000</v>
      </c>
      <c r="M334" s="53">
        <f>SUM(M335:M338)</f>
        <v>33660</v>
      </c>
      <c r="N334" s="53">
        <f t="shared" ca="1" si="75"/>
        <v>15.440366972477063</v>
      </c>
    </row>
    <row r="335" spans="1:14" ht="21.75" customHeight="1" x14ac:dyDescent="0.4">
      <c r="A335" s="230"/>
      <c r="B335" s="231"/>
      <c r="C335" s="43"/>
      <c r="D335" s="232"/>
      <c r="E335" s="45"/>
      <c r="F335" s="45"/>
      <c r="G335" s="46" t="s">
        <v>112</v>
      </c>
      <c r="H335" s="47" t="s">
        <v>20</v>
      </c>
      <c r="I335" s="67"/>
      <c r="J335" s="67"/>
      <c r="K335" s="233"/>
      <c r="L335" s="53"/>
      <c r="M335" s="54">
        <v>33660</v>
      </c>
      <c r="N335" s="53"/>
    </row>
    <row r="336" spans="1:14" ht="21.75" customHeight="1" x14ac:dyDescent="0.4">
      <c r="A336" s="230"/>
      <c r="B336" s="231"/>
      <c r="C336" s="43"/>
      <c r="D336" s="232"/>
      <c r="E336" s="45"/>
      <c r="F336" s="45"/>
      <c r="G336" s="46" t="s">
        <v>113</v>
      </c>
      <c r="H336" s="47" t="s">
        <v>20</v>
      </c>
      <c r="I336" s="67"/>
      <c r="J336" s="67"/>
      <c r="K336" s="233"/>
      <c r="L336" s="53"/>
      <c r="M336" s="54">
        <v>0</v>
      </c>
      <c r="N336" s="53"/>
    </row>
    <row r="337" spans="1:14" ht="21.75" customHeight="1" x14ac:dyDescent="0.4">
      <c r="A337" s="230"/>
      <c r="B337" s="231"/>
      <c r="C337" s="43"/>
      <c r="D337" s="232"/>
      <c r="E337" s="45"/>
      <c r="F337" s="45"/>
      <c r="G337" s="46" t="s">
        <v>114</v>
      </c>
      <c r="H337" s="47" t="s">
        <v>20</v>
      </c>
      <c r="I337" s="67"/>
      <c r="J337" s="67"/>
      <c r="K337" s="233"/>
      <c r="L337" s="53"/>
      <c r="M337" s="54">
        <v>0</v>
      </c>
      <c r="N337" s="53"/>
    </row>
    <row r="338" spans="1:14" ht="21.75" customHeight="1" x14ac:dyDescent="0.4">
      <c r="A338" s="230"/>
      <c r="B338" s="231"/>
      <c r="C338" s="43"/>
      <c r="D338" s="232"/>
      <c r="E338" s="45"/>
      <c r="F338" s="45"/>
      <c r="G338" s="46" t="s">
        <v>115</v>
      </c>
      <c r="H338" s="47" t="s">
        <v>20</v>
      </c>
      <c r="I338" s="67"/>
      <c r="J338" s="67"/>
      <c r="K338" s="233"/>
      <c r="L338" s="53"/>
      <c r="M338" s="54">
        <v>0</v>
      </c>
      <c r="N338" s="53"/>
    </row>
    <row r="339" spans="1:14" ht="21.75" customHeight="1" x14ac:dyDescent="0.4">
      <c r="A339" s="55"/>
      <c r="B339" s="56"/>
      <c r="C339" s="43" t="s">
        <v>17</v>
      </c>
      <c r="D339" s="57" t="s">
        <v>25</v>
      </c>
      <c r="E339" s="58"/>
      <c r="F339" s="58"/>
      <c r="G339" s="59"/>
      <c r="H339" s="60"/>
      <c r="I339" s="48"/>
      <c r="J339" s="48"/>
      <c r="K339" s="49"/>
      <c r="L339" s="61"/>
      <c r="M339" s="61"/>
      <c r="N339" s="61"/>
    </row>
    <row r="340" spans="1:14" ht="21.75" customHeight="1" x14ac:dyDescent="0.4">
      <c r="A340" s="55"/>
      <c r="B340" s="56"/>
      <c r="C340" s="56"/>
      <c r="D340" s="62">
        <v>1</v>
      </c>
      <c r="E340" s="63" t="s">
        <v>26</v>
      </c>
      <c r="F340" s="64"/>
      <c r="G340" s="65"/>
      <c r="H340" s="66"/>
      <c r="I340" s="67"/>
      <c r="J340" s="85">
        <v>0</v>
      </c>
      <c r="K340" s="49"/>
      <c r="L340" s="61"/>
      <c r="M340" s="61"/>
      <c r="N340" s="61"/>
    </row>
    <row r="341" spans="1:14" ht="21.75" customHeight="1" x14ac:dyDescent="0.4">
      <c r="A341" s="55"/>
      <c r="B341" s="56"/>
      <c r="C341" s="56"/>
      <c r="D341" s="69">
        <v>2</v>
      </c>
      <c r="E341" s="70" t="s">
        <v>27</v>
      </c>
      <c r="F341" s="71"/>
      <c r="G341" s="72"/>
      <c r="H341" s="66"/>
      <c r="I341" s="67"/>
      <c r="J341" s="85">
        <v>1</v>
      </c>
      <c r="K341" s="49"/>
      <c r="L341" s="61" t="s">
        <v>21</v>
      </c>
      <c r="M341" s="61" t="s">
        <v>21</v>
      </c>
      <c r="N341" s="61"/>
    </row>
    <row r="342" spans="1:14" ht="21.75" customHeight="1" x14ac:dyDescent="0.4">
      <c r="A342" s="55"/>
      <c r="B342" s="56"/>
      <c r="C342" s="56"/>
      <c r="D342" s="73"/>
      <c r="E342" s="74" t="s">
        <v>142</v>
      </c>
      <c r="F342" s="75"/>
      <c r="G342" s="76"/>
      <c r="H342" s="66"/>
      <c r="I342" s="67"/>
      <c r="J342" s="68">
        <v>1</v>
      </c>
      <c r="K342" s="49"/>
      <c r="L342" s="61"/>
      <c r="M342" s="61"/>
      <c r="N342" s="61"/>
    </row>
    <row r="343" spans="1:14" ht="21.75" customHeight="1" x14ac:dyDescent="0.4">
      <c r="A343" s="55"/>
      <c r="B343" s="56"/>
      <c r="C343" s="56"/>
      <c r="D343" s="73"/>
      <c r="E343" s="74" t="s">
        <v>29</v>
      </c>
      <c r="F343" s="75"/>
      <c r="G343" s="76"/>
      <c r="H343" s="66"/>
      <c r="I343" s="67"/>
      <c r="J343" s="68">
        <v>0</v>
      </c>
      <c r="K343" s="49"/>
      <c r="L343" s="61"/>
      <c r="M343" s="61"/>
      <c r="N343" s="61"/>
    </row>
    <row r="344" spans="1:14" ht="21.75" customHeight="1" x14ac:dyDescent="0.4">
      <c r="A344" s="55"/>
      <c r="B344" s="56"/>
      <c r="C344" s="56"/>
      <c r="D344" s="73"/>
      <c r="E344" s="77"/>
      <c r="F344" s="260" t="s">
        <v>82</v>
      </c>
      <c r="G344" s="76"/>
      <c r="H344" s="66" t="s">
        <v>16</v>
      </c>
      <c r="I344" s="243">
        <f t="shared" ref="I344:J344" ca="1" si="77">+I345+I346+I347</f>
        <v>81</v>
      </c>
      <c r="J344" s="79">
        <f t="shared" si="77"/>
        <v>0</v>
      </c>
      <c r="K344" s="49">
        <f t="shared" ref="K344:K347" ca="1" si="78">IF(I344&gt;0,J344*100/I344,0)</f>
        <v>0</v>
      </c>
      <c r="L344" s="61"/>
      <c r="M344" s="61"/>
      <c r="N344" s="61"/>
    </row>
    <row r="345" spans="1:14" ht="21.75" customHeight="1" x14ac:dyDescent="0.4">
      <c r="A345" s="55"/>
      <c r="B345" s="56"/>
      <c r="C345" s="56"/>
      <c r="D345" s="73"/>
      <c r="E345" s="77"/>
      <c r="F345" s="75"/>
      <c r="G345" s="99" t="s">
        <v>143</v>
      </c>
      <c r="H345" s="66" t="s">
        <v>16</v>
      </c>
      <c r="I345" s="200">
        <f ca="1">IFERROR(__xludf.DUMMYFUNCTION("IMPORTRANGE(""https://docs.google.com/spreadsheets/d/1C3CXT74ZlgGe6_JY_1olB1XN4rF0dxEuIIF-xsYjHgg/edit?usp=sharing"",""งบกองทุน!ay34"")"),22)</f>
        <v>22</v>
      </c>
      <c r="J345" s="68">
        <v>0</v>
      </c>
      <c r="K345" s="49">
        <f t="shared" ca="1" si="78"/>
        <v>0</v>
      </c>
      <c r="L345" s="61"/>
      <c r="M345" s="61"/>
      <c r="N345" s="61"/>
    </row>
    <row r="346" spans="1:14" ht="21.75" customHeight="1" x14ac:dyDescent="0.4">
      <c r="A346" s="55"/>
      <c r="B346" s="56"/>
      <c r="C346" s="56"/>
      <c r="D346" s="73"/>
      <c r="E346" s="77"/>
      <c r="F346" s="75"/>
      <c r="G346" s="76" t="s">
        <v>144</v>
      </c>
      <c r="H346" s="66" t="s">
        <v>16</v>
      </c>
      <c r="I346" s="200">
        <f ca="1">IFERROR(__xludf.DUMMYFUNCTION("IMPORTRANGE(""https://docs.google.com/spreadsheets/d/1C3CXT74ZlgGe6_JY_1olB1XN4rF0dxEuIIF-xsYjHgg/edit?usp=sharing"",""งบกองทุน!az34"")"),59)</f>
        <v>59</v>
      </c>
      <c r="J346" s="68">
        <v>0</v>
      </c>
      <c r="K346" s="49">
        <f t="shared" ca="1" si="78"/>
        <v>0</v>
      </c>
      <c r="L346" s="61"/>
      <c r="M346" s="61"/>
      <c r="N346" s="61"/>
    </row>
    <row r="347" spans="1:14" ht="21.75" customHeight="1" x14ac:dyDescent="0.4">
      <c r="A347" s="55"/>
      <c r="B347" s="56"/>
      <c r="C347" s="56"/>
      <c r="D347" s="73"/>
      <c r="E347" s="77"/>
      <c r="F347" s="75"/>
      <c r="G347" s="76" t="s">
        <v>145</v>
      </c>
      <c r="H347" s="66" t="s">
        <v>16</v>
      </c>
      <c r="I347" s="67">
        <f ca="1">IFERROR(__xludf.DUMMYFUNCTION("IMPORTRANGE(""https://docs.google.com/spreadsheets/d/1C3CXT74ZlgGe6_JY_1olB1XN4rF0dxEuIIF-xsYjHgg/edit?usp=sharing"",""งบกองทุน!Ba34"")"),0)</f>
        <v>0</v>
      </c>
      <c r="J347" s="68">
        <v>0</v>
      </c>
      <c r="K347" s="49">
        <f t="shared" ca="1" si="78"/>
        <v>0</v>
      </c>
      <c r="L347" s="61"/>
      <c r="M347" s="61"/>
      <c r="N347" s="61"/>
    </row>
    <row r="348" spans="1:14" ht="21.75" customHeight="1" x14ac:dyDescent="0.4">
      <c r="A348" s="55"/>
      <c r="B348" s="56"/>
      <c r="C348" s="56"/>
      <c r="D348" s="73"/>
      <c r="E348" s="74" t="s">
        <v>35</v>
      </c>
      <c r="F348" s="75"/>
      <c r="G348" s="76"/>
      <c r="H348" s="66"/>
      <c r="I348" s="67"/>
      <c r="J348" s="68">
        <v>0</v>
      </c>
      <c r="K348" s="49"/>
      <c r="L348" s="61"/>
      <c r="M348" s="61"/>
      <c r="N348" s="61"/>
    </row>
    <row r="349" spans="1:14" ht="21.75" customHeight="1" x14ac:dyDescent="0.4">
      <c r="A349" s="55"/>
      <c r="B349" s="56"/>
      <c r="C349" s="56"/>
      <c r="D349" s="81">
        <v>3</v>
      </c>
      <c r="E349" s="82" t="s">
        <v>36</v>
      </c>
      <c r="F349" s="83"/>
      <c r="G349" s="84"/>
      <c r="H349" s="66"/>
      <c r="I349" s="67"/>
      <c r="J349" s="85">
        <v>0</v>
      </c>
      <c r="K349" s="49"/>
      <c r="L349" s="61"/>
      <c r="M349" s="61"/>
      <c r="N349" s="61"/>
    </row>
    <row r="350" spans="1:14" ht="21.75" customHeight="1" x14ac:dyDescent="0.4">
      <c r="A350" s="222"/>
      <c r="B350" s="223">
        <v>5</v>
      </c>
      <c r="C350" s="224" t="s">
        <v>146</v>
      </c>
      <c r="D350" s="224"/>
      <c r="E350" s="224"/>
      <c r="F350" s="224"/>
      <c r="G350" s="225"/>
      <c r="H350" s="226" t="s">
        <v>103</v>
      </c>
      <c r="I350" s="227">
        <f ca="1">I359</f>
        <v>33673</v>
      </c>
      <c r="J350" s="227">
        <f>+J359</f>
        <v>0</v>
      </c>
      <c r="K350" s="228">
        <f ca="1">IF(I350&gt;0,J350*100/I350,0)</f>
        <v>0</v>
      </c>
      <c r="L350" s="229">
        <f t="shared" ref="L350:M350" ca="1" si="79">SUM(L351:L352)</f>
        <v>382323</v>
      </c>
      <c r="M350" s="229">
        <f t="shared" si="79"/>
        <v>0</v>
      </c>
      <c r="N350" s="229">
        <f t="shared" ref="N350:N354" ca="1" si="80">+IF(L350&gt;0,M350*100/L350,0)</f>
        <v>0</v>
      </c>
    </row>
    <row r="351" spans="1:14" ht="21.75" customHeight="1" x14ac:dyDescent="0.4">
      <c r="A351" s="42"/>
      <c r="B351" s="43"/>
      <c r="C351" s="43" t="s">
        <v>17</v>
      </c>
      <c r="D351" s="44" t="s">
        <v>18</v>
      </c>
      <c r="E351" s="45"/>
      <c r="F351" s="45"/>
      <c r="G351" s="46" t="s">
        <v>19</v>
      </c>
      <c r="H351" s="47" t="s">
        <v>20</v>
      </c>
      <c r="I351" s="48" t="s">
        <v>21</v>
      </c>
      <c r="J351" s="48"/>
      <c r="K351" s="49"/>
      <c r="L351" s="50">
        <v>0</v>
      </c>
      <c r="M351" s="53">
        <v>0</v>
      </c>
      <c r="N351" s="53">
        <f t="shared" si="80"/>
        <v>0</v>
      </c>
    </row>
    <row r="352" spans="1:14" ht="21.75" customHeight="1" x14ac:dyDescent="0.4">
      <c r="A352" s="42"/>
      <c r="B352" s="43"/>
      <c r="C352" s="43"/>
      <c r="D352" s="51"/>
      <c r="E352" s="45"/>
      <c r="F352" s="45" t="s">
        <v>21</v>
      </c>
      <c r="G352" s="46" t="s">
        <v>22</v>
      </c>
      <c r="H352" s="47" t="s">
        <v>20</v>
      </c>
      <c r="I352" s="48"/>
      <c r="J352" s="48"/>
      <c r="K352" s="49"/>
      <c r="L352" s="50">
        <f t="shared" ref="L352:M352" ca="1" si="81">SUM(L353:L354)</f>
        <v>382323</v>
      </c>
      <c r="M352" s="53">
        <f t="shared" si="81"/>
        <v>0</v>
      </c>
      <c r="N352" s="53">
        <f t="shared" ca="1" si="80"/>
        <v>0</v>
      </c>
    </row>
    <row r="353" spans="1:14" ht="21.75" customHeight="1" x14ac:dyDescent="0.4">
      <c r="A353" s="42"/>
      <c r="B353" s="43"/>
      <c r="C353" s="43"/>
      <c r="D353" s="51"/>
      <c r="E353" s="45"/>
      <c r="F353" s="45"/>
      <c r="G353" s="52" t="s">
        <v>110</v>
      </c>
      <c r="H353" s="47" t="s">
        <v>20</v>
      </c>
      <c r="I353" s="48"/>
      <c r="J353" s="48"/>
      <c r="K353" s="49"/>
      <c r="L353" s="53">
        <f ca="1">IFERROR(__xludf.DUMMYFUNCTION("IMPORTRANGE(""https://docs.google.com/spreadsheets/d/1C3CXT74ZlgGe6_JY_1olB1XN4rF0dxEuIIF-xsYjHgg/edit?usp=sharing"",""งบกองทุน!Bc34"")"),0)</f>
        <v>0</v>
      </c>
      <c r="M353" s="53">
        <v>0</v>
      </c>
      <c r="N353" s="53">
        <f t="shared" ca="1" si="80"/>
        <v>0</v>
      </c>
    </row>
    <row r="354" spans="1:14" ht="21.75" customHeight="1" x14ac:dyDescent="0.4">
      <c r="A354" s="42"/>
      <c r="B354" s="43"/>
      <c r="C354" s="43"/>
      <c r="D354" s="51"/>
      <c r="E354" s="45"/>
      <c r="F354" s="45"/>
      <c r="G354" s="52" t="s">
        <v>111</v>
      </c>
      <c r="H354" s="47" t="s">
        <v>20</v>
      </c>
      <c r="I354" s="48"/>
      <c r="J354" s="48"/>
      <c r="K354" s="49"/>
      <c r="L354" s="53">
        <f ca="1">IFERROR(__xludf.DUMMYFUNCTION("IMPORTRANGE(""https://docs.google.com/spreadsheets/d/1C3CXT74ZlgGe6_JY_1olB1XN4rF0dxEuIIF-xsYjHgg/edit?usp=sharing"",""งบกองทุน!Bd34"")"),382323)</f>
        <v>382323</v>
      </c>
      <c r="M354" s="53">
        <f>SUM(M355:M358)</f>
        <v>0</v>
      </c>
      <c r="N354" s="53">
        <f t="shared" ca="1" si="80"/>
        <v>0</v>
      </c>
    </row>
    <row r="355" spans="1:14" ht="21.75" customHeight="1" x14ac:dyDescent="0.4">
      <c r="A355" s="230"/>
      <c r="B355" s="231"/>
      <c r="C355" s="43"/>
      <c r="D355" s="232"/>
      <c r="E355" s="45"/>
      <c r="F355" s="45"/>
      <c r="G355" s="46" t="s">
        <v>112</v>
      </c>
      <c r="H355" s="47" t="s">
        <v>20</v>
      </c>
      <c r="I355" s="67"/>
      <c r="J355" s="67"/>
      <c r="K355" s="233"/>
      <c r="L355" s="53"/>
      <c r="M355" s="53">
        <v>0</v>
      </c>
      <c r="N355" s="53"/>
    </row>
    <row r="356" spans="1:14" ht="21.75" customHeight="1" x14ac:dyDescent="0.4">
      <c r="A356" s="230"/>
      <c r="B356" s="231"/>
      <c r="C356" s="43"/>
      <c r="D356" s="232"/>
      <c r="E356" s="45"/>
      <c r="F356" s="45"/>
      <c r="G356" s="46" t="s">
        <v>113</v>
      </c>
      <c r="H356" s="47" t="s">
        <v>20</v>
      </c>
      <c r="I356" s="67"/>
      <c r="J356" s="67"/>
      <c r="K356" s="233"/>
      <c r="L356" s="53"/>
      <c r="M356" s="53">
        <v>0</v>
      </c>
      <c r="N356" s="53"/>
    </row>
    <row r="357" spans="1:14" ht="21.75" customHeight="1" x14ac:dyDescent="0.4">
      <c r="A357" s="230"/>
      <c r="B357" s="231"/>
      <c r="C357" s="43"/>
      <c r="D357" s="232"/>
      <c r="E357" s="45"/>
      <c r="F357" s="45"/>
      <c r="G357" s="46" t="s">
        <v>114</v>
      </c>
      <c r="H357" s="47" t="s">
        <v>20</v>
      </c>
      <c r="I357" s="67"/>
      <c r="J357" s="67"/>
      <c r="K357" s="233"/>
      <c r="L357" s="53"/>
      <c r="M357" s="54">
        <v>0</v>
      </c>
      <c r="N357" s="53"/>
    </row>
    <row r="358" spans="1:14" ht="21.75" customHeight="1" x14ac:dyDescent="0.4">
      <c r="A358" s="230"/>
      <c r="B358" s="231"/>
      <c r="C358" s="43"/>
      <c r="D358" s="232"/>
      <c r="E358" s="45"/>
      <c r="F358" s="45"/>
      <c r="G358" s="46" t="s">
        <v>115</v>
      </c>
      <c r="H358" s="47" t="s">
        <v>20</v>
      </c>
      <c r="I358" s="67"/>
      <c r="J358" s="67"/>
      <c r="K358" s="233"/>
      <c r="L358" s="53"/>
      <c r="M358" s="54">
        <v>0</v>
      </c>
      <c r="N358" s="53"/>
    </row>
    <row r="359" spans="1:14" ht="21.75" customHeight="1" x14ac:dyDescent="0.4">
      <c r="A359" s="55"/>
      <c r="B359" s="56"/>
      <c r="C359" s="261" t="s">
        <v>147</v>
      </c>
      <c r="D359" s="261"/>
      <c r="E359" s="262"/>
      <c r="F359" s="262"/>
      <c r="G359" s="263"/>
      <c r="H359" s="136" t="s">
        <v>103</v>
      </c>
      <c r="I359" s="137">
        <f ca="1">IFERROR(__xludf.DUMMYFUNCTION("IMPORTRANGE(""https://docs.google.com/spreadsheets/d/1C3CXT74ZlgGe6_JY_1olB1XN4rF0dxEuIIF-xsYjHgg/edit?usp=sharing"",""งบกองทุน!BE34"")"),33673)</f>
        <v>33673</v>
      </c>
      <c r="J359" s="137">
        <f>+J376</f>
        <v>0</v>
      </c>
      <c r="K359" s="138">
        <f t="shared" ref="K359:K425" ca="1" si="82">IF(I359&gt;0,J359*100/I359,0)</f>
        <v>0</v>
      </c>
      <c r="L359" s="140"/>
      <c r="M359" s="140"/>
      <c r="N359" s="140"/>
    </row>
    <row r="360" spans="1:14" ht="21.75" customHeight="1" x14ac:dyDescent="0.4">
      <c r="A360" s="249"/>
      <c r="B360" s="250"/>
      <c r="C360" s="250"/>
      <c r="D360" s="251"/>
      <c r="E360" s="73" t="s">
        <v>148</v>
      </c>
      <c r="F360" s="75"/>
      <c r="G360" s="76"/>
      <c r="H360" s="264" t="s">
        <v>103</v>
      </c>
      <c r="I360" s="265">
        <f ca="1">I359</f>
        <v>33673</v>
      </c>
      <c r="J360" s="265">
        <f t="shared" ref="J360:J361" si="83">+J362+J364+J366</f>
        <v>0</v>
      </c>
      <c r="K360" s="80">
        <f t="shared" ca="1" si="82"/>
        <v>0</v>
      </c>
      <c r="L360" s="61"/>
      <c r="M360" s="61"/>
      <c r="N360" s="61"/>
    </row>
    <row r="361" spans="1:14" ht="21.75" customHeight="1" x14ac:dyDescent="0.4">
      <c r="A361" s="249"/>
      <c r="B361" s="250"/>
      <c r="C361" s="250"/>
      <c r="D361" s="251"/>
      <c r="E361" s="75"/>
      <c r="F361" s="75"/>
      <c r="G361" s="76"/>
      <c r="H361" s="264" t="s">
        <v>15</v>
      </c>
      <c r="I361" s="79">
        <f ca="1">IFERROR(__xludf.DUMMYFUNCTION("IMPORTRANGE(""https://docs.google.com/spreadsheets/d/1C3CXT74ZlgGe6_JY_1olB1XN4rF0dxEuIIF-xsYjHgg/edit?usp=sharing"",""งบกองทุน!BF34"")"),4578)</f>
        <v>4578</v>
      </c>
      <c r="J361" s="265">
        <f t="shared" si="83"/>
        <v>0</v>
      </c>
      <c r="K361" s="80">
        <f t="shared" ca="1" si="82"/>
        <v>0</v>
      </c>
      <c r="L361" s="61"/>
      <c r="M361" s="61"/>
      <c r="N361" s="61"/>
    </row>
    <row r="362" spans="1:14" ht="21.75" customHeight="1" x14ac:dyDescent="0.4">
      <c r="A362" s="249"/>
      <c r="B362" s="250"/>
      <c r="C362" s="250"/>
      <c r="D362" s="251"/>
      <c r="E362" s="75"/>
      <c r="F362" s="242" t="s">
        <v>149</v>
      </c>
      <c r="G362" s="266"/>
      <c r="H362" s="267" t="s">
        <v>103</v>
      </c>
      <c r="I362" s="48">
        <v>0</v>
      </c>
      <c r="J362" s="68">
        <v>0</v>
      </c>
      <c r="K362" s="49">
        <f t="shared" si="82"/>
        <v>0</v>
      </c>
      <c r="L362" s="61"/>
      <c r="M362" s="61"/>
      <c r="N362" s="61"/>
    </row>
    <row r="363" spans="1:14" ht="21.75" customHeight="1" x14ac:dyDescent="0.4">
      <c r="A363" s="249"/>
      <c r="B363" s="250"/>
      <c r="C363" s="250"/>
      <c r="D363" s="251"/>
      <c r="E363" s="75"/>
      <c r="F363" s="75"/>
      <c r="G363" s="266"/>
      <c r="H363" s="267" t="s">
        <v>15</v>
      </c>
      <c r="I363" s="48">
        <v>0</v>
      </c>
      <c r="J363" s="68">
        <v>0</v>
      </c>
      <c r="K363" s="49">
        <f t="shared" si="82"/>
        <v>0</v>
      </c>
      <c r="L363" s="61"/>
      <c r="M363" s="61"/>
      <c r="N363" s="61"/>
    </row>
    <row r="364" spans="1:14" ht="21.75" customHeight="1" x14ac:dyDescent="0.4">
      <c r="A364" s="249"/>
      <c r="B364" s="250"/>
      <c r="C364" s="250"/>
      <c r="D364" s="251"/>
      <c r="E364" s="75"/>
      <c r="F364" s="242" t="s">
        <v>150</v>
      </c>
      <c r="G364" s="266"/>
      <c r="H364" s="267" t="s">
        <v>103</v>
      </c>
      <c r="I364" s="48">
        <v>0</v>
      </c>
      <c r="J364" s="68">
        <v>0</v>
      </c>
      <c r="K364" s="49">
        <f t="shared" si="82"/>
        <v>0</v>
      </c>
      <c r="L364" s="61"/>
      <c r="M364" s="61"/>
      <c r="N364" s="61"/>
    </row>
    <row r="365" spans="1:14" ht="21.75" customHeight="1" x14ac:dyDescent="0.4">
      <c r="A365" s="249"/>
      <c r="B365" s="250"/>
      <c r="C365" s="250"/>
      <c r="D365" s="251"/>
      <c r="E365" s="75"/>
      <c r="F365" s="75"/>
      <c r="G365" s="266"/>
      <c r="H365" s="267" t="s">
        <v>15</v>
      </c>
      <c r="I365" s="48">
        <v>0</v>
      </c>
      <c r="J365" s="68">
        <v>0</v>
      </c>
      <c r="K365" s="49">
        <f t="shared" si="82"/>
        <v>0</v>
      </c>
      <c r="L365" s="61"/>
      <c r="M365" s="61"/>
      <c r="N365" s="61"/>
    </row>
    <row r="366" spans="1:14" ht="21.75" customHeight="1" x14ac:dyDescent="0.4">
      <c r="A366" s="249"/>
      <c r="B366" s="250"/>
      <c r="C366" s="250"/>
      <c r="D366" s="251"/>
      <c r="E366" s="75"/>
      <c r="F366" s="242" t="s">
        <v>151</v>
      </c>
      <c r="G366" s="266"/>
      <c r="H366" s="267" t="s">
        <v>103</v>
      </c>
      <c r="I366" s="48">
        <v>0</v>
      </c>
      <c r="J366" s="68">
        <v>0</v>
      </c>
      <c r="K366" s="49">
        <f t="shared" si="82"/>
        <v>0</v>
      </c>
      <c r="L366" s="61"/>
      <c r="M366" s="61"/>
      <c r="N366" s="61"/>
    </row>
    <row r="367" spans="1:14" ht="21.75" customHeight="1" x14ac:dyDescent="0.4">
      <c r="A367" s="249"/>
      <c r="B367" s="250"/>
      <c r="C367" s="250"/>
      <c r="D367" s="251"/>
      <c r="E367" s="75"/>
      <c r="F367" s="75"/>
      <c r="G367" s="75"/>
      <c r="H367" s="267" t="s">
        <v>15</v>
      </c>
      <c r="I367" s="48">
        <v>0</v>
      </c>
      <c r="J367" s="68">
        <v>0</v>
      </c>
      <c r="K367" s="49">
        <f t="shared" si="82"/>
        <v>0</v>
      </c>
      <c r="L367" s="61"/>
      <c r="M367" s="61"/>
      <c r="N367" s="61"/>
    </row>
    <row r="368" spans="1:14" ht="21.75" customHeight="1" x14ac:dyDescent="0.4">
      <c r="A368" s="249"/>
      <c r="B368" s="250"/>
      <c r="C368" s="250"/>
      <c r="D368" s="251"/>
      <c r="E368" s="155" t="s">
        <v>152</v>
      </c>
      <c r="F368" s="75"/>
      <c r="G368" s="76"/>
      <c r="H368" s="264" t="s">
        <v>103</v>
      </c>
      <c r="I368" s="265">
        <f ca="1">+I359</f>
        <v>33673</v>
      </c>
      <c r="J368" s="265">
        <f t="shared" ref="J368:J369" si="84">+J370+J372+J374</f>
        <v>0</v>
      </c>
      <c r="K368" s="80">
        <f t="shared" ca="1" si="82"/>
        <v>0</v>
      </c>
      <c r="L368" s="61"/>
      <c r="M368" s="61"/>
      <c r="N368" s="61"/>
    </row>
    <row r="369" spans="1:14" ht="21.75" customHeight="1" x14ac:dyDescent="0.4">
      <c r="A369" s="249"/>
      <c r="B369" s="250"/>
      <c r="C369" s="250"/>
      <c r="D369" s="251"/>
      <c r="E369" s="75"/>
      <c r="F369" s="75"/>
      <c r="G369" s="76"/>
      <c r="H369" s="264" t="s">
        <v>15</v>
      </c>
      <c r="I369" s="265">
        <f ca="1">I361</f>
        <v>4578</v>
      </c>
      <c r="J369" s="265">
        <f t="shared" si="84"/>
        <v>0</v>
      </c>
      <c r="K369" s="80">
        <f t="shared" ca="1" si="82"/>
        <v>0</v>
      </c>
      <c r="L369" s="61"/>
      <c r="M369" s="61"/>
      <c r="N369" s="61"/>
    </row>
    <row r="370" spans="1:14" ht="21.75" customHeight="1" x14ac:dyDescent="0.4">
      <c r="A370" s="249"/>
      <c r="B370" s="250"/>
      <c r="C370" s="250"/>
      <c r="D370" s="251"/>
      <c r="E370" s="75"/>
      <c r="F370" s="74" t="s">
        <v>153</v>
      </c>
      <c r="G370" s="266"/>
      <c r="H370" s="267" t="s">
        <v>103</v>
      </c>
      <c r="I370" s="48">
        <v>0</v>
      </c>
      <c r="J370" s="68">
        <v>0</v>
      </c>
      <c r="K370" s="49">
        <f t="shared" si="82"/>
        <v>0</v>
      </c>
      <c r="L370" s="61"/>
      <c r="M370" s="61"/>
      <c r="N370" s="61"/>
    </row>
    <row r="371" spans="1:14" ht="21.75" customHeight="1" x14ac:dyDescent="0.4">
      <c r="A371" s="249"/>
      <c r="B371" s="250"/>
      <c r="C371" s="250"/>
      <c r="D371" s="251"/>
      <c r="E371" s="75"/>
      <c r="F371" s="75"/>
      <c r="G371" s="266"/>
      <c r="H371" s="267" t="s">
        <v>15</v>
      </c>
      <c r="I371" s="48">
        <v>0</v>
      </c>
      <c r="J371" s="68">
        <v>0</v>
      </c>
      <c r="K371" s="49">
        <f t="shared" si="82"/>
        <v>0</v>
      </c>
      <c r="L371" s="61"/>
      <c r="M371" s="61"/>
      <c r="N371" s="61"/>
    </row>
    <row r="372" spans="1:14" ht="21.75" customHeight="1" x14ac:dyDescent="0.4">
      <c r="A372" s="249"/>
      <c r="B372" s="250"/>
      <c r="C372" s="250"/>
      <c r="D372" s="251"/>
      <c r="E372" s="75"/>
      <c r="F372" s="74" t="s">
        <v>154</v>
      </c>
      <c r="G372" s="266"/>
      <c r="H372" s="267" t="s">
        <v>103</v>
      </c>
      <c r="I372" s="48">
        <v>0</v>
      </c>
      <c r="J372" s="68">
        <v>0</v>
      </c>
      <c r="K372" s="49">
        <f t="shared" si="82"/>
        <v>0</v>
      </c>
      <c r="L372" s="61"/>
      <c r="M372" s="61"/>
      <c r="N372" s="61"/>
    </row>
    <row r="373" spans="1:14" ht="21.75" customHeight="1" x14ac:dyDescent="0.4">
      <c r="A373" s="249"/>
      <c r="B373" s="250"/>
      <c r="C373" s="250"/>
      <c r="D373" s="251"/>
      <c r="E373" s="75"/>
      <c r="F373" s="75"/>
      <c r="G373" s="266"/>
      <c r="H373" s="267" t="s">
        <v>15</v>
      </c>
      <c r="I373" s="48">
        <v>0</v>
      </c>
      <c r="J373" s="68">
        <v>0</v>
      </c>
      <c r="K373" s="49">
        <f t="shared" si="82"/>
        <v>0</v>
      </c>
      <c r="L373" s="61"/>
      <c r="M373" s="61"/>
      <c r="N373" s="61"/>
    </row>
    <row r="374" spans="1:14" ht="21.75" customHeight="1" x14ac:dyDescent="0.4">
      <c r="A374" s="249"/>
      <c r="B374" s="250"/>
      <c r="C374" s="250"/>
      <c r="D374" s="251"/>
      <c r="E374" s="75"/>
      <c r="F374" s="74" t="s">
        <v>155</v>
      </c>
      <c r="G374" s="266"/>
      <c r="H374" s="267" t="s">
        <v>103</v>
      </c>
      <c r="I374" s="48">
        <v>0</v>
      </c>
      <c r="J374" s="68">
        <v>0</v>
      </c>
      <c r="K374" s="49">
        <f t="shared" si="82"/>
        <v>0</v>
      </c>
      <c r="L374" s="61"/>
      <c r="M374" s="61"/>
      <c r="N374" s="61"/>
    </row>
    <row r="375" spans="1:14" ht="21.75" customHeight="1" x14ac:dyDescent="0.4">
      <c r="A375" s="249"/>
      <c r="B375" s="250"/>
      <c r="C375" s="250"/>
      <c r="D375" s="251"/>
      <c r="E375" s="75"/>
      <c r="F375" s="75"/>
      <c r="G375" s="76"/>
      <c r="H375" s="267" t="s">
        <v>15</v>
      </c>
      <c r="I375" s="48">
        <v>0</v>
      </c>
      <c r="J375" s="68">
        <v>0</v>
      </c>
      <c r="K375" s="49">
        <f t="shared" si="82"/>
        <v>0</v>
      </c>
      <c r="L375" s="61"/>
      <c r="M375" s="61"/>
      <c r="N375" s="61"/>
    </row>
    <row r="376" spans="1:14" ht="21.75" customHeight="1" x14ac:dyDescent="0.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33673</v>
      </c>
      <c r="J376" s="265">
        <f t="shared" ref="J376:J377" si="85">+J378+J380+J382+J388</f>
        <v>0</v>
      </c>
      <c r="K376" s="80">
        <f t="shared" ca="1" si="82"/>
        <v>0</v>
      </c>
      <c r="L376" s="275"/>
      <c r="M376" s="275"/>
      <c r="N376" s="275"/>
    </row>
    <row r="377" spans="1:14" ht="21.75" customHeight="1" x14ac:dyDescent="0.4">
      <c r="A377" s="249"/>
      <c r="B377" s="250"/>
      <c r="C377" s="250"/>
      <c r="D377" s="251"/>
      <c r="E377" s="75"/>
      <c r="F377" s="75"/>
      <c r="G377" s="76"/>
      <c r="H377" s="264" t="s">
        <v>15</v>
      </c>
      <c r="I377" s="265">
        <f ca="1">I361</f>
        <v>4578</v>
      </c>
      <c r="J377" s="265">
        <f t="shared" si="85"/>
        <v>0</v>
      </c>
      <c r="K377" s="80">
        <f t="shared" ca="1" si="82"/>
        <v>0</v>
      </c>
      <c r="L377" s="61"/>
      <c r="M377" s="61"/>
      <c r="N377" s="61"/>
    </row>
    <row r="378" spans="1:14" ht="21.75" customHeight="1" x14ac:dyDescent="0.4">
      <c r="A378" s="249"/>
      <c r="B378" s="250"/>
      <c r="C378" s="250"/>
      <c r="D378" s="251"/>
      <c r="E378" s="75"/>
      <c r="F378" s="74" t="s">
        <v>157</v>
      </c>
      <c r="G378" s="266"/>
      <c r="H378" s="267" t="s">
        <v>103</v>
      </c>
      <c r="I378" s="48">
        <v>0</v>
      </c>
      <c r="J378" s="68">
        <v>0</v>
      </c>
      <c r="K378" s="49">
        <f t="shared" si="82"/>
        <v>0</v>
      </c>
      <c r="L378" s="61"/>
      <c r="M378" s="61"/>
      <c r="N378" s="61"/>
    </row>
    <row r="379" spans="1:14" ht="21.75" customHeight="1" x14ac:dyDescent="0.4">
      <c r="A379" s="249"/>
      <c r="B379" s="250"/>
      <c r="C379" s="250"/>
      <c r="D379" s="251"/>
      <c r="E379" s="75"/>
      <c r="F379" s="75"/>
      <c r="G379" s="266"/>
      <c r="H379" s="267" t="s">
        <v>15</v>
      </c>
      <c r="I379" s="48">
        <v>0</v>
      </c>
      <c r="J379" s="68">
        <v>0</v>
      </c>
      <c r="K379" s="49">
        <f t="shared" si="82"/>
        <v>0</v>
      </c>
      <c r="L379" s="61"/>
      <c r="M379" s="61"/>
      <c r="N379" s="61"/>
    </row>
    <row r="380" spans="1:14" ht="21.75" customHeight="1" x14ac:dyDescent="0.4">
      <c r="A380" s="249"/>
      <c r="B380" s="250"/>
      <c r="C380" s="250"/>
      <c r="D380" s="251"/>
      <c r="E380" s="75"/>
      <c r="F380" s="74" t="s">
        <v>158</v>
      </c>
      <c r="G380" s="266"/>
      <c r="H380" s="267" t="s">
        <v>103</v>
      </c>
      <c r="I380" s="48">
        <v>0</v>
      </c>
      <c r="J380" s="68">
        <v>0</v>
      </c>
      <c r="K380" s="49">
        <f t="shared" si="82"/>
        <v>0</v>
      </c>
      <c r="L380" s="61"/>
      <c r="M380" s="61"/>
      <c r="N380" s="61"/>
    </row>
    <row r="381" spans="1:14" ht="21.75" customHeight="1" x14ac:dyDescent="0.4">
      <c r="A381" s="249"/>
      <c r="B381" s="250"/>
      <c r="C381" s="250"/>
      <c r="D381" s="251"/>
      <c r="E381" s="75"/>
      <c r="F381" s="75"/>
      <c r="G381" s="266"/>
      <c r="H381" s="267" t="s">
        <v>15</v>
      </c>
      <c r="I381" s="48">
        <v>0</v>
      </c>
      <c r="J381" s="68">
        <v>0</v>
      </c>
      <c r="K381" s="49">
        <f t="shared" si="82"/>
        <v>0</v>
      </c>
      <c r="L381" s="61"/>
      <c r="M381" s="61"/>
      <c r="N381" s="61"/>
    </row>
    <row r="382" spans="1:14" ht="21.75" customHeight="1" x14ac:dyDescent="0.4">
      <c r="A382" s="249"/>
      <c r="B382" s="250"/>
      <c r="C382" s="250"/>
      <c r="D382" s="251"/>
      <c r="E382" s="75"/>
      <c r="F382" s="74" t="s">
        <v>159</v>
      </c>
      <c r="G382" s="266"/>
      <c r="H382" s="267" t="s">
        <v>103</v>
      </c>
      <c r="I382" s="48">
        <v>0</v>
      </c>
      <c r="J382" s="265">
        <f t="shared" ref="J382:J383" si="86">J384+J386</f>
        <v>0</v>
      </c>
      <c r="K382" s="49">
        <f t="shared" si="82"/>
        <v>0</v>
      </c>
      <c r="L382" s="61"/>
      <c r="M382" s="61"/>
      <c r="N382" s="61"/>
    </row>
    <row r="383" spans="1:14" ht="21.75" customHeight="1" x14ac:dyDescent="0.4">
      <c r="A383" s="249"/>
      <c r="B383" s="250"/>
      <c r="C383" s="250"/>
      <c r="D383" s="251"/>
      <c r="E383" s="75"/>
      <c r="F383" s="75"/>
      <c r="G383" s="75"/>
      <c r="H383" s="267" t="s">
        <v>15</v>
      </c>
      <c r="I383" s="48">
        <v>0</v>
      </c>
      <c r="J383" s="265">
        <f t="shared" si="86"/>
        <v>0</v>
      </c>
      <c r="K383" s="49">
        <f t="shared" si="82"/>
        <v>0</v>
      </c>
      <c r="L383" s="61"/>
      <c r="M383" s="61"/>
      <c r="N383" s="61"/>
    </row>
    <row r="384" spans="1:14" ht="21.75" customHeight="1" x14ac:dyDescent="0.4">
      <c r="A384" s="249"/>
      <c r="B384" s="250"/>
      <c r="C384" s="250"/>
      <c r="D384" s="251"/>
      <c r="E384" s="75"/>
      <c r="F384" s="75"/>
      <c r="G384" s="74" t="s">
        <v>160</v>
      </c>
      <c r="H384" s="267" t="s">
        <v>103</v>
      </c>
      <c r="I384" s="48">
        <v>0</v>
      </c>
      <c r="J384" s="68">
        <v>0</v>
      </c>
      <c r="K384" s="49">
        <f t="shared" si="82"/>
        <v>0</v>
      </c>
      <c r="L384" s="61"/>
      <c r="M384" s="61"/>
      <c r="N384" s="61"/>
    </row>
    <row r="385" spans="1:14" ht="21.75" customHeight="1" x14ac:dyDescent="0.4">
      <c r="A385" s="249"/>
      <c r="B385" s="250"/>
      <c r="C385" s="250"/>
      <c r="D385" s="251"/>
      <c r="E385" s="75"/>
      <c r="F385" s="75"/>
      <c r="G385" s="75"/>
      <c r="H385" s="267" t="s">
        <v>15</v>
      </c>
      <c r="I385" s="48">
        <v>0</v>
      </c>
      <c r="J385" s="68">
        <v>0</v>
      </c>
      <c r="K385" s="49">
        <f t="shared" si="82"/>
        <v>0</v>
      </c>
      <c r="L385" s="61"/>
      <c r="M385" s="61"/>
      <c r="N385" s="61"/>
    </row>
    <row r="386" spans="1:14" ht="21.75" customHeight="1" x14ac:dyDescent="0.4">
      <c r="A386" s="249"/>
      <c r="B386" s="250"/>
      <c r="C386" s="250"/>
      <c r="D386" s="251"/>
      <c r="E386" s="75"/>
      <c r="F386" s="75"/>
      <c r="G386" s="74" t="s">
        <v>161</v>
      </c>
      <c r="H386" s="267" t="s">
        <v>103</v>
      </c>
      <c r="I386" s="48">
        <v>0</v>
      </c>
      <c r="J386" s="68">
        <v>0</v>
      </c>
      <c r="K386" s="49">
        <f t="shared" si="82"/>
        <v>0</v>
      </c>
      <c r="L386" s="61"/>
      <c r="M386" s="61"/>
      <c r="N386" s="61"/>
    </row>
    <row r="387" spans="1:14" ht="21.75" customHeight="1" x14ac:dyDescent="0.4">
      <c r="A387" s="249"/>
      <c r="B387" s="250"/>
      <c r="C387" s="250"/>
      <c r="D387" s="251"/>
      <c r="E387" s="75"/>
      <c r="F387" s="75"/>
      <c r="G387" s="76"/>
      <c r="H387" s="267" t="s">
        <v>15</v>
      </c>
      <c r="I387" s="48">
        <v>0</v>
      </c>
      <c r="J387" s="68">
        <v>0</v>
      </c>
      <c r="K387" s="49">
        <f t="shared" si="82"/>
        <v>0</v>
      </c>
      <c r="L387" s="61"/>
      <c r="M387" s="61"/>
      <c r="N387" s="61"/>
    </row>
    <row r="388" spans="1:14" ht="21.75" customHeight="1" x14ac:dyDescent="0.4">
      <c r="A388" s="249"/>
      <c r="B388" s="250"/>
      <c r="C388" s="250"/>
      <c r="D388" s="251"/>
      <c r="E388" s="75"/>
      <c r="F388" s="74" t="s">
        <v>162</v>
      </c>
      <c r="G388" s="266"/>
      <c r="H388" s="267" t="s">
        <v>103</v>
      </c>
      <c r="I388" s="48">
        <v>0</v>
      </c>
      <c r="J388" s="68">
        <v>0</v>
      </c>
      <c r="K388" s="49">
        <f t="shared" si="82"/>
        <v>0</v>
      </c>
      <c r="L388" s="61"/>
      <c r="M388" s="61"/>
      <c r="N388" s="61"/>
    </row>
    <row r="389" spans="1:14" ht="21.75" customHeight="1" x14ac:dyDescent="0.4">
      <c r="A389" s="276"/>
      <c r="B389" s="277"/>
      <c r="C389" s="277"/>
      <c r="D389" s="278"/>
      <c r="E389" s="204"/>
      <c r="F389" s="204"/>
      <c r="G389" s="204"/>
      <c r="H389" s="279" t="s">
        <v>15</v>
      </c>
      <c r="I389" s="384">
        <v>0</v>
      </c>
      <c r="J389" s="68">
        <v>0</v>
      </c>
      <c r="K389" s="49">
        <f t="shared" si="82"/>
        <v>0</v>
      </c>
      <c r="L389" s="115"/>
      <c r="M389" s="115"/>
      <c r="N389" s="115"/>
    </row>
    <row r="390" spans="1:14" ht="21.75" customHeight="1" x14ac:dyDescent="0.4">
      <c r="A390" s="55"/>
      <c r="B390" s="56"/>
      <c r="C390" s="261" t="s">
        <v>163</v>
      </c>
      <c r="D390" s="261"/>
      <c r="E390" s="262"/>
      <c r="F390" s="262"/>
      <c r="G390" s="263"/>
      <c r="H390" s="136" t="s">
        <v>103</v>
      </c>
      <c r="I390" s="137">
        <f ca="1">IFERROR(__xludf.DUMMYFUNCTION("IMPORTRANGE(""https://docs.google.com/spreadsheets/d/1C3CXT74ZlgGe6_JY_1olB1XN4rF0dxEuIIF-xsYjHgg/edit?usp=sharing"",""งบกองทุน!cd34"")"),0)</f>
        <v>0</v>
      </c>
      <c r="J390" s="137">
        <f>J391</f>
        <v>0</v>
      </c>
      <c r="K390" s="138">
        <f t="shared" ca="1" si="82"/>
        <v>0</v>
      </c>
      <c r="L390" s="140"/>
      <c r="M390" s="140"/>
      <c r="N390" s="140"/>
    </row>
    <row r="391" spans="1:14" ht="21.75" customHeight="1" x14ac:dyDescent="0.4">
      <c r="A391" s="55"/>
      <c r="B391" s="56"/>
      <c r="C391" s="56"/>
      <c r="D391" s="251"/>
      <c r="E391" s="280" t="s">
        <v>164</v>
      </c>
      <c r="F391" s="281"/>
      <c r="G391" s="282"/>
      <c r="H391" s="283" t="s">
        <v>103</v>
      </c>
      <c r="I391" s="79">
        <f ca="1">IFERROR(__xludf.DUMMYFUNCTION("IMPORTRANGE(""https://docs.google.com/spreadsheets/d/1C3CXT74ZlgGe6_JY_1olB1XN4rF0dxEuIIF-xsYjHgg/edit?usp=sharing"",""งบกองทุน!cd34"")"),0)</f>
        <v>0</v>
      </c>
      <c r="J391" s="265">
        <f t="shared" ref="J391:J392" si="87">J393+J401+J407</f>
        <v>0</v>
      </c>
      <c r="K391" s="362">
        <f t="shared" ca="1" si="82"/>
        <v>0</v>
      </c>
      <c r="L391" s="61"/>
      <c r="M391" s="61"/>
      <c r="N391" s="61"/>
    </row>
    <row r="392" spans="1:14" ht="21.75" customHeight="1" x14ac:dyDescent="0.4">
      <c r="A392" s="55"/>
      <c r="B392" s="56"/>
      <c r="C392" s="56"/>
      <c r="D392" s="73"/>
      <c r="E392" s="281"/>
      <c r="F392" s="281"/>
      <c r="G392" s="282"/>
      <c r="H392" s="283" t="s">
        <v>15</v>
      </c>
      <c r="I392" s="79">
        <f ca="1">IFERROR(__xludf.DUMMYFUNCTION("IMPORTRANGE(""https://docs.google.com/spreadsheets/d/1C3CXT74ZlgGe6_JY_1olB1XN4rF0dxEuIIF-xsYjHgg/edit?usp=sharing"",""งบกองทุน!cc34"")"),0)</f>
        <v>0</v>
      </c>
      <c r="J392" s="265">
        <f t="shared" si="87"/>
        <v>0</v>
      </c>
      <c r="K392" s="362">
        <f t="shared" ca="1" si="82"/>
        <v>0</v>
      </c>
      <c r="L392" s="61"/>
      <c r="M392" s="61"/>
      <c r="N392" s="61"/>
    </row>
    <row r="393" spans="1:14" ht="21.75" customHeight="1" x14ac:dyDescent="0.4">
      <c r="A393" s="55"/>
      <c r="B393" s="56"/>
      <c r="C393" s="56"/>
      <c r="D393" s="251"/>
      <c r="E393" s="251" t="s">
        <v>165</v>
      </c>
      <c r="F393" s="75"/>
      <c r="G393" s="76"/>
      <c r="H393" s="267" t="s">
        <v>103</v>
      </c>
      <c r="I393" s="48">
        <v>0</v>
      </c>
      <c r="J393" s="48">
        <f t="shared" ref="J393:J394" si="88">J395+J397+J399</f>
        <v>0</v>
      </c>
      <c r="K393" s="233">
        <f t="shared" si="82"/>
        <v>0</v>
      </c>
      <c r="L393" s="61"/>
      <c r="M393" s="61"/>
      <c r="N393" s="61"/>
    </row>
    <row r="394" spans="1:14" ht="21.75" customHeight="1" x14ac:dyDescent="0.4">
      <c r="A394" s="55"/>
      <c r="B394" s="56"/>
      <c r="C394" s="56"/>
      <c r="D394" s="73"/>
      <c r="E394" s="75"/>
      <c r="F394" s="75"/>
      <c r="G394" s="76"/>
      <c r="H394" s="267" t="s">
        <v>15</v>
      </c>
      <c r="I394" s="48">
        <v>0</v>
      </c>
      <c r="J394" s="48">
        <f t="shared" si="88"/>
        <v>0</v>
      </c>
      <c r="K394" s="233">
        <f t="shared" si="82"/>
        <v>0</v>
      </c>
      <c r="L394" s="61"/>
      <c r="M394" s="61"/>
      <c r="N394" s="61"/>
    </row>
    <row r="395" spans="1:14" ht="21.75" customHeight="1" x14ac:dyDescent="0.4">
      <c r="A395" s="55"/>
      <c r="B395" s="56"/>
      <c r="C395" s="56"/>
      <c r="D395" s="73"/>
      <c r="E395" s="75"/>
      <c r="F395" s="242" t="s">
        <v>166</v>
      </c>
      <c r="G395" s="266"/>
      <c r="H395" s="267" t="s">
        <v>103</v>
      </c>
      <c r="I395" s="48">
        <v>0</v>
      </c>
      <c r="J395" s="68">
        <v>0</v>
      </c>
      <c r="K395" s="233">
        <f t="shared" si="82"/>
        <v>0</v>
      </c>
      <c r="L395" s="61"/>
      <c r="M395" s="61"/>
      <c r="N395" s="61"/>
    </row>
    <row r="396" spans="1:14" ht="21.75" customHeight="1" x14ac:dyDescent="0.4">
      <c r="A396" s="55"/>
      <c r="B396" s="56"/>
      <c r="C396" s="56"/>
      <c r="D396" s="73"/>
      <c r="E396" s="75"/>
      <c r="F396" s="75"/>
      <c r="G396" s="266"/>
      <c r="H396" s="267" t="s">
        <v>15</v>
      </c>
      <c r="I396" s="48">
        <v>0</v>
      </c>
      <c r="J396" s="68">
        <v>0</v>
      </c>
      <c r="K396" s="233">
        <f t="shared" si="82"/>
        <v>0</v>
      </c>
      <c r="L396" s="61"/>
      <c r="M396" s="61"/>
      <c r="N396" s="61"/>
    </row>
    <row r="397" spans="1:14" ht="21.75" customHeight="1" x14ac:dyDescent="0.4">
      <c r="A397" s="55"/>
      <c r="B397" s="56"/>
      <c r="C397" s="56"/>
      <c r="D397" s="73"/>
      <c r="E397" s="75"/>
      <c r="F397" s="242" t="s">
        <v>167</v>
      </c>
      <c r="G397" s="266"/>
      <c r="H397" s="267" t="s">
        <v>103</v>
      </c>
      <c r="I397" s="48">
        <v>0</v>
      </c>
      <c r="J397" s="68">
        <v>0</v>
      </c>
      <c r="K397" s="233">
        <f t="shared" si="82"/>
        <v>0</v>
      </c>
      <c r="L397" s="61"/>
      <c r="M397" s="61"/>
      <c r="N397" s="61"/>
    </row>
    <row r="398" spans="1:14" ht="21.75" customHeight="1" x14ac:dyDescent="0.4">
      <c r="A398" s="55"/>
      <c r="B398" s="56"/>
      <c r="C398" s="56"/>
      <c r="D398" s="73"/>
      <c r="E398" s="75"/>
      <c r="F398" s="75"/>
      <c r="G398" s="266"/>
      <c r="H398" s="267" t="s">
        <v>15</v>
      </c>
      <c r="I398" s="48">
        <v>0</v>
      </c>
      <c r="J398" s="68">
        <v>0</v>
      </c>
      <c r="K398" s="233">
        <f t="shared" si="82"/>
        <v>0</v>
      </c>
      <c r="L398" s="61"/>
      <c r="M398" s="61"/>
      <c r="N398" s="61"/>
    </row>
    <row r="399" spans="1:14" ht="21.75" customHeight="1" x14ac:dyDescent="0.4">
      <c r="A399" s="55"/>
      <c r="B399" s="56"/>
      <c r="C399" s="56"/>
      <c r="D399" s="73"/>
      <c r="E399" s="75"/>
      <c r="F399" s="242" t="s">
        <v>168</v>
      </c>
      <c r="G399" s="266"/>
      <c r="H399" s="267" t="s">
        <v>103</v>
      </c>
      <c r="I399" s="48">
        <v>0</v>
      </c>
      <c r="J399" s="68">
        <v>0</v>
      </c>
      <c r="K399" s="233">
        <f t="shared" si="82"/>
        <v>0</v>
      </c>
      <c r="L399" s="61"/>
      <c r="M399" s="61"/>
      <c r="N399" s="61"/>
    </row>
    <row r="400" spans="1:14" ht="21.75" customHeight="1" x14ac:dyDescent="0.4">
      <c r="A400" s="55"/>
      <c r="B400" s="56"/>
      <c r="C400" s="56"/>
      <c r="D400" s="73"/>
      <c r="E400" s="75"/>
      <c r="F400" s="75"/>
      <c r="G400" s="75"/>
      <c r="H400" s="267" t="s">
        <v>15</v>
      </c>
      <c r="I400" s="48">
        <v>0</v>
      </c>
      <c r="J400" s="68">
        <v>0</v>
      </c>
      <c r="K400" s="233">
        <f t="shared" si="82"/>
        <v>0</v>
      </c>
      <c r="L400" s="61"/>
      <c r="M400" s="61"/>
      <c r="N400" s="61"/>
    </row>
    <row r="401" spans="1:14" ht="21.75" customHeight="1" x14ac:dyDescent="0.4">
      <c r="A401" s="55"/>
      <c r="B401" s="56"/>
      <c r="C401" s="56"/>
      <c r="D401" s="73"/>
      <c r="E401" s="74" t="s">
        <v>169</v>
      </c>
      <c r="F401" s="75"/>
      <c r="G401" s="266"/>
      <c r="H401" s="267" t="s">
        <v>103</v>
      </c>
      <c r="I401" s="48">
        <v>0</v>
      </c>
      <c r="J401" s="48">
        <f t="shared" ref="J401:J402" si="89">+J403+J405</f>
        <v>0</v>
      </c>
      <c r="K401" s="233">
        <f t="shared" si="82"/>
        <v>0</v>
      </c>
      <c r="L401" s="61"/>
      <c r="M401" s="61"/>
      <c r="N401" s="61"/>
    </row>
    <row r="402" spans="1:14" ht="21.75" customHeight="1" x14ac:dyDescent="0.4">
      <c r="A402" s="55"/>
      <c r="B402" s="56"/>
      <c r="C402" s="56"/>
      <c r="D402" s="73"/>
      <c r="E402" s="75"/>
      <c r="F402" s="75"/>
      <c r="G402" s="75"/>
      <c r="H402" s="267" t="s">
        <v>15</v>
      </c>
      <c r="I402" s="48">
        <v>0</v>
      </c>
      <c r="J402" s="48">
        <f t="shared" si="89"/>
        <v>0</v>
      </c>
      <c r="K402" s="233">
        <f t="shared" si="82"/>
        <v>0</v>
      </c>
      <c r="L402" s="61"/>
      <c r="M402" s="61"/>
      <c r="N402" s="61"/>
    </row>
    <row r="403" spans="1:14" ht="21.75" customHeight="1" x14ac:dyDescent="0.4">
      <c r="A403" s="55"/>
      <c r="B403" s="56"/>
      <c r="C403" s="56"/>
      <c r="D403" s="73"/>
      <c r="E403" s="75"/>
      <c r="F403" s="74" t="s">
        <v>170</v>
      </c>
      <c r="G403" s="75"/>
      <c r="H403" s="267" t="s">
        <v>103</v>
      </c>
      <c r="I403" s="48">
        <v>0</v>
      </c>
      <c r="J403" s="68">
        <v>0</v>
      </c>
      <c r="K403" s="233">
        <f t="shared" si="82"/>
        <v>0</v>
      </c>
      <c r="L403" s="61"/>
      <c r="M403" s="61"/>
      <c r="N403" s="61"/>
    </row>
    <row r="404" spans="1:14" ht="21.75" customHeight="1" x14ac:dyDescent="0.4">
      <c r="A404" s="55"/>
      <c r="B404" s="56"/>
      <c r="C404" s="56"/>
      <c r="D404" s="73"/>
      <c r="E404" s="75"/>
      <c r="F404" s="75"/>
      <c r="G404" s="75"/>
      <c r="H404" s="267" t="s">
        <v>15</v>
      </c>
      <c r="I404" s="48">
        <v>0</v>
      </c>
      <c r="J404" s="68">
        <v>0</v>
      </c>
      <c r="K404" s="233">
        <f t="shared" si="82"/>
        <v>0</v>
      </c>
      <c r="L404" s="61"/>
      <c r="M404" s="61"/>
      <c r="N404" s="61"/>
    </row>
    <row r="405" spans="1:14" ht="21.75" customHeight="1" x14ac:dyDescent="0.4">
      <c r="A405" s="55"/>
      <c r="B405" s="56"/>
      <c r="C405" s="56"/>
      <c r="D405" s="73"/>
      <c r="E405" s="75"/>
      <c r="F405" s="74" t="s">
        <v>171</v>
      </c>
      <c r="G405" s="75"/>
      <c r="H405" s="267" t="s">
        <v>103</v>
      </c>
      <c r="I405" s="48">
        <v>0</v>
      </c>
      <c r="J405" s="68">
        <v>0</v>
      </c>
      <c r="K405" s="233">
        <f t="shared" si="82"/>
        <v>0</v>
      </c>
      <c r="L405" s="61"/>
      <c r="M405" s="61"/>
      <c r="N405" s="61"/>
    </row>
    <row r="406" spans="1:14" ht="21.75" customHeight="1" x14ac:dyDescent="0.4">
      <c r="A406" s="55"/>
      <c r="B406" s="56"/>
      <c r="C406" s="56"/>
      <c r="D406" s="73"/>
      <c r="E406" s="75"/>
      <c r="F406" s="75"/>
      <c r="G406" s="76"/>
      <c r="H406" s="267" t="s">
        <v>15</v>
      </c>
      <c r="I406" s="48">
        <v>0</v>
      </c>
      <c r="J406" s="68">
        <v>0</v>
      </c>
      <c r="K406" s="233">
        <f t="shared" si="82"/>
        <v>0</v>
      </c>
      <c r="L406" s="61"/>
      <c r="M406" s="61"/>
      <c r="N406" s="61"/>
    </row>
    <row r="407" spans="1:14" ht="21.75" customHeight="1" x14ac:dyDescent="0.4">
      <c r="A407" s="55"/>
      <c r="B407" s="56"/>
      <c r="C407" s="56"/>
      <c r="D407" s="251"/>
      <c r="E407" s="251" t="s">
        <v>225</v>
      </c>
      <c r="F407" s="75"/>
      <c r="G407" s="76"/>
      <c r="H407" s="267" t="s">
        <v>103</v>
      </c>
      <c r="I407" s="48">
        <v>0</v>
      </c>
      <c r="J407" s="68">
        <v>0</v>
      </c>
      <c r="K407" s="233">
        <f t="shared" si="82"/>
        <v>0</v>
      </c>
      <c r="L407" s="61"/>
      <c r="M407" s="61"/>
      <c r="N407" s="61"/>
    </row>
    <row r="408" spans="1:14" ht="21.75" customHeight="1" x14ac:dyDescent="0.4">
      <c r="A408" s="55"/>
      <c r="B408" s="56"/>
      <c r="C408" s="56"/>
      <c r="D408" s="73"/>
      <c r="E408" s="75"/>
      <c r="F408" s="75"/>
      <c r="G408" s="76"/>
      <c r="H408" s="267" t="s">
        <v>15</v>
      </c>
      <c r="I408" s="48">
        <v>0</v>
      </c>
      <c r="J408" s="68">
        <v>0</v>
      </c>
      <c r="K408" s="233">
        <f t="shared" si="82"/>
        <v>0</v>
      </c>
      <c r="L408" s="61"/>
      <c r="M408" s="61"/>
      <c r="N408" s="61"/>
    </row>
    <row r="409" spans="1:14" ht="21.75" customHeight="1" x14ac:dyDescent="0.4">
      <c r="A409" s="55"/>
      <c r="B409" s="56"/>
      <c r="C409" s="261" t="s">
        <v>173</v>
      </c>
      <c r="D409" s="261"/>
      <c r="E409" s="285"/>
      <c r="F409" s="285"/>
      <c r="G409" s="286"/>
      <c r="H409" s="287" t="s">
        <v>103</v>
      </c>
      <c r="I409" s="137">
        <f ca="1">IFERROR(__xludf.DUMMYFUNCTION("IMPORTRANGE(""https://docs.google.com/spreadsheets/d/1C3CXT74ZlgGe6_JY_1olB1XN4rF0dxEuIIF-xsYjHgg/edit?usp=sharing"",""งบกองทุน!cz34"")"),0)</f>
        <v>0</v>
      </c>
      <c r="J409" s="137">
        <f ca="1">+J412+J414</f>
        <v>0</v>
      </c>
      <c r="K409" s="138">
        <f t="shared" ca="1" si="82"/>
        <v>0</v>
      </c>
      <c r="L409" s="61"/>
      <c r="M409" s="61"/>
      <c r="N409" s="61"/>
    </row>
    <row r="410" spans="1:14" ht="21.75" customHeight="1" x14ac:dyDescent="0.4">
      <c r="A410" s="55"/>
      <c r="B410" s="56"/>
      <c r="C410" s="288"/>
      <c r="D410" s="288"/>
      <c r="E410" s="288" t="s">
        <v>174</v>
      </c>
      <c r="F410" s="289"/>
      <c r="G410" s="290"/>
      <c r="H410" s="363" t="s">
        <v>103</v>
      </c>
      <c r="I410" s="150">
        <f ca="1">IFERROR(__xludf.DUMMYFUNCTION("IMPORTRANGE(""https://docs.google.com/spreadsheets/d/1C3CXT74ZlgGe6_JY_1olB1XN4rF0dxEuIIF-xsYjHgg/edit?usp=sharing"",""งบกองทุน!cz34"")"),0)</f>
        <v>0</v>
      </c>
      <c r="J410" s="150">
        <f t="shared" ref="J410:J411" ca="1" si="90">SUM(J412,J414)</f>
        <v>0</v>
      </c>
      <c r="K410" s="151">
        <f t="shared" ca="1" si="82"/>
        <v>0</v>
      </c>
      <c r="L410" s="61"/>
      <c r="M410" s="61"/>
      <c r="N410" s="61"/>
    </row>
    <row r="411" spans="1:14" ht="21.75" customHeight="1" x14ac:dyDescent="0.4">
      <c r="A411" s="55"/>
      <c r="B411" s="56"/>
      <c r="C411" s="288"/>
      <c r="D411" s="288"/>
      <c r="E411" s="288" t="s">
        <v>175</v>
      </c>
      <c r="F411" s="289"/>
      <c r="G411" s="290"/>
      <c r="H411" s="363" t="s">
        <v>15</v>
      </c>
      <c r="I411" s="150">
        <f ca="1">IFERROR(__xludf.DUMMYFUNCTION("IMPORTRANGE(""https://docs.google.com/spreadsheets/d/1C3CXT74ZlgGe6_JY_1olB1XN4rF0dxEuIIF-xsYjHgg/edit?usp=sharing"",""งบกองทุน!cy34"")"),0)</f>
        <v>0</v>
      </c>
      <c r="J411" s="150">
        <f t="shared" ca="1" si="90"/>
        <v>0</v>
      </c>
      <c r="K411" s="151">
        <f t="shared" ca="1" si="82"/>
        <v>0</v>
      </c>
      <c r="L411" s="61"/>
      <c r="M411" s="61"/>
      <c r="N411" s="61"/>
    </row>
    <row r="412" spans="1:14" ht="21.75" customHeight="1" x14ac:dyDescent="0.4">
      <c r="A412" s="55"/>
      <c r="B412" s="56"/>
      <c r="C412" s="56"/>
      <c r="D412" s="73"/>
      <c r="E412" s="75"/>
      <c r="F412" s="75"/>
      <c r="G412" s="99" t="s">
        <v>176</v>
      </c>
      <c r="H412" s="364" t="s">
        <v>103</v>
      </c>
      <c r="I412" s="365">
        <v>0</v>
      </c>
      <c r="J412" s="366">
        <f ca="1">IFERROR(__xludf.DUMMYFUNCTION("IMPORTRANGE(""https://docs.google.com/spreadsheets/d/1C3CXT74ZlgGe6_JY_1olB1XN4rF0dxEuIIF-xsYjHgg/edit?usp=sharing"",""งบกองทุน!db34"")"),0)</f>
        <v>0</v>
      </c>
      <c r="K412" s="367">
        <f t="shared" si="82"/>
        <v>0</v>
      </c>
      <c r="L412" s="61"/>
      <c r="M412" s="61"/>
      <c r="N412" s="61"/>
    </row>
    <row r="413" spans="1:14" ht="21.75" customHeight="1" x14ac:dyDescent="0.4">
      <c r="A413" s="55"/>
      <c r="B413" s="56"/>
      <c r="C413" s="56"/>
      <c r="D413" s="73"/>
      <c r="E413" s="75"/>
      <c r="F413" s="75"/>
      <c r="G413" s="76"/>
      <c r="H413" s="364" t="s">
        <v>15</v>
      </c>
      <c r="I413" s="365">
        <v>0</v>
      </c>
      <c r="J413" s="366">
        <f ca="1">IFERROR(__xludf.DUMMYFUNCTION("IMPORTRANGE(""https://docs.google.com/spreadsheets/d/1C3CXT74ZlgGe6_JY_1olB1XN4rF0dxEuIIF-xsYjHgg/edit?usp=sharing"",""งบกองทุน!da34"")"),0)</f>
        <v>0</v>
      </c>
      <c r="K413" s="367">
        <f t="shared" si="82"/>
        <v>0</v>
      </c>
      <c r="L413" s="61"/>
      <c r="M413" s="61"/>
      <c r="N413" s="61"/>
    </row>
    <row r="414" spans="1:14" ht="21.75" customHeight="1" x14ac:dyDescent="0.4">
      <c r="A414" s="55"/>
      <c r="B414" s="56"/>
      <c r="C414" s="56"/>
      <c r="D414" s="73"/>
      <c r="E414" s="75"/>
      <c r="F414" s="75"/>
      <c r="G414" s="99" t="s">
        <v>177</v>
      </c>
      <c r="H414" s="364" t="s">
        <v>103</v>
      </c>
      <c r="I414" s="365">
        <v>0</v>
      </c>
      <c r="J414" s="366">
        <f ca="1">IFERROR(__xludf.DUMMYFUNCTION("IMPORTRANGE(""https://docs.google.com/spreadsheets/d/1C3CXT74ZlgGe6_JY_1olB1XN4rF0dxEuIIF-xsYjHgg/edit?usp=sharing"",""งบกองทุน!dd34"")"),0)</f>
        <v>0</v>
      </c>
      <c r="K414" s="367">
        <f t="shared" si="82"/>
        <v>0</v>
      </c>
      <c r="L414" s="61"/>
      <c r="M414" s="61"/>
      <c r="N414" s="61"/>
    </row>
    <row r="415" spans="1:14" ht="21.75" customHeight="1" x14ac:dyDescent="0.4">
      <c r="A415" s="55"/>
      <c r="B415" s="56"/>
      <c r="C415" s="56"/>
      <c r="D415" s="73"/>
      <c r="E415" s="75"/>
      <c r="F415" s="75"/>
      <c r="G415" s="76"/>
      <c r="H415" s="364" t="s">
        <v>15</v>
      </c>
      <c r="I415" s="365">
        <v>0</v>
      </c>
      <c r="J415" s="366">
        <f ca="1">IFERROR(__xludf.DUMMYFUNCTION("IMPORTRANGE(""https://docs.google.com/spreadsheets/d/1C3CXT74ZlgGe6_JY_1olB1XN4rF0dxEuIIF-xsYjHgg/edit?usp=sharing"",""งบกองทุน!dc34"")"),0)</f>
        <v>0</v>
      </c>
      <c r="K415" s="367">
        <f t="shared" si="82"/>
        <v>0</v>
      </c>
      <c r="L415" s="61"/>
      <c r="M415" s="61"/>
      <c r="N415" s="61"/>
    </row>
    <row r="416" spans="1:14" ht="21.75" customHeight="1" x14ac:dyDescent="0.4">
      <c r="A416" s="55"/>
      <c r="B416" s="56"/>
      <c r="C416" s="56"/>
      <c r="D416" s="73"/>
      <c r="E416" s="75"/>
      <c r="F416" s="75"/>
      <c r="G416" s="99" t="s">
        <v>178</v>
      </c>
      <c r="H416" s="364" t="s">
        <v>103</v>
      </c>
      <c r="I416" s="365">
        <v>0</v>
      </c>
      <c r="J416" s="366">
        <f ca="1">IFERROR(__xludf.DUMMYFUNCTION("IMPORTRANGE(""https://docs.google.com/spreadsheets/d/1C3CXT74ZlgGe6_JY_1olB1XN4rF0dxEuIIF-xsYjHgg/edit?usp=sharing"",""งบกองทุน!df34"")"),0)</f>
        <v>0</v>
      </c>
      <c r="K416" s="367">
        <f t="shared" si="82"/>
        <v>0</v>
      </c>
      <c r="L416" s="61"/>
      <c r="M416" s="61"/>
      <c r="N416" s="61"/>
    </row>
    <row r="417" spans="1:14" ht="21.75" customHeight="1" x14ac:dyDescent="0.4">
      <c r="A417" s="55"/>
      <c r="B417" s="56"/>
      <c r="C417" s="56"/>
      <c r="D417" s="73"/>
      <c r="E417" s="75"/>
      <c r="F417" s="75"/>
      <c r="G417" s="76"/>
      <c r="H417" s="364" t="s">
        <v>15</v>
      </c>
      <c r="I417" s="365">
        <v>0</v>
      </c>
      <c r="J417" s="366">
        <f ca="1">IFERROR(__xludf.DUMMYFUNCTION("IMPORTRANGE(""https://docs.google.com/spreadsheets/d/1C3CXT74ZlgGe6_JY_1olB1XN4rF0dxEuIIF-xsYjHgg/edit?usp=sharing"",""งบกองทุน!de34"")"),0)</f>
        <v>0</v>
      </c>
      <c r="K417" s="367">
        <f t="shared" si="82"/>
        <v>0</v>
      </c>
      <c r="L417" s="61"/>
      <c r="M417" s="61"/>
      <c r="N417" s="61"/>
    </row>
    <row r="418" spans="1:14" ht="21.75" customHeight="1" x14ac:dyDescent="0.4">
      <c r="A418" s="55"/>
      <c r="B418" s="56"/>
      <c r="C418" s="288"/>
      <c r="D418" s="288"/>
      <c r="E418" s="288" t="s">
        <v>179</v>
      </c>
      <c r="F418" s="289"/>
      <c r="G418" s="290"/>
      <c r="H418" s="363" t="s">
        <v>103</v>
      </c>
      <c r="I418" s="368">
        <f t="shared" ref="I418:I419" ca="1" si="91">J416</f>
        <v>0</v>
      </c>
      <c r="J418" s="150">
        <f t="shared" ref="J418:J419" si="92">SUM(J420,J422,J424)</f>
        <v>0</v>
      </c>
      <c r="K418" s="369">
        <f t="shared" ca="1" si="82"/>
        <v>0</v>
      </c>
      <c r="L418" s="61"/>
      <c r="M418" s="61"/>
      <c r="N418" s="61"/>
    </row>
    <row r="419" spans="1:14" ht="21.75" customHeight="1" x14ac:dyDescent="0.4">
      <c r="A419" s="55"/>
      <c r="B419" s="56"/>
      <c r="C419" s="288"/>
      <c r="D419" s="288"/>
      <c r="E419" s="288" t="s">
        <v>180</v>
      </c>
      <c r="F419" s="289"/>
      <c r="G419" s="290"/>
      <c r="H419" s="363" t="s">
        <v>15</v>
      </c>
      <c r="I419" s="368">
        <f t="shared" ca="1" si="91"/>
        <v>0</v>
      </c>
      <c r="J419" s="150">
        <f t="shared" si="92"/>
        <v>0</v>
      </c>
      <c r="K419" s="369">
        <f t="shared" ca="1" si="82"/>
        <v>0</v>
      </c>
      <c r="L419" s="61"/>
      <c r="M419" s="61"/>
      <c r="N419" s="61"/>
    </row>
    <row r="420" spans="1:14" ht="21.75" customHeight="1" x14ac:dyDescent="0.4">
      <c r="A420" s="55"/>
      <c r="B420" s="56"/>
      <c r="C420" s="56"/>
      <c r="D420" s="73"/>
      <c r="E420" s="75"/>
      <c r="F420" s="75"/>
      <c r="G420" s="99" t="s">
        <v>176</v>
      </c>
      <c r="H420" s="364" t="s">
        <v>103</v>
      </c>
      <c r="I420" s="365">
        <v>0</v>
      </c>
      <c r="J420" s="68">
        <v>0</v>
      </c>
      <c r="K420" s="370">
        <f t="shared" si="82"/>
        <v>0</v>
      </c>
      <c r="L420" s="61"/>
      <c r="M420" s="61"/>
      <c r="N420" s="61"/>
    </row>
    <row r="421" spans="1:14" ht="21.75" customHeight="1" x14ac:dyDescent="0.4">
      <c r="A421" s="55"/>
      <c r="B421" s="56"/>
      <c r="C421" s="56"/>
      <c r="D421" s="73"/>
      <c r="E421" s="75"/>
      <c r="F421" s="75"/>
      <c r="G421" s="76"/>
      <c r="H421" s="364" t="s">
        <v>15</v>
      </c>
      <c r="I421" s="365">
        <v>0</v>
      </c>
      <c r="J421" s="68">
        <v>0</v>
      </c>
      <c r="K421" s="370">
        <f t="shared" si="82"/>
        <v>0</v>
      </c>
      <c r="L421" s="61"/>
      <c r="M421" s="61"/>
      <c r="N421" s="61"/>
    </row>
    <row r="422" spans="1:14" ht="21.75" customHeight="1" x14ac:dyDescent="0.4">
      <c r="A422" s="55"/>
      <c r="B422" s="56"/>
      <c r="C422" s="56"/>
      <c r="D422" s="73"/>
      <c r="E422" s="75"/>
      <c r="F422" s="75"/>
      <c r="G422" s="99" t="s">
        <v>177</v>
      </c>
      <c r="H422" s="364" t="s">
        <v>103</v>
      </c>
      <c r="I422" s="365">
        <v>0</v>
      </c>
      <c r="J422" s="68">
        <v>0</v>
      </c>
      <c r="K422" s="370">
        <f t="shared" si="82"/>
        <v>0</v>
      </c>
      <c r="L422" s="61"/>
      <c r="M422" s="61"/>
      <c r="N422" s="61"/>
    </row>
    <row r="423" spans="1:14" ht="21.75" customHeight="1" x14ac:dyDescent="0.4">
      <c r="A423" s="55"/>
      <c r="B423" s="56"/>
      <c r="C423" s="56"/>
      <c r="D423" s="73"/>
      <c r="E423" s="75"/>
      <c r="F423" s="75"/>
      <c r="G423" s="76"/>
      <c r="H423" s="364" t="s">
        <v>15</v>
      </c>
      <c r="I423" s="365">
        <v>0</v>
      </c>
      <c r="J423" s="68">
        <v>0</v>
      </c>
      <c r="K423" s="370">
        <f t="shared" si="82"/>
        <v>0</v>
      </c>
      <c r="L423" s="61"/>
      <c r="M423" s="61"/>
      <c r="N423" s="61"/>
    </row>
    <row r="424" spans="1:14" ht="21.75" customHeight="1" x14ac:dyDescent="0.4">
      <c r="A424" s="55"/>
      <c r="B424" s="56"/>
      <c r="C424" s="56"/>
      <c r="D424" s="73"/>
      <c r="E424" s="75"/>
      <c r="F424" s="75"/>
      <c r="G424" s="99" t="s">
        <v>181</v>
      </c>
      <c r="H424" s="364" t="s">
        <v>103</v>
      </c>
      <c r="I424" s="365">
        <v>0</v>
      </c>
      <c r="J424" s="68">
        <v>0</v>
      </c>
      <c r="K424" s="370">
        <f t="shared" si="82"/>
        <v>0</v>
      </c>
      <c r="L424" s="61"/>
      <c r="M424" s="61"/>
      <c r="N424" s="61"/>
    </row>
    <row r="425" spans="1:14" ht="21.75" customHeight="1" x14ac:dyDescent="0.4">
      <c r="A425" s="292"/>
      <c r="B425" s="293"/>
      <c r="C425" s="293"/>
      <c r="D425" s="294"/>
      <c r="E425" s="295"/>
      <c r="F425" s="295"/>
      <c r="G425" s="296"/>
      <c r="H425" s="371" t="s">
        <v>15</v>
      </c>
      <c r="I425" s="372">
        <v>0</v>
      </c>
      <c r="J425" s="247">
        <v>0</v>
      </c>
      <c r="K425" s="373">
        <f t="shared" si="82"/>
        <v>0</v>
      </c>
      <c r="L425" s="300"/>
      <c r="M425" s="300"/>
      <c r="N425" s="300"/>
    </row>
    <row r="426" spans="1:14" ht="21.75" customHeight="1" x14ac:dyDescent="0.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374" t="s">
        <v>16</v>
      </c>
      <c r="I426" s="375">
        <f t="shared" ref="I426:J426" ca="1" si="93">I440</f>
        <v>22</v>
      </c>
      <c r="J426" s="375">
        <f t="shared" si="93"/>
        <v>0</v>
      </c>
      <c r="K426" s="301">
        <f ca="1">IF(I426&gt;0,J426*100/I426,0)</f>
        <v>0</v>
      </c>
      <c r="L426" s="259">
        <f t="shared" ref="L426:M426" ca="1" si="94">SUM(L427:L428)</f>
        <v>34340</v>
      </c>
      <c r="M426" s="259">
        <f t="shared" si="94"/>
        <v>0</v>
      </c>
      <c r="N426" s="259">
        <f t="shared" ref="N426:N430" ca="1" si="95">+IF(L426&gt;0,M426*100/L426,0)</f>
        <v>0</v>
      </c>
    </row>
    <row r="427" spans="1:14" ht="21.75" customHeight="1" x14ac:dyDescent="0.4">
      <c r="A427" s="42"/>
      <c r="B427" s="43"/>
      <c r="C427" s="43" t="s">
        <v>17</v>
      </c>
      <c r="D427" s="44" t="s">
        <v>18</v>
      </c>
      <c r="E427" s="45"/>
      <c r="F427" s="45"/>
      <c r="G427" s="46" t="s">
        <v>19</v>
      </c>
      <c r="H427" s="47" t="s">
        <v>20</v>
      </c>
      <c r="I427" s="48" t="s">
        <v>21</v>
      </c>
      <c r="J427" s="48"/>
      <c r="K427" s="49"/>
      <c r="L427" s="50">
        <v>0</v>
      </c>
      <c r="M427" s="53">
        <v>0</v>
      </c>
      <c r="N427" s="53">
        <f t="shared" si="95"/>
        <v>0</v>
      </c>
    </row>
    <row r="428" spans="1:14" ht="21.75" customHeight="1" x14ac:dyDescent="0.4">
      <c r="A428" s="42"/>
      <c r="B428" s="43"/>
      <c r="C428" s="43"/>
      <c r="D428" s="51"/>
      <c r="E428" s="45"/>
      <c r="F428" s="45" t="s">
        <v>21</v>
      </c>
      <c r="G428" s="46" t="s">
        <v>22</v>
      </c>
      <c r="H428" s="47" t="s">
        <v>20</v>
      </c>
      <c r="I428" s="48"/>
      <c r="J428" s="48"/>
      <c r="K428" s="49"/>
      <c r="L428" s="50">
        <f t="shared" ref="L428:M428" ca="1" si="96">SUM(L429:L430)</f>
        <v>34340</v>
      </c>
      <c r="M428" s="53">
        <f t="shared" si="96"/>
        <v>0</v>
      </c>
      <c r="N428" s="53">
        <f t="shared" ca="1" si="95"/>
        <v>0</v>
      </c>
    </row>
    <row r="429" spans="1:14" ht="21.75" customHeight="1" x14ac:dyDescent="0.4">
      <c r="A429" s="42"/>
      <c r="B429" s="43"/>
      <c r="C429" s="43"/>
      <c r="D429" s="51"/>
      <c r="E429" s="45"/>
      <c r="F429" s="45"/>
      <c r="G429" s="52" t="s">
        <v>110</v>
      </c>
      <c r="H429" s="47" t="s">
        <v>20</v>
      </c>
      <c r="I429" s="48"/>
      <c r="J429" s="48"/>
      <c r="K429" s="49"/>
      <c r="L429" s="53">
        <f ca="1">IFERROR(__xludf.DUMMYFUNCTION("IMPORTRANGE(""https://docs.google.com/spreadsheets/d/1C3CXT74ZlgGe6_JY_1olB1XN4rF0dxEuIIF-xsYjHgg/edit?usp=sharing"",""งบกองทุน!dn34"")"),0)</f>
        <v>0</v>
      </c>
      <c r="M429" s="53">
        <v>0</v>
      </c>
      <c r="N429" s="53">
        <f t="shared" ca="1" si="95"/>
        <v>0</v>
      </c>
    </row>
    <row r="430" spans="1:14" ht="21.75" customHeight="1" x14ac:dyDescent="0.4">
      <c r="A430" s="42"/>
      <c r="B430" s="43"/>
      <c r="C430" s="43"/>
      <c r="D430" s="51"/>
      <c r="E430" s="45"/>
      <c r="F430" s="45"/>
      <c r="G430" s="52" t="s">
        <v>111</v>
      </c>
      <c r="H430" s="47" t="s">
        <v>20</v>
      </c>
      <c r="I430" s="48"/>
      <c r="J430" s="48"/>
      <c r="K430" s="49"/>
      <c r="L430" s="53">
        <f ca="1">IFERROR(__xludf.DUMMYFUNCTION("IMPORTRANGE(""https://docs.google.com/spreadsheets/d/1C3CXT74ZlgGe6_JY_1olB1XN4rF0dxEuIIF-xsYjHgg/edit?usp=sharing"",""งบกองทุน!do34"")"),34340)</f>
        <v>34340</v>
      </c>
      <c r="M430" s="53">
        <f>SUM(M431:M434)</f>
        <v>0</v>
      </c>
      <c r="N430" s="53">
        <f t="shared" ca="1" si="95"/>
        <v>0</v>
      </c>
    </row>
    <row r="431" spans="1:14" ht="21.75" customHeight="1" x14ac:dyDescent="0.4">
      <c r="A431" s="230"/>
      <c r="B431" s="231"/>
      <c r="C431" s="43"/>
      <c r="D431" s="232"/>
      <c r="E431" s="45"/>
      <c r="F431" s="45"/>
      <c r="G431" s="46" t="s">
        <v>112</v>
      </c>
      <c r="H431" s="47" t="s">
        <v>20</v>
      </c>
      <c r="I431" s="67"/>
      <c r="J431" s="67"/>
      <c r="K431" s="233"/>
      <c r="L431" s="53"/>
      <c r="M431" s="54">
        <v>0</v>
      </c>
      <c r="N431" s="53"/>
    </row>
    <row r="432" spans="1:14" ht="21.75" customHeight="1" x14ac:dyDescent="0.4">
      <c r="A432" s="230"/>
      <c r="B432" s="231"/>
      <c r="C432" s="43"/>
      <c r="D432" s="232"/>
      <c r="E432" s="45"/>
      <c r="F432" s="45"/>
      <c r="G432" s="46" t="s">
        <v>113</v>
      </c>
      <c r="H432" s="47" t="s">
        <v>20</v>
      </c>
      <c r="I432" s="67"/>
      <c r="J432" s="67"/>
      <c r="K432" s="233"/>
      <c r="L432" s="53"/>
      <c r="M432" s="54">
        <v>0</v>
      </c>
      <c r="N432" s="53"/>
    </row>
    <row r="433" spans="1:14" ht="21.75" customHeight="1" x14ac:dyDescent="0.4">
      <c r="A433" s="230"/>
      <c r="B433" s="231"/>
      <c r="C433" s="43"/>
      <c r="D433" s="232"/>
      <c r="E433" s="45"/>
      <c r="F433" s="45"/>
      <c r="G433" s="46" t="s">
        <v>114</v>
      </c>
      <c r="H433" s="47" t="s">
        <v>20</v>
      </c>
      <c r="I433" s="67"/>
      <c r="J433" s="67"/>
      <c r="K433" s="233"/>
      <c r="L433" s="53"/>
      <c r="M433" s="54">
        <v>0</v>
      </c>
      <c r="N433" s="53"/>
    </row>
    <row r="434" spans="1:14" ht="21.75" customHeight="1" x14ac:dyDescent="0.4">
      <c r="A434" s="230"/>
      <c r="B434" s="231"/>
      <c r="C434" s="43"/>
      <c r="D434" s="232"/>
      <c r="E434" s="45"/>
      <c r="F434" s="45"/>
      <c r="G434" s="46" t="s">
        <v>115</v>
      </c>
      <c r="H434" s="47" t="s">
        <v>20</v>
      </c>
      <c r="I434" s="67"/>
      <c r="J434" s="67"/>
      <c r="K434" s="233"/>
      <c r="L434" s="53"/>
      <c r="M434" s="54">
        <v>0</v>
      </c>
      <c r="N434" s="53"/>
    </row>
    <row r="435" spans="1:14" ht="21.75" customHeight="1" x14ac:dyDescent="0.4">
      <c r="A435" s="55"/>
      <c r="B435" s="56"/>
      <c r="C435" s="43" t="s">
        <v>17</v>
      </c>
      <c r="D435" s="57" t="s">
        <v>25</v>
      </c>
      <c r="E435" s="58"/>
      <c r="F435" s="58"/>
      <c r="G435" s="59"/>
      <c r="H435" s="60"/>
      <c r="I435" s="48"/>
      <c r="J435" s="48"/>
      <c r="K435" s="49"/>
      <c r="L435" s="61"/>
      <c r="M435" s="61"/>
      <c r="N435" s="61"/>
    </row>
    <row r="436" spans="1:14" ht="21.75" customHeight="1" x14ac:dyDescent="0.4">
      <c r="A436" s="55"/>
      <c r="B436" s="56"/>
      <c r="C436" s="56"/>
      <c r="D436" s="62">
        <v>1</v>
      </c>
      <c r="E436" s="63" t="s">
        <v>26</v>
      </c>
      <c r="F436" s="64"/>
      <c r="G436" s="65"/>
      <c r="H436" s="66"/>
      <c r="I436" s="67"/>
      <c r="J436" s="68">
        <v>0</v>
      </c>
      <c r="K436" s="49"/>
      <c r="L436" s="61"/>
      <c r="M436" s="61"/>
      <c r="N436" s="61"/>
    </row>
    <row r="437" spans="1:14" ht="21.75" customHeight="1" x14ac:dyDescent="0.4">
      <c r="A437" s="55"/>
      <c r="B437" s="56"/>
      <c r="C437" s="56"/>
      <c r="D437" s="69">
        <v>2</v>
      </c>
      <c r="E437" s="70" t="s">
        <v>27</v>
      </c>
      <c r="F437" s="71"/>
      <c r="G437" s="72"/>
      <c r="H437" s="66"/>
      <c r="I437" s="67"/>
      <c r="J437" s="68">
        <v>1</v>
      </c>
      <c r="K437" s="49"/>
      <c r="L437" s="61" t="s">
        <v>21</v>
      </c>
      <c r="M437" s="61" t="s">
        <v>21</v>
      </c>
      <c r="N437" s="61"/>
    </row>
    <row r="438" spans="1:14" ht="21.75" customHeight="1" x14ac:dyDescent="0.4">
      <c r="A438" s="55"/>
      <c r="B438" s="56"/>
      <c r="C438" s="56"/>
      <c r="D438" s="73"/>
      <c r="E438" s="74" t="s">
        <v>28</v>
      </c>
      <c r="F438" s="75"/>
      <c r="G438" s="76"/>
      <c r="H438" s="66"/>
      <c r="I438" s="67"/>
      <c r="J438" s="68">
        <v>1</v>
      </c>
      <c r="K438" s="49"/>
      <c r="L438" s="61"/>
      <c r="M438" s="61"/>
      <c r="N438" s="61"/>
    </row>
    <row r="439" spans="1:14" ht="21.75" customHeight="1" x14ac:dyDescent="0.4">
      <c r="A439" s="55"/>
      <c r="B439" s="56"/>
      <c r="C439" s="56"/>
      <c r="D439" s="73"/>
      <c r="E439" s="74" t="s">
        <v>29</v>
      </c>
      <c r="F439" s="75"/>
      <c r="G439" s="76"/>
      <c r="H439" s="66"/>
      <c r="I439" s="67"/>
      <c r="J439" s="68">
        <v>0</v>
      </c>
      <c r="K439" s="49"/>
      <c r="L439" s="61"/>
      <c r="M439" s="61"/>
      <c r="N439" s="61"/>
    </row>
    <row r="440" spans="1:14" ht="21.75" customHeight="1" x14ac:dyDescent="0.4">
      <c r="A440" s="55"/>
      <c r="B440" s="56"/>
      <c r="C440" s="56"/>
      <c r="D440" s="73"/>
      <c r="E440" s="77"/>
      <c r="F440" s="75"/>
      <c r="G440" s="99" t="s">
        <v>183</v>
      </c>
      <c r="H440" s="66" t="s">
        <v>16</v>
      </c>
      <c r="I440" s="200">
        <f ca="1">IFERROR(__xludf.DUMMYFUNCTION("IMPORTRANGE(""https://docs.google.com/spreadsheets/d/1C3CXT74ZlgGe6_JY_1olB1XN4rF0dxEuIIF-xsYjHgg/edit?usp=sharing"",""งบกองทุน!dq34"")"),22)</f>
        <v>22</v>
      </c>
      <c r="J440" s="68">
        <v>0</v>
      </c>
      <c r="K440" s="49">
        <f t="shared" ref="K440:K441" ca="1" si="97">IF(I440&gt;0,J440*100/I440,0)</f>
        <v>0</v>
      </c>
      <c r="L440" s="61"/>
      <c r="M440" s="61"/>
      <c r="N440" s="61"/>
    </row>
    <row r="441" spans="1:14" ht="21.75" hidden="1" customHeight="1" x14ac:dyDescent="0.4">
      <c r="A441" s="55"/>
      <c r="B441" s="56"/>
      <c r="C441" s="56"/>
      <c r="D441" s="73"/>
      <c r="E441" s="77"/>
      <c r="F441" s="75"/>
      <c r="G441" s="99" t="s">
        <v>184</v>
      </c>
      <c r="H441" s="66" t="s">
        <v>16</v>
      </c>
      <c r="I441" s="200">
        <f ca="1">IFERROR(__xludf.DUMMYFUNCTION("IMPORTRANGE(""https://docs.google.com/spreadsheets/d/1C3CXT74ZlgGe6_JY_1olB1XN4rF0dxEuIIF-xsYjHgg/edit?usp=sharing"",""งบกองทุน!dr34"")"),22)</f>
        <v>22</v>
      </c>
      <c r="J441" s="68">
        <v>0</v>
      </c>
      <c r="K441" s="49">
        <f t="shared" ca="1" si="97"/>
        <v>0</v>
      </c>
      <c r="L441" s="61"/>
      <c r="M441" s="61"/>
      <c r="N441" s="61"/>
    </row>
    <row r="442" spans="1:14" ht="21.75" customHeight="1" x14ac:dyDescent="0.4">
      <c r="A442" s="55"/>
      <c r="B442" s="56"/>
      <c r="C442" s="56"/>
      <c r="D442" s="73"/>
      <c r="E442" s="74" t="s">
        <v>35</v>
      </c>
      <c r="F442" s="75"/>
      <c r="G442" s="76"/>
      <c r="H442" s="66"/>
      <c r="I442" s="67"/>
      <c r="J442" s="68">
        <v>0</v>
      </c>
      <c r="K442" s="49"/>
      <c r="L442" s="61"/>
      <c r="M442" s="61"/>
      <c r="N442" s="61"/>
    </row>
    <row r="443" spans="1:14" ht="21.75" customHeight="1" x14ac:dyDescent="0.4">
      <c r="A443" s="292"/>
      <c r="B443" s="293"/>
      <c r="C443" s="293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309"/>
      <c r="L443" s="300"/>
      <c r="M443" s="300"/>
      <c r="N443" s="300"/>
    </row>
    <row r="444" spans="1:14" ht="21.75" customHeight="1" x14ac:dyDescent="0.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8">SUM(I453,I455)</f>
        <v>0</v>
      </c>
      <c r="J444" s="257">
        <f t="shared" si="98"/>
        <v>0</v>
      </c>
      <c r="K444" s="258">
        <f ca="1">IF(I444&gt;0,J444*100/I444,0)</f>
        <v>0</v>
      </c>
      <c r="L444" s="259">
        <f t="shared" ref="L444:M444" ca="1" si="99">SUM(L445:L446)</f>
        <v>0</v>
      </c>
      <c r="M444" s="259">
        <f t="shared" si="99"/>
        <v>0</v>
      </c>
      <c r="N444" s="259">
        <f t="shared" ref="N444:N448" ca="1" si="100">+IF(L444&gt;0,M444*100/L444,0)</f>
        <v>0</v>
      </c>
    </row>
    <row r="445" spans="1:14" ht="21.75" customHeight="1" x14ac:dyDescent="0.4">
      <c r="A445" s="42"/>
      <c r="B445" s="43"/>
      <c r="C445" s="43" t="s">
        <v>17</v>
      </c>
      <c r="D445" s="44" t="s">
        <v>18</v>
      </c>
      <c r="E445" s="45"/>
      <c r="F445" s="45"/>
      <c r="G445" s="46" t="s">
        <v>19</v>
      </c>
      <c r="H445" s="47" t="s">
        <v>20</v>
      </c>
      <c r="I445" s="67" t="s">
        <v>21</v>
      </c>
      <c r="J445" s="67"/>
      <c r="K445" s="233"/>
      <c r="L445" s="50">
        <v>0</v>
      </c>
      <c r="M445" s="53">
        <v>0</v>
      </c>
      <c r="N445" s="53">
        <f t="shared" si="100"/>
        <v>0</v>
      </c>
    </row>
    <row r="446" spans="1:14" ht="21.75" customHeight="1" x14ac:dyDescent="0.4">
      <c r="A446" s="42"/>
      <c r="B446" s="43"/>
      <c r="C446" s="43"/>
      <c r="D446" s="51"/>
      <c r="E446" s="45"/>
      <c r="F446" s="45" t="s">
        <v>21</v>
      </c>
      <c r="G446" s="46" t="s">
        <v>22</v>
      </c>
      <c r="H446" s="47" t="s">
        <v>20</v>
      </c>
      <c r="I446" s="67"/>
      <c r="J446" s="67"/>
      <c r="K446" s="233"/>
      <c r="L446" s="50">
        <f t="shared" ref="L446:M446" ca="1" si="101">SUM(L447:L448)</f>
        <v>0</v>
      </c>
      <c r="M446" s="53">
        <f t="shared" si="101"/>
        <v>0</v>
      </c>
      <c r="N446" s="53">
        <f t="shared" ca="1" si="100"/>
        <v>0</v>
      </c>
    </row>
    <row r="447" spans="1:14" ht="21.75" customHeight="1" x14ac:dyDescent="0.4">
      <c r="A447" s="42"/>
      <c r="B447" s="43"/>
      <c r="C447" s="43"/>
      <c r="D447" s="51"/>
      <c r="E447" s="45"/>
      <c r="F447" s="45"/>
      <c r="G447" s="52" t="s">
        <v>110</v>
      </c>
      <c r="H447" s="47" t="s">
        <v>20</v>
      </c>
      <c r="I447" s="67"/>
      <c r="J447" s="67"/>
      <c r="K447" s="233"/>
      <c r="L447" s="53">
        <f ca="1">IFERROR(__xludf.DUMMYFUNCTION("IMPORTRANGE(""https://docs.google.com/spreadsheets/d/1C3CXT74ZlgGe6_JY_1olB1XN4rF0dxEuIIF-xsYjHgg/edit?usp=sharing"",""งบกองทุน!dt34"")"),0)</f>
        <v>0</v>
      </c>
      <c r="M447" s="53">
        <v>0</v>
      </c>
      <c r="N447" s="53">
        <f t="shared" ca="1" si="100"/>
        <v>0</v>
      </c>
    </row>
    <row r="448" spans="1:14" ht="21.75" customHeight="1" x14ac:dyDescent="0.4">
      <c r="A448" s="42"/>
      <c r="B448" s="43"/>
      <c r="C448" s="43"/>
      <c r="D448" s="51"/>
      <c r="E448" s="45"/>
      <c r="F448" s="45"/>
      <c r="G448" s="52" t="s">
        <v>111</v>
      </c>
      <c r="H448" s="47" t="s">
        <v>20</v>
      </c>
      <c r="I448" s="67"/>
      <c r="J448" s="67"/>
      <c r="K448" s="233"/>
      <c r="L448" s="53">
        <f ca="1">IFERROR(__xludf.DUMMYFUNCTION("IMPORTRANGE(""https://docs.google.com/spreadsheets/d/1C3CXT74ZlgGe6_JY_1olB1XN4rF0dxEuIIF-xsYjHgg/edit?usp=sharing"",""งบกองทุน!du34"")"),0)</f>
        <v>0</v>
      </c>
      <c r="M448" s="53">
        <f>SUM(M449:M452)</f>
        <v>0</v>
      </c>
      <c r="N448" s="53">
        <f t="shared" ca="1" si="100"/>
        <v>0</v>
      </c>
    </row>
    <row r="449" spans="1:14" ht="21.75" customHeight="1" x14ac:dyDescent="0.4">
      <c r="A449" s="230"/>
      <c r="B449" s="231"/>
      <c r="C449" s="43"/>
      <c r="D449" s="232"/>
      <c r="E449" s="45"/>
      <c r="F449" s="45"/>
      <c r="G449" s="46" t="s">
        <v>112</v>
      </c>
      <c r="H449" s="47" t="s">
        <v>20</v>
      </c>
      <c r="I449" s="67"/>
      <c r="J449" s="67"/>
      <c r="K449" s="233"/>
      <c r="L449" s="53"/>
      <c r="M449" s="53">
        <v>0</v>
      </c>
      <c r="N449" s="53"/>
    </row>
    <row r="450" spans="1:14" ht="21.75" customHeight="1" x14ac:dyDescent="0.4">
      <c r="A450" s="230"/>
      <c r="B450" s="231"/>
      <c r="C450" s="43"/>
      <c r="D450" s="232"/>
      <c r="E450" s="45"/>
      <c r="F450" s="45"/>
      <c r="G450" s="46" t="s">
        <v>113</v>
      </c>
      <c r="H450" s="47" t="s">
        <v>20</v>
      </c>
      <c r="I450" s="67"/>
      <c r="J450" s="67"/>
      <c r="K450" s="233"/>
      <c r="L450" s="53"/>
      <c r="M450" s="53">
        <v>0</v>
      </c>
      <c r="N450" s="53"/>
    </row>
    <row r="451" spans="1:14" ht="21.75" customHeight="1" x14ac:dyDescent="0.4">
      <c r="A451" s="230"/>
      <c r="B451" s="231"/>
      <c r="C451" s="43"/>
      <c r="D451" s="232"/>
      <c r="E451" s="45"/>
      <c r="F451" s="45"/>
      <c r="G451" s="46" t="s">
        <v>114</v>
      </c>
      <c r="H451" s="47" t="s">
        <v>20</v>
      </c>
      <c r="I451" s="67"/>
      <c r="J451" s="67"/>
      <c r="K451" s="233"/>
      <c r="L451" s="53"/>
      <c r="M451" s="53">
        <v>0</v>
      </c>
      <c r="N451" s="53"/>
    </row>
    <row r="452" spans="1:14" ht="21.75" customHeight="1" x14ac:dyDescent="0.4">
      <c r="A452" s="230"/>
      <c r="B452" s="231"/>
      <c r="C452" s="43"/>
      <c r="D452" s="232"/>
      <c r="E452" s="45"/>
      <c r="F452" s="45"/>
      <c r="G452" s="46" t="s">
        <v>115</v>
      </c>
      <c r="H452" s="47" t="s">
        <v>20</v>
      </c>
      <c r="I452" s="67"/>
      <c r="J452" s="67"/>
      <c r="K452" s="233"/>
      <c r="L452" s="53"/>
      <c r="M452" s="53">
        <v>0</v>
      </c>
      <c r="N452" s="53"/>
    </row>
    <row r="453" spans="1:14" ht="21.75" customHeight="1" x14ac:dyDescent="0.4">
      <c r="A453" s="55"/>
      <c r="B453" s="56"/>
      <c r="C453" s="56"/>
      <c r="D453" s="73"/>
      <c r="E453" s="75"/>
      <c r="F453" s="75" t="s">
        <v>186</v>
      </c>
      <c r="G453" s="76"/>
      <c r="H453" s="315" t="s">
        <v>103</v>
      </c>
      <c r="I453" s="67">
        <f ca="1">IFERROR(__xludf.DUMMYFUNCTION("IMPORTRANGE(""https://docs.google.com/spreadsheets/d/1C3CXT74ZlgGe6_JY_1olB1XN4rF0dxEuIIF-xsYjHgg/edit?usp=sharing"",""งบกองทุน!dw34"")"),0)</f>
        <v>0</v>
      </c>
      <c r="J453" s="67">
        <v>0</v>
      </c>
      <c r="K453" s="233">
        <f t="shared" ref="K453:K457" ca="1" si="102">IF(I453&gt;0,J453*100/I453,0)</f>
        <v>0</v>
      </c>
      <c r="L453" s="53"/>
      <c r="M453" s="53"/>
      <c r="N453" s="53"/>
    </row>
    <row r="454" spans="1:14" ht="21.75" customHeight="1" x14ac:dyDescent="0.4">
      <c r="A454" s="55"/>
      <c r="B454" s="56"/>
      <c r="C454" s="56"/>
      <c r="D454" s="73"/>
      <c r="E454" s="75"/>
      <c r="F454" s="75"/>
      <c r="G454" s="76"/>
      <c r="H454" s="315" t="s">
        <v>15</v>
      </c>
      <c r="I454" s="67">
        <f ca="1">IFERROR(__xludf.DUMMYFUNCTION("IMPORTRANGE(""https://docs.google.com/spreadsheets/d/1C3CXT74ZlgGe6_JY_1olB1XN4rF0dxEuIIF-xsYjHgg/edit?usp=sharing"",""งบกองทุน!dx34"")"),0)</f>
        <v>0</v>
      </c>
      <c r="J454" s="67">
        <v>0</v>
      </c>
      <c r="K454" s="233">
        <f t="shared" ca="1" si="102"/>
        <v>0</v>
      </c>
      <c r="L454" s="53"/>
      <c r="M454" s="53"/>
      <c r="N454" s="53"/>
    </row>
    <row r="455" spans="1:14" ht="21.75" customHeight="1" x14ac:dyDescent="0.4">
      <c r="A455" s="55"/>
      <c r="B455" s="56"/>
      <c r="C455" s="56"/>
      <c r="D455" s="73"/>
      <c r="E455" s="75"/>
      <c r="F455" s="75" t="s">
        <v>187</v>
      </c>
      <c r="G455" s="76"/>
      <c r="H455" s="315" t="s">
        <v>103</v>
      </c>
      <c r="I455" s="67">
        <f ca="1">IFERROR(__xludf.DUMMYFUNCTION("IMPORTRANGE(""https://docs.google.com/spreadsheets/d/1C3CXT74ZlgGe6_JY_1olB1XN4rF0dxEuIIF-xsYjHgg/edit?usp=sharing"",""งบกองทุน!dy34"")"),0)</f>
        <v>0</v>
      </c>
      <c r="J455" s="67">
        <v>0</v>
      </c>
      <c r="K455" s="233">
        <f t="shared" ca="1" si="102"/>
        <v>0</v>
      </c>
      <c r="L455" s="53"/>
      <c r="M455" s="53"/>
      <c r="N455" s="53"/>
    </row>
    <row r="456" spans="1:14" ht="21.75" customHeight="1" x14ac:dyDescent="0.4">
      <c r="A456" s="55"/>
      <c r="B456" s="56"/>
      <c r="C456" s="56"/>
      <c r="D456" s="73"/>
      <c r="E456" s="75"/>
      <c r="F456" s="75"/>
      <c r="G456" s="76"/>
      <c r="H456" s="315" t="s">
        <v>15</v>
      </c>
      <c r="I456" s="67">
        <f ca="1">IFERROR(__xludf.DUMMYFUNCTION("IMPORTRANGE(""https://docs.google.com/spreadsheets/d/1C3CXT74ZlgGe6_JY_1olB1XN4rF0dxEuIIF-xsYjHgg/edit?usp=sharing"",""งบกองทุน!dz34"")"),0)</f>
        <v>0</v>
      </c>
      <c r="J456" s="67">
        <v>0</v>
      </c>
      <c r="K456" s="233">
        <f t="shared" ca="1" si="102"/>
        <v>0</v>
      </c>
      <c r="L456" s="53"/>
      <c r="M456" s="53"/>
      <c r="N456" s="53"/>
    </row>
    <row r="457" spans="1:14" ht="21.75" customHeight="1" x14ac:dyDescent="0.4">
      <c r="A457" s="222"/>
      <c r="B457" s="223">
        <v>8</v>
      </c>
      <c r="C457" s="224" t="s">
        <v>188</v>
      </c>
      <c r="D457" s="224"/>
      <c r="E457" s="224"/>
      <c r="F457" s="224"/>
      <c r="G457" s="225"/>
      <c r="H457" s="226" t="s">
        <v>16</v>
      </c>
      <c r="I457" s="227">
        <f ca="1">I466</f>
        <v>2100</v>
      </c>
      <c r="J457" s="227">
        <f>+J466</f>
        <v>380</v>
      </c>
      <c r="K457" s="228">
        <f t="shared" ca="1" si="102"/>
        <v>18.095238095238095</v>
      </c>
      <c r="L457" s="229">
        <f t="shared" ref="L457:M457" ca="1" si="103">SUM(L458:L459)</f>
        <v>142240</v>
      </c>
      <c r="M457" s="229">
        <f t="shared" si="103"/>
        <v>0</v>
      </c>
      <c r="N457" s="229">
        <f t="shared" ref="N457:N461" ca="1" si="104">+IF(L457&gt;0,M457*100/L457,0)</f>
        <v>0</v>
      </c>
    </row>
    <row r="458" spans="1:14" ht="21.75" customHeight="1" x14ac:dyDescent="0.4">
      <c r="A458" s="42"/>
      <c r="B458" s="43"/>
      <c r="C458" s="43" t="s">
        <v>17</v>
      </c>
      <c r="D458" s="44" t="s">
        <v>18</v>
      </c>
      <c r="E458" s="45"/>
      <c r="F458" s="45"/>
      <c r="G458" s="46" t="s">
        <v>19</v>
      </c>
      <c r="H458" s="47" t="s">
        <v>20</v>
      </c>
      <c r="I458" s="48" t="s">
        <v>21</v>
      </c>
      <c r="J458" s="48"/>
      <c r="K458" s="49"/>
      <c r="L458" s="50">
        <v>0</v>
      </c>
      <c r="M458" s="53">
        <v>0</v>
      </c>
      <c r="N458" s="53">
        <f t="shared" si="104"/>
        <v>0</v>
      </c>
    </row>
    <row r="459" spans="1:14" ht="21.75" customHeight="1" x14ac:dyDescent="0.4">
      <c r="A459" s="42"/>
      <c r="B459" s="43"/>
      <c r="C459" s="43"/>
      <c r="D459" s="51"/>
      <c r="E459" s="45"/>
      <c r="F459" s="45" t="s">
        <v>21</v>
      </c>
      <c r="G459" s="46" t="s">
        <v>22</v>
      </c>
      <c r="H459" s="47" t="s">
        <v>20</v>
      </c>
      <c r="I459" s="48"/>
      <c r="J459" s="48"/>
      <c r="K459" s="49"/>
      <c r="L459" s="50">
        <f t="shared" ref="L459:M459" ca="1" si="105">SUM(L460:L461)</f>
        <v>142240</v>
      </c>
      <c r="M459" s="53">
        <f t="shared" si="105"/>
        <v>0</v>
      </c>
      <c r="N459" s="53">
        <f t="shared" ca="1" si="104"/>
        <v>0</v>
      </c>
    </row>
    <row r="460" spans="1:14" ht="21.75" customHeight="1" x14ac:dyDescent="0.4">
      <c r="A460" s="42"/>
      <c r="B460" s="43"/>
      <c r="C460" s="43"/>
      <c r="D460" s="51"/>
      <c r="E460" s="45"/>
      <c r="F460" s="45"/>
      <c r="G460" s="52" t="s">
        <v>110</v>
      </c>
      <c r="H460" s="47" t="s">
        <v>20</v>
      </c>
      <c r="I460" s="48"/>
      <c r="J460" s="48"/>
      <c r="K460" s="49"/>
      <c r="L460" s="53">
        <f ca="1">IFERROR(__xludf.DUMMYFUNCTION("IMPORTRANGE(""https://docs.google.com/spreadsheets/d/1C3CXT74ZlgGe6_JY_1olB1XN4rF0dxEuIIF-xsYjHgg/edit?usp=sharing"",""งบกองทุน!Eb34"")"),0)</f>
        <v>0</v>
      </c>
      <c r="M460" s="53">
        <v>0</v>
      </c>
      <c r="N460" s="53">
        <f t="shared" ca="1" si="104"/>
        <v>0</v>
      </c>
    </row>
    <row r="461" spans="1:14" ht="21.75" customHeight="1" x14ac:dyDescent="0.4">
      <c r="A461" s="42"/>
      <c r="B461" s="43"/>
      <c r="C461" s="43"/>
      <c r="D461" s="51"/>
      <c r="E461" s="45"/>
      <c r="F461" s="45"/>
      <c r="G461" s="52" t="s">
        <v>111</v>
      </c>
      <c r="H461" s="47" t="s">
        <v>20</v>
      </c>
      <c r="I461" s="48"/>
      <c r="J461" s="48"/>
      <c r="K461" s="49"/>
      <c r="L461" s="53">
        <f ca="1">IFERROR(__xludf.DUMMYFUNCTION("IMPORTRANGE(""https://docs.google.com/spreadsheets/d/1C3CXT74ZlgGe6_JY_1olB1XN4rF0dxEuIIF-xsYjHgg/edit?usp=sharing"",""งบกองทุน!Ec34"")"),142240)</f>
        <v>142240</v>
      </c>
      <c r="M461" s="53">
        <f>SUM(M462:M465)</f>
        <v>0</v>
      </c>
      <c r="N461" s="53">
        <f t="shared" ca="1" si="104"/>
        <v>0</v>
      </c>
    </row>
    <row r="462" spans="1:14" ht="21.75" customHeight="1" x14ac:dyDescent="0.4">
      <c r="A462" s="230"/>
      <c r="B462" s="231"/>
      <c r="C462" s="43"/>
      <c r="D462" s="232"/>
      <c r="E462" s="45"/>
      <c r="F462" s="45"/>
      <c r="G462" s="46" t="s">
        <v>112</v>
      </c>
      <c r="H462" s="47" t="s">
        <v>20</v>
      </c>
      <c r="I462" s="67"/>
      <c r="J462" s="67"/>
      <c r="K462" s="233"/>
      <c r="L462" s="53"/>
      <c r="M462" s="53">
        <v>0</v>
      </c>
      <c r="N462" s="53"/>
    </row>
    <row r="463" spans="1:14" ht="21.75" customHeight="1" x14ac:dyDescent="0.4">
      <c r="A463" s="230"/>
      <c r="B463" s="231"/>
      <c r="C463" s="43"/>
      <c r="D463" s="232"/>
      <c r="E463" s="45"/>
      <c r="F463" s="45"/>
      <c r="G463" s="46" t="s">
        <v>113</v>
      </c>
      <c r="H463" s="47" t="s">
        <v>20</v>
      </c>
      <c r="I463" s="67"/>
      <c r="J463" s="67"/>
      <c r="K463" s="233"/>
      <c r="L463" s="53"/>
      <c r="M463" s="53">
        <v>0</v>
      </c>
      <c r="N463" s="53"/>
    </row>
    <row r="464" spans="1:14" ht="21.75" customHeight="1" x14ac:dyDescent="0.4">
      <c r="A464" s="230"/>
      <c r="B464" s="231"/>
      <c r="C464" s="43"/>
      <c r="D464" s="232"/>
      <c r="E464" s="45"/>
      <c r="F464" s="45"/>
      <c r="G464" s="46" t="s">
        <v>114</v>
      </c>
      <c r="H464" s="47" t="s">
        <v>20</v>
      </c>
      <c r="I464" s="67"/>
      <c r="J464" s="67"/>
      <c r="K464" s="233"/>
      <c r="L464" s="53"/>
      <c r="M464" s="54">
        <v>0</v>
      </c>
      <c r="N464" s="53"/>
    </row>
    <row r="465" spans="1:14" ht="21.75" customHeight="1" x14ac:dyDescent="0.4">
      <c r="A465" s="230"/>
      <c r="B465" s="231"/>
      <c r="C465" s="43"/>
      <c r="D465" s="232"/>
      <c r="E465" s="45"/>
      <c r="F465" s="45"/>
      <c r="G465" s="46" t="s">
        <v>115</v>
      </c>
      <c r="H465" s="47" t="s">
        <v>20</v>
      </c>
      <c r="I465" s="67"/>
      <c r="J465" s="67"/>
      <c r="K465" s="233"/>
      <c r="L465" s="53"/>
      <c r="M465" s="54">
        <v>0</v>
      </c>
      <c r="N465" s="53"/>
    </row>
    <row r="466" spans="1:14" ht="21.75" customHeight="1" x14ac:dyDescent="0.4">
      <c r="A466" s="55"/>
      <c r="B466" s="56"/>
      <c r="C466" s="56"/>
      <c r="D466" s="75"/>
      <c r="E466" s="74" t="s">
        <v>21</v>
      </c>
      <c r="F466" s="260" t="s">
        <v>189</v>
      </c>
      <c r="G466" s="240"/>
      <c r="H466" s="314" t="s">
        <v>16</v>
      </c>
      <c r="I466" s="265">
        <f ca="1">IFERROR(__xludf.DUMMYFUNCTION("IMPORTRANGE(""https://docs.google.com/spreadsheets/d/1C3CXT74ZlgGe6_JY_1olB1XN4rF0dxEuIIF-xsYjHgg/edit?usp=sharing"",""งบกองทุน!Ed34"")"),2100)</f>
        <v>2100</v>
      </c>
      <c r="J466" s="265">
        <f>+J469+J470+J471+J472</f>
        <v>380</v>
      </c>
      <c r="K466" s="80">
        <f ca="1">IF(I466&gt;0,J466*100/I466,0)</f>
        <v>18.095238095238095</v>
      </c>
      <c r="L466" s="61"/>
      <c r="M466" s="61"/>
      <c r="N466" s="61"/>
    </row>
    <row r="467" spans="1:14" ht="21.75" customHeight="1" x14ac:dyDescent="0.4">
      <c r="A467" s="55"/>
      <c r="B467" s="56"/>
      <c r="C467" s="56"/>
      <c r="D467" s="75"/>
      <c r="E467" s="75"/>
      <c r="F467" s="74" t="s">
        <v>190</v>
      </c>
      <c r="G467" s="76"/>
      <c r="H467" s="315"/>
      <c r="I467" s="48"/>
      <c r="J467" s="48"/>
      <c r="K467" s="49"/>
      <c r="L467" s="61"/>
      <c r="M467" s="61"/>
      <c r="N467" s="61"/>
    </row>
    <row r="468" spans="1:14" ht="21.75" customHeight="1" x14ac:dyDescent="0.4">
      <c r="A468" s="55"/>
      <c r="B468" s="56"/>
      <c r="C468" s="56"/>
      <c r="D468" s="75"/>
      <c r="E468" s="74" t="s">
        <v>21</v>
      </c>
      <c r="F468" s="74" t="s">
        <v>191</v>
      </c>
      <c r="G468" s="76"/>
      <c r="H468" s="315" t="s">
        <v>57</v>
      </c>
      <c r="I468" s="48">
        <v>0</v>
      </c>
      <c r="J468" s="68">
        <v>0</v>
      </c>
      <c r="K468" s="49">
        <f t="shared" ref="K468:K472" si="106">IF(I468&gt;0,J468*100/I468,0)</f>
        <v>0</v>
      </c>
      <c r="L468" s="61"/>
      <c r="M468" s="61"/>
      <c r="N468" s="61"/>
    </row>
    <row r="469" spans="1:14" ht="21.75" customHeight="1" x14ac:dyDescent="0.4">
      <c r="A469" s="55"/>
      <c r="B469" s="56"/>
      <c r="C469" s="56"/>
      <c r="D469" s="75"/>
      <c r="E469" s="75"/>
      <c r="F469" s="74" t="s">
        <v>192</v>
      </c>
      <c r="G469" s="76"/>
      <c r="H469" s="315" t="s">
        <v>16</v>
      </c>
      <c r="I469" s="48">
        <v>0</v>
      </c>
      <c r="J469" s="68">
        <v>0</v>
      </c>
      <c r="K469" s="49">
        <f t="shared" si="106"/>
        <v>0</v>
      </c>
      <c r="L469" s="61"/>
      <c r="M469" s="61"/>
      <c r="N469" s="61"/>
    </row>
    <row r="470" spans="1:14" ht="21.75" customHeight="1" x14ac:dyDescent="0.4">
      <c r="A470" s="55"/>
      <c r="B470" s="56"/>
      <c r="C470" s="56"/>
      <c r="D470" s="75"/>
      <c r="E470" s="75"/>
      <c r="F470" s="74" t="s">
        <v>193</v>
      </c>
      <c r="G470" s="76"/>
      <c r="H470" s="315" t="s">
        <v>16</v>
      </c>
      <c r="I470" s="48">
        <v>0</v>
      </c>
      <c r="J470" s="68">
        <v>380</v>
      </c>
      <c r="K470" s="49">
        <f t="shared" si="106"/>
        <v>0</v>
      </c>
      <c r="L470" s="61"/>
      <c r="M470" s="61"/>
      <c r="N470" s="61"/>
    </row>
    <row r="471" spans="1:14" ht="21.75" customHeight="1" x14ac:dyDescent="0.4">
      <c r="A471" s="55"/>
      <c r="B471" s="56"/>
      <c r="C471" s="56"/>
      <c r="D471" s="75"/>
      <c r="E471" s="75"/>
      <c r="F471" s="74" t="s">
        <v>194</v>
      </c>
      <c r="G471" s="266"/>
      <c r="H471" s="315" t="s">
        <v>16</v>
      </c>
      <c r="I471" s="48">
        <v>0</v>
      </c>
      <c r="J471" s="68">
        <v>0</v>
      </c>
      <c r="K471" s="49">
        <f t="shared" si="106"/>
        <v>0</v>
      </c>
      <c r="L471" s="61"/>
      <c r="M471" s="61"/>
      <c r="N471" s="61"/>
    </row>
    <row r="472" spans="1:14" ht="21.75" customHeight="1" x14ac:dyDescent="0.4">
      <c r="A472" s="55"/>
      <c r="B472" s="56"/>
      <c r="C472" s="56"/>
      <c r="D472" s="75"/>
      <c r="E472" s="75"/>
      <c r="F472" s="74" t="s">
        <v>195</v>
      </c>
      <c r="G472" s="266"/>
      <c r="H472" s="315" t="s">
        <v>16</v>
      </c>
      <c r="I472" s="48">
        <v>0</v>
      </c>
      <c r="J472" s="68">
        <v>0</v>
      </c>
      <c r="K472" s="49">
        <f t="shared" si="106"/>
        <v>0</v>
      </c>
      <c r="L472" s="61"/>
      <c r="M472" s="61"/>
      <c r="N472" s="61"/>
    </row>
    <row r="473" spans="1:14" ht="21.75" customHeight="1" x14ac:dyDescent="0.4">
      <c r="A473" s="222"/>
      <c r="B473" s="223">
        <v>9</v>
      </c>
      <c r="C473" s="224" t="s">
        <v>196</v>
      </c>
      <c r="D473" s="224"/>
      <c r="E473" s="224"/>
      <c r="F473" s="224"/>
      <c r="G473" s="225"/>
      <c r="H473" s="226" t="s">
        <v>16</v>
      </c>
      <c r="I473" s="227">
        <f ca="1">I484</f>
        <v>90</v>
      </c>
      <c r="J473" s="227">
        <f ca="1">J488</f>
        <v>0</v>
      </c>
      <c r="K473" s="228">
        <f ca="1">IF(I473&gt;0,J473*100/I473,0)</f>
        <v>0</v>
      </c>
      <c r="L473" s="229">
        <f ca="1">SUM(L474,L475)</f>
        <v>296190</v>
      </c>
      <c r="M473" s="229">
        <f>SUM(M474:M475)</f>
        <v>0</v>
      </c>
      <c r="N473" s="229">
        <f t="shared" ref="N473:N477" ca="1" si="107">+IF(L473&gt;0,M473*100/L473,0)</f>
        <v>0</v>
      </c>
    </row>
    <row r="474" spans="1:14" ht="21.75" customHeight="1" x14ac:dyDescent="0.4">
      <c r="A474" s="42"/>
      <c r="B474" s="43"/>
      <c r="C474" s="43" t="s">
        <v>17</v>
      </c>
      <c r="D474" s="44" t="s">
        <v>18</v>
      </c>
      <c r="E474" s="45"/>
      <c r="F474" s="45"/>
      <c r="G474" s="46" t="s">
        <v>19</v>
      </c>
      <c r="H474" s="47" t="s">
        <v>20</v>
      </c>
      <c r="I474" s="48" t="s">
        <v>21</v>
      </c>
      <c r="J474" s="48"/>
      <c r="K474" s="49"/>
      <c r="L474" s="50">
        <v>0</v>
      </c>
      <c r="M474" s="53">
        <v>0</v>
      </c>
      <c r="N474" s="53">
        <f t="shared" si="107"/>
        <v>0</v>
      </c>
    </row>
    <row r="475" spans="1:14" ht="21.75" customHeight="1" x14ac:dyDescent="0.4">
      <c r="A475" s="42"/>
      <c r="B475" s="43"/>
      <c r="C475" s="43"/>
      <c r="D475" s="51"/>
      <c r="E475" s="45"/>
      <c r="F475" s="45" t="s">
        <v>21</v>
      </c>
      <c r="G475" s="46" t="s">
        <v>22</v>
      </c>
      <c r="H475" s="47" t="s">
        <v>20</v>
      </c>
      <c r="I475" s="48"/>
      <c r="J475" s="48"/>
      <c r="K475" s="49"/>
      <c r="L475" s="50">
        <f t="shared" ref="L475:M475" ca="1" si="108">SUM(L476:L477)</f>
        <v>296190</v>
      </c>
      <c r="M475" s="53">
        <f t="shared" si="108"/>
        <v>0</v>
      </c>
      <c r="N475" s="53">
        <f t="shared" ca="1" si="107"/>
        <v>0</v>
      </c>
    </row>
    <row r="476" spans="1:14" ht="21.75" customHeight="1" x14ac:dyDescent="0.4">
      <c r="A476" s="42"/>
      <c r="B476" s="43"/>
      <c r="C476" s="43"/>
      <c r="D476" s="51"/>
      <c r="E476" s="45"/>
      <c r="F476" s="45"/>
      <c r="G476" s="52" t="s">
        <v>110</v>
      </c>
      <c r="H476" s="47" t="s">
        <v>20</v>
      </c>
      <c r="I476" s="48"/>
      <c r="J476" s="48"/>
      <c r="K476" s="49"/>
      <c r="L476" s="53">
        <f ca="1">IFERROR(__xludf.DUMMYFUNCTION("IMPORTRANGE(""https://docs.google.com/spreadsheets/d/1C3CXT74ZlgGe6_JY_1olB1XN4rF0dxEuIIF-xsYjHgg/edit?usp=sharing"",""งบกองทุน!Ek34"")"),0)</f>
        <v>0</v>
      </c>
      <c r="M476" s="53">
        <v>0</v>
      </c>
      <c r="N476" s="53">
        <f t="shared" ca="1" si="107"/>
        <v>0</v>
      </c>
    </row>
    <row r="477" spans="1:14" ht="21.75" customHeight="1" x14ac:dyDescent="0.4">
      <c r="A477" s="42"/>
      <c r="B477" s="43"/>
      <c r="C477" s="43"/>
      <c r="D477" s="51"/>
      <c r="E477" s="45"/>
      <c r="F477" s="45"/>
      <c r="G477" s="52" t="s">
        <v>111</v>
      </c>
      <c r="H477" s="47" t="s">
        <v>20</v>
      </c>
      <c r="I477" s="48"/>
      <c r="J477" s="48"/>
      <c r="K477" s="49"/>
      <c r="L477" s="53">
        <f ca="1">IFERROR(__xludf.DUMMYFUNCTION("IMPORTRANGE(""https://docs.google.com/spreadsheets/d/1C3CXT74ZlgGe6_JY_1olB1XN4rF0dxEuIIF-xsYjHgg/edit?usp=sharing"",""งบกองทุน!El34"")"),296190)</f>
        <v>296190</v>
      </c>
      <c r="M477" s="53">
        <f>SUM(M478:M481)</f>
        <v>0</v>
      </c>
      <c r="N477" s="53">
        <f t="shared" ca="1" si="107"/>
        <v>0</v>
      </c>
    </row>
    <row r="478" spans="1:14" ht="21.75" customHeight="1" x14ac:dyDescent="0.4">
      <c r="A478" s="230"/>
      <c r="B478" s="231"/>
      <c r="C478" s="43"/>
      <c r="D478" s="232"/>
      <c r="E478" s="45"/>
      <c r="F478" s="45"/>
      <c r="G478" s="46" t="s">
        <v>112</v>
      </c>
      <c r="H478" s="47" t="s">
        <v>20</v>
      </c>
      <c r="I478" s="67"/>
      <c r="J478" s="67"/>
      <c r="K478" s="233"/>
      <c r="L478" s="53"/>
      <c r="M478" s="53">
        <v>0</v>
      </c>
      <c r="N478" s="53"/>
    </row>
    <row r="479" spans="1:14" ht="21.75" customHeight="1" x14ac:dyDescent="0.4">
      <c r="A479" s="230"/>
      <c r="B479" s="231"/>
      <c r="C479" s="43"/>
      <c r="D479" s="232"/>
      <c r="E479" s="45"/>
      <c r="F479" s="45"/>
      <c r="G479" s="46" t="s">
        <v>113</v>
      </c>
      <c r="H479" s="47" t="s">
        <v>20</v>
      </c>
      <c r="I479" s="67"/>
      <c r="J479" s="67"/>
      <c r="K479" s="233"/>
      <c r="L479" s="53"/>
      <c r="M479" s="53">
        <v>0</v>
      </c>
      <c r="N479" s="53"/>
    </row>
    <row r="480" spans="1:14" ht="21.75" customHeight="1" x14ac:dyDescent="0.4">
      <c r="A480" s="230"/>
      <c r="B480" s="231"/>
      <c r="C480" s="43"/>
      <c r="D480" s="232"/>
      <c r="E480" s="45"/>
      <c r="F480" s="45"/>
      <c r="G480" s="46" t="s">
        <v>114</v>
      </c>
      <c r="H480" s="47" t="s">
        <v>20</v>
      </c>
      <c r="I480" s="67"/>
      <c r="J480" s="67"/>
      <c r="K480" s="233"/>
      <c r="L480" s="53"/>
      <c r="M480" s="54">
        <v>0</v>
      </c>
      <c r="N480" s="53"/>
    </row>
    <row r="481" spans="1:14" ht="21.75" customHeight="1" x14ac:dyDescent="0.4">
      <c r="A481" s="230"/>
      <c r="B481" s="231"/>
      <c r="C481" s="43"/>
      <c r="D481" s="232"/>
      <c r="E481" s="45"/>
      <c r="F481" s="45"/>
      <c r="G481" s="46" t="s">
        <v>115</v>
      </c>
      <c r="H481" s="47" t="s">
        <v>20</v>
      </c>
      <c r="I481" s="67"/>
      <c r="J481" s="67"/>
      <c r="K481" s="233"/>
      <c r="L481" s="53"/>
      <c r="M481" s="54">
        <v>0</v>
      </c>
      <c r="N481" s="53"/>
    </row>
    <row r="482" spans="1:14" ht="21.75" customHeight="1" x14ac:dyDescent="0.4">
      <c r="A482" s="316"/>
      <c r="B482" s="51"/>
      <c r="C482" s="43"/>
      <c r="D482" s="155"/>
      <c r="E482" s="74" t="s">
        <v>197</v>
      </c>
      <c r="F482" s="75"/>
      <c r="G482" s="76"/>
      <c r="H482" s="60" t="s">
        <v>15</v>
      </c>
      <c r="I482" s="200">
        <f ca="1">IFERROR(__xludf.DUMMYFUNCTION("IMPORTRANGE(""https://docs.google.com/spreadsheets/d/1C3CXT74ZlgGe6_JY_1olB1XN4rF0dxEuIIF-xsYjHgg/edit?usp=sharing"",""งบกองทุน!Em34"")"),90)</f>
        <v>90</v>
      </c>
      <c r="J482" s="67">
        <f ca="1">IFERROR(__xludf.DUMMYFUNCTION("IMPORTRANGE(""https://docs.google.com/spreadsheets/d/1AGHcLOeeYFL3K4b9R1dSzyJy00PE_ra89DNTVfnxSWM/edit?usp=sharing"",""รวมที่ชุมชน!G23"")"),0)</f>
        <v>0</v>
      </c>
      <c r="K482" s="49">
        <f t="shared" ref="K482:K489" ca="1" si="109">IF(I482&gt;0,J482*100/I482,0)</f>
        <v>0</v>
      </c>
      <c r="L482" s="61"/>
      <c r="M482" s="61"/>
      <c r="N482" s="61"/>
    </row>
    <row r="483" spans="1:14" ht="21.75" customHeight="1" x14ac:dyDescent="0.4">
      <c r="A483" s="316"/>
      <c r="B483" s="51"/>
      <c r="C483" s="43"/>
      <c r="D483" s="155"/>
      <c r="E483" s="75"/>
      <c r="F483" s="75"/>
      <c r="G483" s="76"/>
      <c r="H483" s="60" t="s">
        <v>103</v>
      </c>
      <c r="I483" s="200">
        <f ca="1">IFERROR(__xludf.DUMMYFUNCTION("IMPORTRANGE(""https://docs.google.com/spreadsheets/d/1C3CXT74ZlgGe6_JY_1olB1XN4rF0dxEuIIF-xsYjHgg/edit?usp=sharing"",""งบกองทุน!En34"")"),0)</f>
        <v>0</v>
      </c>
      <c r="J483" s="67">
        <f ca="1">IFERROR(__xludf.DUMMYFUNCTION("IMPORTRANGE(""https://docs.google.com/spreadsheets/d/1AGHcLOeeYFL3K4b9R1dSzyJy00PE_ra89DNTVfnxSWM/edit?usp=sharing"",""รวมที่ชุมชน!H23"")"),0)</f>
        <v>0</v>
      </c>
      <c r="K483" s="49">
        <f t="shared" ca="1" si="109"/>
        <v>0</v>
      </c>
      <c r="L483" s="61"/>
      <c r="M483" s="61"/>
      <c r="N483" s="61"/>
    </row>
    <row r="484" spans="1:14" ht="21.75" customHeight="1" x14ac:dyDescent="0.4">
      <c r="A484" s="316"/>
      <c r="B484" s="51"/>
      <c r="C484" s="43"/>
      <c r="D484" s="155"/>
      <c r="E484" s="74" t="s">
        <v>104</v>
      </c>
      <c r="F484" s="75"/>
      <c r="G484" s="76"/>
      <c r="H484" s="60" t="s">
        <v>16</v>
      </c>
      <c r="I484" s="200">
        <f ca="1">IFERROR(__xludf.DUMMYFUNCTION("IMPORTRANGE(""https://docs.google.com/spreadsheets/d/1C3CXT74ZlgGe6_JY_1olB1XN4rF0dxEuIIF-xsYjHgg/edit?usp=sharing"",""งบกองทุน!Eo34"")"),90)</f>
        <v>90</v>
      </c>
      <c r="J484" s="67">
        <f ca="1">IFERROR(__xludf.DUMMYFUNCTION("IMPORTRANGE(""https://docs.google.com/spreadsheets/d/1AGHcLOeeYFL3K4b9R1dSzyJy00PE_ra89DNTVfnxSWM/edit?usp=sharing"",""รวมที่ชุมชน!J23"")"),0)</f>
        <v>0</v>
      </c>
      <c r="K484" s="49">
        <f t="shared" ca="1" si="109"/>
        <v>0</v>
      </c>
      <c r="L484" s="61"/>
      <c r="M484" s="61"/>
      <c r="N484" s="61"/>
    </row>
    <row r="485" spans="1:14" ht="21.75" customHeight="1" x14ac:dyDescent="0.4">
      <c r="A485" s="316"/>
      <c r="B485" s="51"/>
      <c r="C485" s="43"/>
      <c r="D485" s="155"/>
      <c r="E485" s="75"/>
      <c r="F485" s="75"/>
      <c r="G485" s="76"/>
      <c r="H485" s="60" t="s">
        <v>103</v>
      </c>
      <c r="I485" s="200">
        <f ca="1">IFERROR(__xludf.DUMMYFUNCTION("IMPORTRANGE(""https://docs.google.com/spreadsheets/d/1C3CXT74ZlgGe6_JY_1olB1XN4rF0dxEuIIF-xsYjHgg/edit?usp=sharing"",""งบกองทุน!Ep34"")"),0)</f>
        <v>0</v>
      </c>
      <c r="J485" s="67">
        <f ca="1">IFERROR(__xludf.DUMMYFUNCTION("IMPORTRANGE(""https://docs.google.com/spreadsheets/d/1AGHcLOeeYFL3K4b9R1dSzyJy00PE_ra89DNTVfnxSWM/edit?usp=sharing"",""รวมที่ชุมชน!L23"")"),0)</f>
        <v>0</v>
      </c>
      <c r="K485" s="49">
        <f t="shared" ca="1" si="109"/>
        <v>0</v>
      </c>
      <c r="L485" s="61"/>
      <c r="M485" s="61"/>
      <c r="N485" s="61"/>
    </row>
    <row r="486" spans="1:14" ht="21.75" customHeight="1" x14ac:dyDescent="0.4">
      <c r="A486" s="316"/>
      <c r="B486" s="51"/>
      <c r="C486" s="43"/>
      <c r="D486" s="155"/>
      <c r="E486" s="74" t="s">
        <v>105</v>
      </c>
      <c r="F486" s="75"/>
      <c r="G486" s="76"/>
      <c r="H486" s="60" t="s">
        <v>16</v>
      </c>
      <c r="I486" s="200">
        <f ca="1">IFERROR(__xludf.DUMMYFUNCTION("IMPORTRANGE(""https://docs.google.com/spreadsheets/d/1C3CXT74ZlgGe6_JY_1olB1XN4rF0dxEuIIF-xsYjHgg/edit?usp=sharing"",""งบกองทุน!Eq34"")"),90)</f>
        <v>90</v>
      </c>
      <c r="J486" s="67">
        <f ca="1">IFERROR(__xludf.DUMMYFUNCTION("IMPORTRANGE(""https://docs.google.com/spreadsheets/d/1AGHcLOeeYFL3K4b9R1dSzyJy00PE_ra89DNTVfnxSWM/edit?usp=sharing"",""รวมที่ชุมชน!S23"")"),0)</f>
        <v>0</v>
      </c>
      <c r="K486" s="49">
        <f t="shared" ca="1" si="109"/>
        <v>0</v>
      </c>
      <c r="L486" s="61"/>
      <c r="M486" s="61"/>
      <c r="N486" s="61"/>
    </row>
    <row r="487" spans="1:14" ht="21.75" customHeight="1" x14ac:dyDescent="0.4">
      <c r="A487" s="316"/>
      <c r="B487" s="51"/>
      <c r="C487" s="43"/>
      <c r="D487" s="155"/>
      <c r="E487" s="75"/>
      <c r="F487" s="75"/>
      <c r="G487" s="76"/>
      <c r="H487" s="60" t="s">
        <v>103</v>
      </c>
      <c r="I487" s="200">
        <f ca="1">IFERROR(__xludf.DUMMYFUNCTION("IMPORTRANGE(""https://docs.google.com/spreadsheets/d/1C3CXT74ZlgGe6_JY_1olB1XN4rF0dxEuIIF-xsYjHgg/edit?usp=sharing"",""งบกองทุน!Er34"")"),0)</f>
        <v>0</v>
      </c>
      <c r="J487" s="67">
        <f ca="1">IFERROR(__xludf.DUMMYFUNCTION("IMPORTRANGE(""https://docs.google.com/spreadsheets/d/1AGHcLOeeYFL3K4b9R1dSzyJy00PE_ra89DNTVfnxSWM/edit?usp=sharing"",""รวมที่ชุมชน!U23"")"),0)</f>
        <v>0</v>
      </c>
      <c r="K487" s="49">
        <f t="shared" ca="1" si="109"/>
        <v>0</v>
      </c>
      <c r="L487" s="61"/>
      <c r="M487" s="61"/>
      <c r="N487" s="61"/>
    </row>
    <row r="488" spans="1:14" ht="21.75" customHeight="1" x14ac:dyDescent="0.4">
      <c r="A488" s="316"/>
      <c r="B488" s="51"/>
      <c r="C488" s="43"/>
      <c r="D488" s="155"/>
      <c r="E488" s="74" t="s">
        <v>106</v>
      </c>
      <c r="F488" s="75"/>
      <c r="G488" s="76"/>
      <c r="H488" s="60" t="s">
        <v>16</v>
      </c>
      <c r="I488" s="200">
        <f ca="1">IFERROR(__xludf.DUMMYFUNCTION("IMPORTRANGE(""https://docs.google.com/spreadsheets/d/1C3CXT74ZlgGe6_JY_1olB1XN4rF0dxEuIIF-xsYjHgg/edit?usp=sharing"",""งบกองทุน!Es34"")"),90)</f>
        <v>90</v>
      </c>
      <c r="J488" s="67">
        <f ca="1">IFERROR(__xludf.DUMMYFUNCTION("IMPORTRANGE(""https://docs.google.com/spreadsheets/d/1AGHcLOeeYFL3K4b9R1dSzyJy00PE_ra89DNTVfnxSWM/edit?usp=sharing"",""รวมที่ชุมชน!V23"")"),0)</f>
        <v>0</v>
      </c>
      <c r="K488" s="49">
        <f t="shared" ca="1" si="109"/>
        <v>0</v>
      </c>
      <c r="L488" s="61"/>
      <c r="M488" s="61"/>
      <c r="N488" s="61"/>
    </row>
    <row r="489" spans="1:14" ht="21.75" customHeight="1" x14ac:dyDescent="0.4">
      <c r="A489" s="317"/>
      <c r="B489" s="318"/>
      <c r="C489" s="319"/>
      <c r="D489" s="320"/>
      <c r="E489" s="295"/>
      <c r="F489" s="295"/>
      <c r="G489" s="296"/>
      <c r="H489" s="321" t="s">
        <v>103</v>
      </c>
      <c r="I489" s="322">
        <f ca="1">IFERROR(__xludf.DUMMYFUNCTION("IMPORTRANGE(""https://docs.google.com/spreadsheets/d/1C3CXT74ZlgGe6_JY_1olB1XN4rF0dxEuIIF-xsYjHgg/edit?usp=sharing"",""งบกองทุน!Et34"")"),0)</f>
        <v>0</v>
      </c>
      <c r="J489" s="112">
        <f ca="1">IFERROR(__xludf.DUMMYFUNCTION("IMPORTRANGE(""https://docs.google.com/spreadsheets/d/1AGHcLOeeYFL3K4b9R1dSzyJy00PE_ra89DNTVfnxSWM/edit?usp=sharing"",""รวมที่ชุมชน!X23"")"),0)</f>
        <v>0</v>
      </c>
      <c r="K489" s="114">
        <f t="shared" ca="1" si="109"/>
        <v>0</v>
      </c>
      <c r="L489" s="300"/>
      <c r="M489" s="300"/>
      <c r="N489" s="300"/>
    </row>
    <row r="490" spans="1:14" ht="21.75" customHeight="1" x14ac:dyDescent="0.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10">I504</f>
        <v>100</v>
      </c>
      <c r="J490" s="375">
        <f t="shared" si="110"/>
        <v>0</v>
      </c>
      <c r="K490" s="301">
        <f ca="1">IF(I490&gt;0,J490*100/I490,0)</f>
        <v>0</v>
      </c>
      <c r="L490" s="259">
        <f ca="1">SUM(L491,L492)</f>
        <v>7300</v>
      </c>
      <c r="M490" s="259">
        <f>SUM(M491:M492)</f>
        <v>0</v>
      </c>
      <c r="N490" s="259">
        <f t="shared" ref="N490:N494" ca="1" si="111">+IF(L490&gt;0,M490*100/L490,0)</f>
        <v>0</v>
      </c>
    </row>
    <row r="491" spans="1:14" ht="21.75" customHeight="1" x14ac:dyDescent="0.4">
      <c r="A491" s="42"/>
      <c r="B491" s="43"/>
      <c r="C491" s="43" t="s">
        <v>17</v>
      </c>
      <c r="D491" s="44" t="s">
        <v>18</v>
      </c>
      <c r="E491" s="45"/>
      <c r="F491" s="45"/>
      <c r="G491" s="46" t="s">
        <v>19</v>
      </c>
      <c r="H491" s="47" t="s">
        <v>20</v>
      </c>
      <c r="I491" s="48" t="s">
        <v>21</v>
      </c>
      <c r="J491" s="48"/>
      <c r="K491" s="49"/>
      <c r="L491" s="50">
        <v>0</v>
      </c>
      <c r="M491" s="53">
        <v>0</v>
      </c>
      <c r="N491" s="53">
        <f t="shared" si="111"/>
        <v>0</v>
      </c>
    </row>
    <row r="492" spans="1:14" ht="21.75" customHeight="1" x14ac:dyDescent="0.4">
      <c r="A492" s="42"/>
      <c r="B492" s="43"/>
      <c r="C492" s="43"/>
      <c r="D492" s="51"/>
      <c r="E492" s="45"/>
      <c r="F492" s="45" t="s">
        <v>21</v>
      </c>
      <c r="G492" s="46" t="s">
        <v>22</v>
      </c>
      <c r="H492" s="47" t="s">
        <v>20</v>
      </c>
      <c r="I492" s="48"/>
      <c r="J492" s="48"/>
      <c r="K492" s="49"/>
      <c r="L492" s="50">
        <f t="shared" ref="L492:M492" ca="1" si="112">SUM(L493:L494)</f>
        <v>7300</v>
      </c>
      <c r="M492" s="53">
        <f t="shared" si="112"/>
        <v>0</v>
      </c>
      <c r="N492" s="53">
        <f t="shared" ca="1" si="111"/>
        <v>0</v>
      </c>
    </row>
    <row r="493" spans="1:14" ht="21.75" customHeight="1" x14ac:dyDescent="0.4">
      <c r="A493" s="42"/>
      <c r="B493" s="43"/>
      <c r="C493" s="43"/>
      <c r="D493" s="51"/>
      <c r="E493" s="45"/>
      <c r="F493" s="45"/>
      <c r="G493" s="52" t="s">
        <v>110</v>
      </c>
      <c r="H493" s="47" t="s">
        <v>20</v>
      </c>
      <c r="I493" s="48"/>
      <c r="J493" s="48"/>
      <c r="K493" s="49"/>
      <c r="L493" s="53">
        <f ca="1">IFERROR(__xludf.DUMMYFUNCTION("IMPORTRANGE(""https://docs.google.com/spreadsheets/d/1C3CXT74ZlgGe6_JY_1olB1XN4rF0dxEuIIF-xsYjHgg/edit?usp=sharing"",""งบกองทุน!Ev34"")"),0)</f>
        <v>0</v>
      </c>
      <c r="M493" s="53">
        <v>0</v>
      </c>
      <c r="N493" s="53">
        <f t="shared" ca="1" si="111"/>
        <v>0</v>
      </c>
    </row>
    <row r="494" spans="1:14" ht="21.75" customHeight="1" x14ac:dyDescent="0.4">
      <c r="A494" s="42"/>
      <c r="B494" s="43"/>
      <c r="C494" s="43"/>
      <c r="D494" s="51"/>
      <c r="E494" s="45"/>
      <c r="F494" s="45"/>
      <c r="G494" s="52" t="s">
        <v>111</v>
      </c>
      <c r="H494" s="47" t="s">
        <v>20</v>
      </c>
      <c r="I494" s="48"/>
      <c r="J494" s="48"/>
      <c r="K494" s="49"/>
      <c r="L494" s="53">
        <f ca="1">IFERROR(__xludf.DUMMYFUNCTION("IMPORTRANGE(""https://docs.google.com/spreadsheets/d/1C3CXT74ZlgGe6_JY_1olB1XN4rF0dxEuIIF-xsYjHgg/edit?usp=sharing"",""งบกองทุน!Ew34"")"),7300)</f>
        <v>7300</v>
      </c>
      <c r="M494" s="53">
        <f>SUM(M495:M498)</f>
        <v>0</v>
      </c>
      <c r="N494" s="53">
        <f t="shared" ca="1" si="111"/>
        <v>0</v>
      </c>
    </row>
    <row r="495" spans="1:14" ht="21.75" customHeight="1" x14ac:dyDescent="0.4">
      <c r="A495" s="230"/>
      <c r="B495" s="231"/>
      <c r="C495" s="43"/>
      <c r="D495" s="232"/>
      <c r="E495" s="45"/>
      <c r="F495" s="45"/>
      <c r="G495" s="46" t="s">
        <v>112</v>
      </c>
      <c r="H495" s="47" t="s">
        <v>20</v>
      </c>
      <c r="I495" s="67"/>
      <c r="J495" s="67"/>
      <c r="K495" s="233"/>
      <c r="L495" s="53"/>
      <c r="M495" s="53">
        <v>0</v>
      </c>
      <c r="N495" s="53"/>
    </row>
    <row r="496" spans="1:14" ht="21.75" customHeight="1" x14ac:dyDescent="0.4">
      <c r="A496" s="230"/>
      <c r="B496" s="231"/>
      <c r="C496" s="43"/>
      <c r="D496" s="232"/>
      <c r="E496" s="45"/>
      <c r="F496" s="45"/>
      <c r="G496" s="46" t="s">
        <v>113</v>
      </c>
      <c r="H496" s="47" t="s">
        <v>20</v>
      </c>
      <c r="I496" s="67"/>
      <c r="J496" s="67"/>
      <c r="K496" s="233"/>
      <c r="L496" s="53"/>
      <c r="M496" s="53">
        <v>0</v>
      </c>
      <c r="N496" s="53"/>
    </row>
    <row r="497" spans="1:14" ht="21.75" customHeight="1" x14ac:dyDescent="0.4">
      <c r="A497" s="230"/>
      <c r="B497" s="231"/>
      <c r="C497" s="43"/>
      <c r="D497" s="232"/>
      <c r="E497" s="45"/>
      <c r="F497" s="45"/>
      <c r="G497" s="46" t="s">
        <v>114</v>
      </c>
      <c r="H497" s="47" t="s">
        <v>20</v>
      </c>
      <c r="I497" s="67"/>
      <c r="J497" s="67"/>
      <c r="K497" s="233"/>
      <c r="L497" s="53"/>
      <c r="M497" s="54">
        <v>0</v>
      </c>
      <c r="N497" s="53"/>
    </row>
    <row r="498" spans="1:14" ht="21.75" customHeight="1" x14ac:dyDescent="0.4">
      <c r="A498" s="230"/>
      <c r="B498" s="231"/>
      <c r="C498" s="43"/>
      <c r="D498" s="232"/>
      <c r="E498" s="45"/>
      <c r="F498" s="45"/>
      <c r="G498" s="46" t="s">
        <v>115</v>
      </c>
      <c r="H498" s="47" t="s">
        <v>20</v>
      </c>
      <c r="I498" s="67"/>
      <c r="J498" s="67"/>
      <c r="K498" s="233"/>
      <c r="L498" s="53"/>
      <c r="M498" s="54">
        <v>0</v>
      </c>
      <c r="N498" s="53"/>
    </row>
    <row r="499" spans="1:14" ht="21.75" customHeight="1" x14ac:dyDescent="0.4">
      <c r="A499" s="55"/>
      <c r="B499" s="56"/>
      <c r="C499" s="43" t="s">
        <v>17</v>
      </c>
      <c r="D499" s="57" t="s">
        <v>25</v>
      </c>
      <c r="E499" s="58"/>
      <c r="F499" s="58"/>
      <c r="G499" s="59"/>
      <c r="H499" s="60"/>
      <c r="I499" s="48"/>
      <c r="J499" s="48"/>
      <c r="K499" s="49"/>
      <c r="L499" s="61"/>
      <c r="M499" s="61"/>
      <c r="N499" s="61"/>
    </row>
    <row r="500" spans="1:14" ht="21.75" customHeight="1" x14ac:dyDescent="0.4">
      <c r="A500" s="55"/>
      <c r="B500" s="56"/>
      <c r="C500" s="56"/>
      <c r="D500" s="62">
        <v>1</v>
      </c>
      <c r="E500" s="63" t="s">
        <v>26</v>
      </c>
      <c r="F500" s="64"/>
      <c r="G500" s="65"/>
      <c r="H500" s="66"/>
      <c r="I500" s="67"/>
      <c r="J500" s="68">
        <v>0</v>
      </c>
      <c r="K500" s="49"/>
      <c r="L500" s="61"/>
      <c r="M500" s="61"/>
      <c r="N500" s="61"/>
    </row>
    <row r="501" spans="1:14" ht="21.75" customHeight="1" x14ac:dyDescent="0.4">
      <c r="A501" s="55"/>
      <c r="B501" s="56"/>
      <c r="C501" s="56"/>
      <c r="D501" s="69">
        <v>2</v>
      </c>
      <c r="E501" s="70" t="s">
        <v>27</v>
      </c>
      <c r="F501" s="71"/>
      <c r="G501" s="72"/>
      <c r="H501" s="66"/>
      <c r="I501" s="67"/>
      <c r="J501" s="68">
        <v>1</v>
      </c>
      <c r="K501" s="49"/>
      <c r="L501" s="61" t="s">
        <v>21</v>
      </c>
      <c r="M501" s="61" t="s">
        <v>21</v>
      </c>
      <c r="N501" s="61"/>
    </row>
    <row r="502" spans="1:14" ht="21.75" hidden="1" customHeight="1" x14ac:dyDescent="0.4">
      <c r="A502" s="376"/>
      <c r="B502" s="377"/>
      <c r="C502" s="377"/>
      <c r="D502" s="378"/>
      <c r="E502" s="379" t="s">
        <v>28</v>
      </c>
      <c r="F502" s="380"/>
      <c r="G502" s="381"/>
      <c r="H502" s="330"/>
      <c r="I502" s="331"/>
      <c r="J502" s="331">
        <v>0</v>
      </c>
      <c r="K502" s="382"/>
      <c r="L502" s="383"/>
      <c r="M502" s="383"/>
      <c r="N502" s="383"/>
    </row>
    <row r="503" spans="1:14" ht="21.75" hidden="1" customHeight="1" x14ac:dyDescent="0.4">
      <c r="A503" s="376"/>
      <c r="B503" s="377"/>
      <c r="C503" s="377"/>
      <c r="D503" s="378"/>
      <c r="E503" s="379" t="s">
        <v>29</v>
      </c>
      <c r="F503" s="380"/>
      <c r="G503" s="381"/>
      <c r="H503" s="330"/>
      <c r="I503" s="331"/>
      <c r="J503" s="331">
        <v>0</v>
      </c>
      <c r="K503" s="382"/>
      <c r="L503" s="383"/>
      <c r="M503" s="383"/>
      <c r="N503" s="383"/>
    </row>
    <row r="504" spans="1:14" ht="21.75" customHeight="1" x14ac:dyDescent="0.4">
      <c r="A504" s="55"/>
      <c r="B504" s="56"/>
      <c r="C504" s="56"/>
      <c r="D504" s="73"/>
      <c r="E504" s="75"/>
      <c r="F504" s="75" t="s">
        <v>199</v>
      </c>
      <c r="G504" s="76"/>
      <c r="H504" s="60" t="s">
        <v>103</v>
      </c>
      <c r="I504" s="67">
        <f ca="1">IFERROR(__xludf.DUMMYFUNCTION("IMPORTRANGE(""https://docs.google.com/spreadsheets/d/1C3CXT74ZlgGe6_JY_1olB1XN4rF0dxEuIIF-xsYjHgg/edit?usp=sharing"",""งบกองทุน!EZ34"")"),100)</f>
        <v>100</v>
      </c>
      <c r="J504" s="48">
        <f>+J510</f>
        <v>0</v>
      </c>
      <c r="K504" s="49">
        <f t="shared" ref="K504:K512" ca="1" si="113">IF(I$504&gt;0,J504*100/I$504,0)</f>
        <v>0</v>
      </c>
      <c r="L504" s="61"/>
      <c r="M504" s="61"/>
      <c r="N504" s="61"/>
    </row>
    <row r="505" spans="1:14" ht="21.75" customHeight="1" x14ac:dyDescent="0.4">
      <c r="A505" s="55"/>
      <c r="B505" s="56"/>
      <c r="C505" s="56"/>
      <c r="D505" s="73"/>
      <c r="E505" s="77"/>
      <c r="F505" s="75"/>
      <c r="G505" s="99" t="s">
        <v>200</v>
      </c>
      <c r="H505" s="60" t="s">
        <v>103</v>
      </c>
      <c r="I505" s="67">
        <v>0</v>
      </c>
      <c r="J505" s="68">
        <v>0</v>
      </c>
      <c r="K505" s="49">
        <f t="shared" ca="1" si="113"/>
        <v>0</v>
      </c>
      <c r="L505" s="61"/>
      <c r="M505" s="61"/>
      <c r="N505" s="61"/>
    </row>
    <row r="506" spans="1:14" ht="21.75" customHeight="1" x14ac:dyDescent="0.4">
      <c r="A506" s="55"/>
      <c r="B506" s="56"/>
      <c r="C506" s="56"/>
      <c r="D506" s="73"/>
      <c r="E506" s="77"/>
      <c r="F506" s="75"/>
      <c r="G506" s="99" t="s">
        <v>201</v>
      </c>
      <c r="H506" s="60" t="s">
        <v>103</v>
      </c>
      <c r="I506" s="67">
        <v>0</v>
      </c>
      <c r="J506" s="68">
        <v>0</v>
      </c>
      <c r="K506" s="49">
        <f t="shared" ca="1" si="113"/>
        <v>0</v>
      </c>
      <c r="L506" s="61"/>
      <c r="M506" s="61"/>
      <c r="N506" s="61"/>
    </row>
    <row r="507" spans="1:14" ht="21.75" customHeight="1" x14ac:dyDescent="0.4">
      <c r="A507" s="55"/>
      <c r="B507" s="56"/>
      <c r="C507" s="56"/>
      <c r="D507" s="73"/>
      <c r="E507" s="77"/>
      <c r="F507" s="75"/>
      <c r="G507" s="99" t="s">
        <v>202</v>
      </c>
      <c r="H507" s="60" t="s">
        <v>103</v>
      </c>
      <c r="I507" s="67">
        <v>0</v>
      </c>
      <c r="J507" s="68">
        <v>0</v>
      </c>
      <c r="K507" s="49">
        <f t="shared" ca="1" si="113"/>
        <v>0</v>
      </c>
      <c r="L507" s="61"/>
      <c r="M507" s="61"/>
      <c r="N507" s="61"/>
    </row>
    <row r="508" spans="1:14" ht="21.75" customHeight="1" x14ac:dyDescent="0.4">
      <c r="A508" s="55"/>
      <c r="B508" s="56"/>
      <c r="C508" s="56"/>
      <c r="D508" s="73"/>
      <c r="E508" s="77"/>
      <c r="F508" s="75"/>
      <c r="G508" s="99" t="s">
        <v>203</v>
      </c>
      <c r="H508" s="60" t="s">
        <v>103</v>
      </c>
      <c r="I508" s="67">
        <v>0</v>
      </c>
      <c r="J508" s="68">
        <v>0</v>
      </c>
      <c r="K508" s="49">
        <f t="shared" ca="1" si="113"/>
        <v>0</v>
      </c>
      <c r="L508" s="61"/>
      <c r="M508" s="61"/>
      <c r="N508" s="61"/>
    </row>
    <row r="509" spans="1:14" ht="21.75" customHeight="1" x14ac:dyDescent="0.4">
      <c r="A509" s="55"/>
      <c r="B509" s="56"/>
      <c r="C509" s="56"/>
      <c r="D509" s="73"/>
      <c r="E509" s="77"/>
      <c r="F509" s="75"/>
      <c r="G509" s="74" t="s">
        <v>204</v>
      </c>
      <c r="H509" s="60" t="s">
        <v>103</v>
      </c>
      <c r="I509" s="67">
        <v>0</v>
      </c>
      <c r="J509" s="68">
        <v>0</v>
      </c>
      <c r="K509" s="49">
        <f t="shared" ca="1" si="113"/>
        <v>0</v>
      </c>
      <c r="L509" s="61"/>
      <c r="M509" s="61"/>
      <c r="N509" s="61"/>
    </row>
    <row r="510" spans="1:14" ht="21.75" customHeight="1" x14ac:dyDescent="0.4">
      <c r="A510" s="55"/>
      <c r="B510" s="56"/>
      <c r="C510" s="56"/>
      <c r="D510" s="73"/>
      <c r="E510" s="77"/>
      <c r="F510" s="75"/>
      <c r="G510" s="74" t="s">
        <v>205</v>
      </c>
      <c r="H510" s="60" t="s">
        <v>103</v>
      </c>
      <c r="I510" s="67">
        <f t="shared" ref="I510:J510" si="114">I511+I512</f>
        <v>0</v>
      </c>
      <c r="J510" s="67">
        <f t="shared" si="114"/>
        <v>0</v>
      </c>
      <c r="K510" s="49">
        <f t="shared" ca="1" si="113"/>
        <v>0</v>
      </c>
      <c r="L510" s="61"/>
      <c r="M510" s="61"/>
      <c r="N510" s="61"/>
    </row>
    <row r="511" spans="1:14" ht="21.75" customHeight="1" x14ac:dyDescent="0.4">
      <c r="A511" s="55"/>
      <c r="B511" s="56"/>
      <c r="C511" s="56"/>
      <c r="D511" s="73"/>
      <c r="E511" s="77"/>
      <c r="F511" s="75"/>
      <c r="G511" s="334" t="s">
        <v>206</v>
      </c>
      <c r="H511" s="60" t="s">
        <v>103</v>
      </c>
      <c r="I511" s="67">
        <v>0</v>
      </c>
      <c r="J511" s="68">
        <v>0</v>
      </c>
      <c r="K511" s="49">
        <f t="shared" ca="1" si="113"/>
        <v>0</v>
      </c>
      <c r="L511" s="61"/>
      <c r="M511" s="61"/>
      <c r="N511" s="61"/>
    </row>
    <row r="512" spans="1:14" ht="21.75" customHeight="1" x14ac:dyDescent="0.4">
      <c r="A512" s="55"/>
      <c r="B512" s="56"/>
      <c r="C512" s="56"/>
      <c r="D512" s="73"/>
      <c r="E512" s="77"/>
      <c r="F512" s="75"/>
      <c r="G512" s="334" t="s">
        <v>207</v>
      </c>
      <c r="H512" s="60" t="s">
        <v>103</v>
      </c>
      <c r="I512" s="67">
        <v>0</v>
      </c>
      <c r="J512" s="68">
        <v>0</v>
      </c>
      <c r="K512" s="49">
        <f t="shared" ca="1" si="113"/>
        <v>0</v>
      </c>
      <c r="L512" s="61"/>
      <c r="M512" s="61"/>
      <c r="N512" s="61"/>
    </row>
    <row r="513" spans="1:14" ht="21.75" customHeight="1" x14ac:dyDescent="0.4">
      <c r="A513" s="55"/>
      <c r="B513" s="56"/>
      <c r="C513" s="56"/>
      <c r="D513" s="73"/>
      <c r="E513" s="75"/>
      <c r="F513" s="74" t="s">
        <v>208</v>
      </c>
      <c r="G513" s="76"/>
      <c r="H513" s="60" t="s">
        <v>103</v>
      </c>
      <c r="I513" s="67">
        <f ca="1">IFERROR(__xludf.DUMMYFUNCTION("IMPORTRANGE(""https://docs.google.com/spreadsheets/d/1C3CXT74ZlgGe6_JY_1olB1XN4rF0dxEuIIF-xsYjHgg/edit?usp=sharing"",""งบกองทุน!ff34"")"),0)</f>
        <v>0</v>
      </c>
      <c r="J513" s="48">
        <f>J514</f>
        <v>0</v>
      </c>
      <c r="K513" s="49">
        <f t="shared" ref="K513:K519" ca="1" si="115">IF(I$513&gt;0,J513*100/I$513,0)</f>
        <v>0</v>
      </c>
      <c r="L513" s="61"/>
      <c r="M513" s="61"/>
      <c r="N513" s="61"/>
    </row>
    <row r="514" spans="1:14" ht="21.75" customHeight="1" x14ac:dyDescent="0.4">
      <c r="A514" s="55"/>
      <c r="B514" s="56"/>
      <c r="C514" s="56"/>
      <c r="D514" s="73"/>
      <c r="E514" s="77"/>
      <c r="F514" s="75"/>
      <c r="G514" s="99" t="s">
        <v>205</v>
      </c>
      <c r="H514" s="60" t="s">
        <v>103</v>
      </c>
      <c r="I514" s="48">
        <f t="shared" ref="I514:J514" si="116">I515+I516</f>
        <v>0</v>
      </c>
      <c r="J514" s="48">
        <f t="shared" si="116"/>
        <v>0</v>
      </c>
      <c r="K514" s="49">
        <f t="shared" ca="1" si="115"/>
        <v>0</v>
      </c>
      <c r="L514" s="61"/>
      <c r="M514" s="61"/>
      <c r="N514" s="61"/>
    </row>
    <row r="515" spans="1:14" ht="21.75" customHeight="1" x14ac:dyDescent="0.4">
      <c r="A515" s="55"/>
      <c r="B515" s="56"/>
      <c r="C515" s="56"/>
      <c r="D515" s="73"/>
      <c r="E515" s="77"/>
      <c r="F515" s="75"/>
      <c r="G515" s="334" t="s">
        <v>206</v>
      </c>
      <c r="H515" s="60" t="s">
        <v>103</v>
      </c>
      <c r="I515" s="67">
        <v>0</v>
      </c>
      <c r="J515" s="68">
        <v>0</v>
      </c>
      <c r="K515" s="49">
        <f t="shared" ca="1" si="115"/>
        <v>0</v>
      </c>
      <c r="L515" s="61"/>
      <c r="M515" s="61"/>
      <c r="N515" s="61"/>
    </row>
    <row r="516" spans="1:14" ht="21.75" customHeight="1" x14ac:dyDescent="0.4">
      <c r="A516" s="55"/>
      <c r="B516" s="56"/>
      <c r="C516" s="56"/>
      <c r="D516" s="73"/>
      <c r="E516" s="77"/>
      <c r="F516" s="75"/>
      <c r="G516" s="334" t="s">
        <v>207</v>
      </c>
      <c r="H516" s="60" t="s">
        <v>103</v>
      </c>
      <c r="I516" s="67">
        <v>0</v>
      </c>
      <c r="J516" s="68">
        <v>0</v>
      </c>
      <c r="K516" s="49">
        <f t="shared" ca="1" si="115"/>
        <v>0</v>
      </c>
      <c r="L516" s="61"/>
      <c r="M516" s="61"/>
      <c r="N516" s="61"/>
    </row>
    <row r="517" spans="1:14" ht="21.75" customHeight="1" x14ac:dyDescent="0.4">
      <c r="A517" s="55"/>
      <c r="B517" s="56"/>
      <c r="C517" s="56"/>
      <c r="D517" s="73"/>
      <c r="E517" s="77"/>
      <c r="F517" s="75"/>
      <c r="G517" s="99" t="s">
        <v>209</v>
      </c>
      <c r="H517" s="60" t="s">
        <v>103</v>
      </c>
      <c r="I517" s="67">
        <f t="shared" ref="I517:J517" si="117">SUM(I518:I519)</f>
        <v>0</v>
      </c>
      <c r="J517" s="67">
        <f t="shared" si="117"/>
        <v>0</v>
      </c>
      <c r="K517" s="49">
        <f t="shared" ca="1" si="115"/>
        <v>0</v>
      </c>
      <c r="L517" s="61"/>
      <c r="M517" s="61"/>
      <c r="N517" s="61"/>
    </row>
    <row r="518" spans="1:14" ht="21.75" customHeight="1" x14ac:dyDescent="0.4">
      <c r="A518" s="55"/>
      <c r="B518" s="56"/>
      <c r="C518" s="56"/>
      <c r="D518" s="73"/>
      <c r="E518" s="77"/>
      <c r="F518" s="75"/>
      <c r="G518" s="334" t="s">
        <v>210</v>
      </c>
      <c r="H518" s="60" t="s">
        <v>103</v>
      </c>
      <c r="I518" s="67">
        <v>0</v>
      </c>
      <c r="J518" s="68">
        <v>0</v>
      </c>
      <c r="K518" s="49">
        <f t="shared" ca="1" si="115"/>
        <v>0</v>
      </c>
      <c r="L518" s="61"/>
      <c r="M518" s="61"/>
      <c r="N518" s="61"/>
    </row>
    <row r="519" spans="1:14" ht="21.75" customHeight="1" x14ac:dyDescent="0.4">
      <c r="A519" s="55"/>
      <c r="B519" s="56"/>
      <c r="C519" s="56"/>
      <c r="D519" s="73"/>
      <c r="E519" s="77"/>
      <c r="F519" s="75"/>
      <c r="G519" s="334" t="s">
        <v>211</v>
      </c>
      <c r="H519" s="60" t="s">
        <v>103</v>
      </c>
      <c r="I519" s="67">
        <v>0</v>
      </c>
      <c r="J519" s="68">
        <v>0</v>
      </c>
      <c r="K519" s="49">
        <f t="shared" ca="1" si="115"/>
        <v>0</v>
      </c>
      <c r="L519" s="61"/>
      <c r="M519" s="61"/>
      <c r="N519" s="61"/>
    </row>
    <row r="520" spans="1:14" ht="21.75" customHeight="1" x14ac:dyDescent="0.4">
      <c r="A520" s="335" t="s">
        <v>212</v>
      </c>
      <c r="B520" s="336"/>
      <c r="C520" s="336"/>
      <c r="D520" s="336"/>
      <c r="E520" s="336"/>
      <c r="F520" s="336"/>
      <c r="G520" s="337"/>
      <c r="H520" s="338"/>
      <c r="I520" s="339"/>
      <c r="J520" s="339"/>
      <c r="K520" s="340"/>
      <c r="L520" s="340"/>
      <c r="M520" s="340"/>
      <c r="N520" s="341"/>
    </row>
    <row r="521" spans="1:14" ht="21.75" customHeight="1" x14ac:dyDescent="0.4">
      <c r="A521" s="316"/>
      <c r="B521" s="45" t="s">
        <v>213</v>
      </c>
      <c r="C521" s="43"/>
      <c r="D521" s="51"/>
      <c r="E521" s="45"/>
      <c r="F521" s="45"/>
      <c r="G521" s="46"/>
      <c r="H521" s="342" t="s">
        <v>20</v>
      </c>
      <c r="I521" s="200">
        <f ca="1">IFERROR(__xludf.DUMMYFUNCTION("IMPORTRANGE(""https://docs.google.com/spreadsheets/d/1muirlRDkqiswvy_NRZ3Yh955hx-PF6_HhssUYiSJj8o/edit?usp=sharing"",""กองทุน!D34"")"),7127231.11999999)</f>
        <v>7127231.1199999899</v>
      </c>
      <c r="J521" s="200">
        <f ca="1">IFERROR(__xludf.DUMMYFUNCTION("IMPORTRANGE(""https://docs.google.com/spreadsheets/d/1muirlRDkqiswvy_NRZ3Yh955hx-PF6_HhssUYiSJj8o/edit?usp=sharing"",""กองทุน!F34"")"),14076.75)</f>
        <v>14076.75</v>
      </c>
      <c r="K521" s="201">
        <f t="shared" ref="K521:K528" ca="1" si="118">IF(I521&gt;0,J521*100/I521,0)</f>
        <v>0.19750657391337717</v>
      </c>
      <c r="L521" s="201"/>
      <c r="M521" s="201"/>
      <c r="N521" s="53"/>
    </row>
    <row r="522" spans="1:14" ht="21.75" customHeight="1" x14ac:dyDescent="0.4">
      <c r="A522" s="316"/>
      <c r="B522" s="43"/>
      <c r="C522" s="43"/>
      <c r="D522" s="51"/>
      <c r="E522" s="45"/>
      <c r="F522" s="45"/>
      <c r="G522" s="46"/>
      <c r="H522" s="342" t="s">
        <v>16</v>
      </c>
      <c r="I522" s="200">
        <f ca="1">IFERROR(__xludf.DUMMYFUNCTION("IMPORTRANGE(""https://docs.google.com/spreadsheets/d/1muirlRDkqiswvy_NRZ3Yh955hx-PF6_HhssUYiSJj8o/edit?usp=sharing"",""กองทุน!C34"")"),427)</f>
        <v>427</v>
      </c>
      <c r="J522" s="200">
        <f ca="1">IFERROR(__xludf.DUMMYFUNCTION("IMPORTRANGE(""https://docs.google.com/spreadsheets/d/1muirlRDkqiswvy_NRZ3Yh955hx-PF6_HhssUYiSJj8o/edit?usp=sharing"",""กองทุน!E34"")"),3)</f>
        <v>3</v>
      </c>
      <c r="K522" s="201">
        <f t="shared" ca="1" si="118"/>
        <v>0.70257611241217799</v>
      </c>
      <c r="L522" s="201"/>
      <c r="M522" s="201"/>
      <c r="N522" s="53"/>
    </row>
    <row r="523" spans="1:14" ht="21.75" customHeight="1" x14ac:dyDescent="0.4">
      <c r="A523" s="316"/>
      <c r="B523" s="45" t="s">
        <v>214</v>
      </c>
      <c r="C523" s="43"/>
      <c r="D523" s="51"/>
      <c r="E523" s="45"/>
      <c r="F523" s="45"/>
      <c r="G523" s="46"/>
      <c r="H523" s="342" t="s">
        <v>20</v>
      </c>
      <c r="I523" s="200">
        <f ca="1">IFERROR(__xludf.DUMMYFUNCTION("IMPORTRANGE(""https://docs.google.com/spreadsheets/d/1muirlRDkqiswvy_NRZ3Yh955hx-PF6_HhssUYiSJj8o/edit?usp=sharing"",""กองทุน!I34"")"),7008091.62)</f>
        <v>7008091.6200000001</v>
      </c>
      <c r="J523" s="200">
        <f ca="1">IFERROR(__xludf.DUMMYFUNCTION("IMPORTRANGE(""https://docs.google.com/spreadsheets/d/1muirlRDkqiswvy_NRZ3Yh955hx-PF6_HhssUYiSJj8o/edit?usp=sharing"",""กองทุน!K34"")"),114192.5)</f>
        <v>114192.5</v>
      </c>
      <c r="K523" s="201">
        <f t="shared" ca="1" si="118"/>
        <v>1.6294378868294532</v>
      </c>
      <c r="L523" s="201"/>
      <c r="M523" s="201"/>
      <c r="N523" s="53"/>
    </row>
    <row r="524" spans="1:14" ht="21.75" customHeight="1" x14ac:dyDescent="0.4">
      <c r="A524" s="316"/>
      <c r="B524" s="43"/>
      <c r="C524" s="43"/>
      <c r="D524" s="51"/>
      <c r="E524" s="45"/>
      <c r="F524" s="45"/>
      <c r="G524" s="46"/>
      <c r="H524" s="342" t="s">
        <v>16</v>
      </c>
      <c r="I524" s="200">
        <f ca="1">IFERROR(__xludf.DUMMYFUNCTION("IMPORTRANGE(""https://docs.google.com/spreadsheets/d/1muirlRDkqiswvy_NRZ3Yh955hx-PF6_HhssUYiSJj8o/edit?usp=sharing"",""กองทุน!H34"")"),256)</f>
        <v>256</v>
      </c>
      <c r="J524" s="200">
        <f ca="1">IFERROR(__xludf.DUMMYFUNCTION("IMPORTRANGE(""https://docs.google.com/spreadsheets/d/1muirlRDkqiswvy_NRZ3Yh955hx-PF6_HhssUYiSJj8o/edit?usp=sharing"",""กองทุน!J34"")"),10)</f>
        <v>10</v>
      </c>
      <c r="K524" s="201">
        <f t="shared" ca="1" si="118"/>
        <v>3.90625</v>
      </c>
      <c r="L524" s="201"/>
      <c r="M524" s="201"/>
      <c r="N524" s="53"/>
    </row>
    <row r="525" spans="1:14" ht="21.75" customHeight="1" x14ac:dyDescent="0.4">
      <c r="A525" s="316"/>
      <c r="B525" s="45" t="s">
        <v>215</v>
      </c>
      <c r="C525" s="43"/>
      <c r="D525" s="51"/>
      <c r="E525" s="45"/>
      <c r="F525" s="45"/>
      <c r="G525" s="46"/>
      <c r="H525" s="342" t="s">
        <v>20</v>
      </c>
      <c r="I525" s="200">
        <f ca="1">IFERROR(__xludf.DUMMYFUNCTION("IMPORTRANGE(""https://docs.google.com/spreadsheets/d/1muirlRDkqiswvy_NRZ3Yh955hx-PF6_HhssUYiSJj8o/edit?usp=sharing"",""กองทุน!N34"")"),2664010.23)</f>
        <v>2664010.23</v>
      </c>
      <c r="J525" s="200">
        <f ca="1">IFERROR(__xludf.DUMMYFUNCTION("IMPORTRANGE(""https://docs.google.com/spreadsheets/d/1muirlRDkqiswvy_NRZ3Yh955hx-PF6_HhssUYiSJj8o/edit?usp=sharing"",""กองทุน!P34"")"),117205.02)</f>
        <v>117205.02</v>
      </c>
      <c r="K525" s="201">
        <f t="shared" ca="1" si="118"/>
        <v>4.399570943089059</v>
      </c>
      <c r="L525" s="201"/>
      <c r="M525" s="201"/>
      <c r="N525" s="53"/>
    </row>
    <row r="526" spans="1:14" ht="21.75" customHeight="1" x14ac:dyDescent="0.4">
      <c r="A526" s="316"/>
      <c r="B526" s="45"/>
      <c r="C526" s="43"/>
      <c r="D526" s="51"/>
      <c r="E526" s="45"/>
      <c r="F526" s="45"/>
      <c r="G526" s="46"/>
      <c r="H526" s="342" t="s">
        <v>16</v>
      </c>
      <c r="I526" s="200">
        <f ca="1">IFERROR(__xludf.DUMMYFUNCTION("IMPORTRANGE(""https://docs.google.com/spreadsheets/d/1muirlRDkqiswvy_NRZ3Yh955hx-PF6_HhssUYiSJj8o/edit?usp=sharing"",""กองทุน!M34"")"),180)</f>
        <v>180</v>
      </c>
      <c r="J526" s="200">
        <f ca="1">IFERROR(__xludf.DUMMYFUNCTION("IMPORTRANGE(""https://docs.google.com/spreadsheets/d/1muirlRDkqiswvy_NRZ3Yh955hx-PF6_HhssUYiSJj8o/edit?usp=sharing"",""กองทุน!O34"")"),7)</f>
        <v>7</v>
      </c>
      <c r="K526" s="201">
        <f t="shared" ca="1" si="118"/>
        <v>3.8888888888888888</v>
      </c>
      <c r="L526" s="201"/>
      <c r="M526" s="201"/>
      <c r="N526" s="53"/>
    </row>
    <row r="527" spans="1:14" ht="21.75" customHeight="1" x14ac:dyDescent="0.4">
      <c r="A527" s="316"/>
      <c r="B527" s="45" t="s">
        <v>216</v>
      </c>
      <c r="C527" s="43"/>
      <c r="D527" s="51"/>
      <c r="E527" s="45"/>
      <c r="F527" s="45"/>
      <c r="G527" s="46"/>
      <c r="H527" s="342" t="s">
        <v>20</v>
      </c>
      <c r="I527" s="200">
        <f ca="1">IFERROR(__xludf.DUMMYFUNCTION("IMPORTRANGE(""https://docs.google.com/spreadsheets/d/1muirlRDkqiswvy_NRZ3Yh955hx-PF6_HhssUYiSJj8o/edit?usp=sharing"",""กองทุน!S34"")"),5000000)</f>
        <v>5000000</v>
      </c>
      <c r="J527" s="200">
        <f ca="1">IFERROR(__xludf.DUMMYFUNCTION("IMPORTRANGE(""https://docs.google.com/spreadsheets/d/1muirlRDkqiswvy_NRZ3Yh955hx-PF6_HhssUYiSJj8o/edit?usp=sharing"",""กองทุน!U34"")"),0)</f>
        <v>0</v>
      </c>
      <c r="K527" s="201">
        <f t="shared" ca="1" si="118"/>
        <v>0</v>
      </c>
      <c r="L527" s="201"/>
      <c r="M527" s="201"/>
      <c r="N527" s="53"/>
    </row>
    <row r="528" spans="1:14" ht="21.75" customHeight="1" x14ac:dyDescent="0.4">
      <c r="A528" s="317"/>
      <c r="B528" s="319"/>
      <c r="C528" s="319"/>
      <c r="D528" s="318"/>
      <c r="E528" s="343"/>
      <c r="F528" s="343"/>
      <c r="G528" s="344"/>
      <c r="H528" s="345" t="s">
        <v>16</v>
      </c>
      <c r="I528" s="322">
        <f ca="1">IFERROR(__xludf.DUMMYFUNCTION("IMPORTRANGE(""https://docs.google.com/spreadsheets/d/1muirlRDkqiswvy_NRZ3Yh955hx-PF6_HhssUYiSJj8o/edit?usp=sharing"",""กองทุน!R34"")"),114)</f>
        <v>114</v>
      </c>
      <c r="J528" s="322">
        <f ca="1">IFERROR(__xludf.DUMMYFUNCTION("IMPORTRANGE(""https://docs.google.com/spreadsheets/d/1muirlRDkqiswvy_NRZ3Yh955hx-PF6_HhssUYiSJj8o/edit?usp=sharing"",""กองทุน!T34"")"),0)</f>
        <v>0</v>
      </c>
      <c r="K528" s="323">
        <f t="shared" ca="1" si="118"/>
        <v>0</v>
      </c>
      <c r="L528" s="323"/>
      <c r="M528" s="323"/>
      <c r="N528" s="346"/>
    </row>
    <row r="529" spans="1:14" ht="21.75" customHeight="1" x14ac:dyDescent="0.4">
      <c r="A529" s="347"/>
      <c r="B529" s="347"/>
      <c r="C529" s="347"/>
      <c r="D529" s="347"/>
      <c r="E529" s="348" t="s">
        <v>217</v>
      </c>
      <c r="F529" s="348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&amp;P/&amp;N&amp;R&amp;F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L18" sqref="L18"/>
      <selection pane="bottomLeft" activeCell="L18" sqref="L18"/>
    </sheetView>
  </sheetViews>
  <sheetFormatPr defaultColWidth="12.625" defaultRowHeight="15" customHeight="1" x14ac:dyDescent="0.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4">
      <c r="A1" s="403" t="s">
        <v>0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</row>
    <row r="2" spans="1:14" ht="18" customHeight="1" x14ac:dyDescent="0.4">
      <c r="A2" s="403" t="s">
        <v>247</v>
      </c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404"/>
    </row>
    <row r="3" spans="1:14" ht="18" customHeight="1" x14ac:dyDescent="0.4">
      <c r="A3" s="403" t="s">
        <v>249</v>
      </c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04"/>
    </row>
    <row r="4" spans="1:14" ht="33.75" customHeight="1" x14ac:dyDescent="0.4">
      <c r="A4" s="2"/>
      <c r="B4" s="2"/>
      <c r="C4" s="2"/>
      <c r="D4" s="2"/>
      <c r="E4" s="2"/>
      <c r="F4" s="2"/>
      <c r="G4" s="2"/>
      <c r="H4" s="2"/>
      <c r="I4" s="2"/>
      <c r="J4" s="354" t="s">
        <v>2</v>
      </c>
      <c r="K4" s="4"/>
      <c r="L4" s="5"/>
      <c r="M4" s="355" t="s">
        <v>3</v>
      </c>
      <c r="N4" s="2"/>
    </row>
    <row r="5" spans="1:14" ht="21.75" customHeight="1" x14ac:dyDescent="0.55000000000000004">
      <c r="A5" s="405" t="s">
        <v>4</v>
      </c>
      <c r="B5" s="406"/>
      <c r="C5" s="406"/>
      <c r="D5" s="406"/>
      <c r="E5" s="406"/>
      <c r="F5" s="406"/>
      <c r="G5" s="407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1414365</v>
      </c>
      <c r="M6" s="16">
        <f t="shared" si="0"/>
        <v>41510</v>
      </c>
      <c r="N6" s="17">
        <f ca="1">IF(L6&gt;0,M6*100/L6,0)</f>
        <v>2.9348859735641084</v>
      </c>
    </row>
    <row r="7" spans="1:14" ht="21.75" customHeight="1" x14ac:dyDescent="0.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41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41">
        <f ca="1">IF(L9&gt;0,M9*100/L9,0)</f>
        <v>0</v>
      </c>
    </row>
    <row r="10" spans="1:14" ht="21.75" customHeight="1" x14ac:dyDescent="0.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41">
        <f t="shared" ca="1" si="2"/>
        <v>0</v>
      </c>
      <c r="L10" s="40"/>
      <c r="M10" s="40"/>
      <c r="N10" s="41"/>
    </row>
    <row r="11" spans="1:14" ht="21.75" customHeight="1" x14ac:dyDescent="0.4">
      <c r="A11" s="42"/>
      <c r="B11" s="43"/>
      <c r="C11" s="43" t="s">
        <v>17</v>
      </c>
      <c r="D11" s="44" t="s">
        <v>18</v>
      </c>
      <c r="E11" s="45"/>
      <c r="F11" s="45"/>
      <c r="G11" s="46" t="s">
        <v>19</v>
      </c>
      <c r="H11" s="47" t="s">
        <v>20</v>
      </c>
      <c r="I11" s="67" t="s">
        <v>21</v>
      </c>
      <c r="J11" s="67"/>
      <c r="K11" s="233"/>
      <c r="L11" s="50">
        <v>0</v>
      </c>
      <c r="M11" s="50">
        <v>0</v>
      </c>
      <c r="N11" s="50">
        <f t="shared" ref="N11:N14" si="4">+IF(L11&gt;0,M11*100/L11,0)</f>
        <v>0</v>
      </c>
    </row>
    <row r="12" spans="1:14" ht="21.75" customHeight="1" x14ac:dyDescent="0.4">
      <c r="A12" s="42"/>
      <c r="B12" s="43"/>
      <c r="C12" s="43"/>
      <c r="D12" s="51"/>
      <c r="E12" s="45"/>
      <c r="F12" s="45" t="s">
        <v>21</v>
      </c>
      <c r="G12" s="46" t="s">
        <v>22</v>
      </c>
      <c r="H12" s="47" t="s">
        <v>20</v>
      </c>
      <c r="I12" s="67"/>
      <c r="J12" s="67"/>
      <c r="K12" s="233"/>
      <c r="L12" s="53">
        <f ca="1">IFERROR(__xludf.DUMMYFUNCTION("IMPORTRANGE(""https://docs.google.com/spreadsheets/d/1C3CXT74ZlgGe6_JY_1olB1XN4rF0dxEuIIF-xsYjHgg/edit?usp=sharing"",""พรบ!C35"")"),0)</f>
        <v>0</v>
      </c>
      <c r="M12" s="50">
        <f>SUM(M13:M14)</f>
        <v>0</v>
      </c>
      <c r="N12" s="50">
        <f t="shared" ca="1" si="4"/>
        <v>0</v>
      </c>
    </row>
    <row r="13" spans="1:14" ht="21.75" customHeight="1" x14ac:dyDescent="0.4">
      <c r="A13" s="42"/>
      <c r="B13" s="43"/>
      <c r="C13" s="43"/>
      <c r="D13" s="51"/>
      <c r="E13" s="45"/>
      <c r="F13" s="45"/>
      <c r="G13" s="52" t="s">
        <v>23</v>
      </c>
      <c r="H13" s="47" t="s">
        <v>20</v>
      </c>
      <c r="I13" s="67"/>
      <c r="J13" s="67"/>
      <c r="K13" s="233"/>
      <c r="L13" s="53">
        <f ca="1">IFERROR(__xludf.DUMMYFUNCTION("IMPORTRANGE(""https://docs.google.com/spreadsheets/d/1C3CXT74ZlgGe6_JY_1olB1XN4rF0dxEuIIF-xsYjHgg/edit?usp=sharing"",""พรบ!D35"")"),0)</f>
        <v>0</v>
      </c>
      <c r="M13" s="53">
        <v>0</v>
      </c>
      <c r="N13" s="53">
        <f t="shared" ca="1" si="4"/>
        <v>0</v>
      </c>
    </row>
    <row r="14" spans="1:14" ht="21.75" customHeight="1" x14ac:dyDescent="0.4">
      <c r="A14" s="42"/>
      <c r="B14" s="43"/>
      <c r="C14" s="43"/>
      <c r="D14" s="51"/>
      <c r="E14" s="45"/>
      <c r="F14" s="45"/>
      <c r="G14" s="52" t="s">
        <v>24</v>
      </c>
      <c r="H14" s="47" t="s">
        <v>20</v>
      </c>
      <c r="I14" s="67"/>
      <c r="J14" s="67"/>
      <c r="K14" s="233"/>
      <c r="L14" s="53">
        <f ca="1">IFERROR(__xludf.DUMMYFUNCTION("IMPORTRANGE(""https://docs.google.com/spreadsheets/d/1C3CXT74ZlgGe6_JY_1olB1XN4rF0dxEuIIF-xsYjHgg/edit?usp=sharing"",""พรบ!E35"")"),0)</f>
        <v>0</v>
      </c>
      <c r="M14" s="53">
        <v>0</v>
      </c>
      <c r="N14" s="53">
        <f t="shared" ca="1" si="4"/>
        <v>0</v>
      </c>
    </row>
    <row r="15" spans="1:14" ht="21.75" customHeight="1" x14ac:dyDescent="0.4">
      <c r="A15" s="55"/>
      <c r="B15" s="56"/>
      <c r="C15" s="43" t="s">
        <v>17</v>
      </c>
      <c r="D15" s="57" t="s">
        <v>25</v>
      </c>
      <c r="E15" s="58"/>
      <c r="F15" s="58"/>
      <c r="G15" s="59"/>
      <c r="H15" s="60"/>
      <c r="I15" s="67"/>
      <c r="J15" s="67"/>
      <c r="K15" s="233"/>
      <c r="L15" s="53"/>
      <c r="M15" s="53"/>
      <c r="N15" s="53"/>
    </row>
    <row r="16" spans="1:14" ht="21.75" customHeight="1" x14ac:dyDescent="0.4">
      <c r="A16" s="55"/>
      <c r="B16" s="56"/>
      <c r="C16" s="56"/>
      <c r="D16" s="62">
        <v>1</v>
      </c>
      <c r="E16" s="63" t="s">
        <v>26</v>
      </c>
      <c r="F16" s="64"/>
      <c r="G16" s="65"/>
      <c r="H16" s="66"/>
      <c r="I16" s="67"/>
      <c r="J16" s="67">
        <v>0</v>
      </c>
      <c r="K16" s="233"/>
      <c r="L16" s="53"/>
      <c r="M16" s="53"/>
      <c r="N16" s="53"/>
    </row>
    <row r="17" spans="1:14" ht="21.75" customHeight="1" x14ac:dyDescent="0.4">
      <c r="A17" s="55"/>
      <c r="B17" s="56"/>
      <c r="C17" s="56"/>
      <c r="D17" s="69">
        <v>2</v>
      </c>
      <c r="E17" s="70" t="s">
        <v>27</v>
      </c>
      <c r="F17" s="71"/>
      <c r="G17" s="72"/>
      <c r="H17" s="66"/>
      <c r="I17" s="67"/>
      <c r="J17" s="67">
        <v>0</v>
      </c>
      <c r="K17" s="233"/>
      <c r="L17" s="53" t="s">
        <v>21</v>
      </c>
      <c r="M17" s="53" t="s">
        <v>21</v>
      </c>
      <c r="N17" s="53"/>
    </row>
    <row r="18" spans="1:14" ht="21.75" customHeight="1" x14ac:dyDescent="0.4">
      <c r="A18" s="55"/>
      <c r="B18" s="56"/>
      <c r="C18" s="56"/>
      <c r="D18" s="73"/>
      <c r="E18" s="74" t="s">
        <v>28</v>
      </c>
      <c r="F18" s="75"/>
      <c r="G18" s="76"/>
      <c r="H18" s="66"/>
      <c r="I18" s="67"/>
      <c r="J18" s="67">
        <v>0</v>
      </c>
      <c r="K18" s="233"/>
      <c r="L18" s="53"/>
      <c r="M18" s="53"/>
      <c r="N18" s="53"/>
    </row>
    <row r="19" spans="1:14" ht="21.75" customHeight="1" x14ac:dyDescent="0.4">
      <c r="A19" s="55"/>
      <c r="B19" s="56"/>
      <c r="C19" s="56"/>
      <c r="D19" s="73"/>
      <c r="E19" s="74" t="s">
        <v>29</v>
      </c>
      <c r="F19" s="75"/>
      <c r="G19" s="76"/>
      <c r="H19" s="66"/>
      <c r="I19" s="67"/>
      <c r="J19" s="67">
        <v>0</v>
      </c>
      <c r="K19" s="233"/>
      <c r="L19" s="53"/>
      <c r="M19" s="53"/>
      <c r="N19" s="53"/>
    </row>
    <row r="20" spans="1:14" ht="21.75" customHeight="1" x14ac:dyDescent="0.4">
      <c r="A20" s="55"/>
      <c r="B20" s="56"/>
      <c r="C20" s="56"/>
      <c r="D20" s="73"/>
      <c r="E20" s="77"/>
      <c r="F20" s="74" t="s">
        <v>30</v>
      </c>
      <c r="G20" s="75"/>
      <c r="H20" s="78" t="s">
        <v>15</v>
      </c>
      <c r="I20" s="79">
        <f t="shared" ref="I20:J20" ca="1" si="5">+I22+I24+I26</f>
        <v>0</v>
      </c>
      <c r="J20" s="79">
        <f t="shared" si="5"/>
        <v>0</v>
      </c>
      <c r="K20" s="362">
        <f t="shared" ref="K20:K28" ca="1" si="6">IF(I20&gt;0,J20*100/I20,0)</f>
        <v>0</v>
      </c>
      <c r="L20" s="53"/>
      <c r="M20" s="53"/>
      <c r="N20" s="53"/>
    </row>
    <row r="21" spans="1:14" ht="21.75" customHeight="1" x14ac:dyDescent="0.4">
      <c r="A21" s="55"/>
      <c r="B21" s="56"/>
      <c r="C21" s="56"/>
      <c r="D21" s="73"/>
      <c r="E21" s="77"/>
      <c r="F21" s="75"/>
      <c r="G21" s="76"/>
      <c r="H21" s="78" t="s">
        <v>16</v>
      </c>
      <c r="I21" s="79">
        <f t="shared" ref="I21:J21" ca="1" si="7">+I23+I25+I27</f>
        <v>0</v>
      </c>
      <c r="J21" s="79">
        <f t="shared" si="7"/>
        <v>0</v>
      </c>
      <c r="K21" s="362">
        <f t="shared" ca="1" si="6"/>
        <v>0</v>
      </c>
      <c r="L21" s="53"/>
      <c r="M21" s="53"/>
      <c r="N21" s="53"/>
    </row>
    <row r="22" spans="1:14" ht="21.75" customHeight="1" x14ac:dyDescent="0.4">
      <c r="A22" s="55"/>
      <c r="B22" s="56"/>
      <c r="C22" s="56"/>
      <c r="D22" s="73"/>
      <c r="E22" s="77"/>
      <c r="F22" s="75"/>
      <c r="G22" s="75" t="s">
        <v>31</v>
      </c>
      <c r="H22" s="60" t="s">
        <v>15</v>
      </c>
      <c r="I22" s="67">
        <f ca="1">IFERROR(__xludf.DUMMYFUNCTION("IMPORTRANGE(""https://docs.google.com/spreadsheets/d/1C3CXT74ZlgGe6_JY_1olB1XN4rF0dxEuIIF-xsYjHgg/edit?usp=sharing"",""พรบ!H35"")"),0)</f>
        <v>0</v>
      </c>
      <c r="J22" s="67">
        <v>0</v>
      </c>
      <c r="K22" s="233">
        <f t="shared" ca="1" si="6"/>
        <v>0</v>
      </c>
      <c r="L22" s="53"/>
      <c r="M22" s="53"/>
      <c r="N22" s="53"/>
    </row>
    <row r="23" spans="1:14" ht="21.75" customHeight="1" x14ac:dyDescent="0.4">
      <c r="A23" s="55"/>
      <c r="B23" s="56"/>
      <c r="C23" s="56"/>
      <c r="D23" s="73"/>
      <c r="E23" s="77"/>
      <c r="F23" s="75"/>
      <c r="G23" s="76"/>
      <c r="H23" s="60" t="s">
        <v>16</v>
      </c>
      <c r="I23" s="67">
        <f ca="1">IFERROR(__xludf.DUMMYFUNCTION("IMPORTRANGE(""https://docs.google.com/spreadsheets/d/1C3CXT74ZlgGe6_JY_1olB1XN4rF0dxEuIIF-xsYjHgg/edit?usp=sharing"",""พรบ!I35"")"),0)</f>
        <v>0</v>
      </c>
      <c r="J23" s="67">
        <v>0</v>
      </c>
      <c r="K23" s="233">
        <f t="shared" ca="1" si="6"/>
        <v>0</v>
      </c>
      <c r="L23" s="53"/>
      <c r="M23" s="53"/>
      <c r="N23" s="53"/>
    </row>
    <row r="24" spans="1:14" ht="21.75" customHeight="1" x14ac:dyDescent="0.4">
      <c r="A24" s="55"/>
      <c r="B24" s="56"/>
      <c r="C24" s="56"/>
      <c r="D24" s="73"/>
      <c r="E24" s="77"/>
      <c r="F24" s="75"/>
      <c r="G24" s="75" t="s">
        <v>32</v>
      </c>
      <c r="H24" s="60" t="s">
        <v>15</v>
      </c>
      <c r="I24" s="67">
        <f ca="1">IFERROR(__xludf.DUMMYFUNCTION("IMPORTRANGE(""https://docs.google.com/spreadsheets/d/1C3CXT74ZlgGe6_JY_1olB1XN4rF0dxEuIIF-xsYjHgg/edit?usp=sharing"",""พรบ!J35"")"),0)</f>
        <v>0</v>
      </c>
      <c r="J24" s="67">
        <v>0</v>
      </c>
      <c r="K24" s="233">
        <f t="shared" ca="1" si="6"/>
        <v>0</v>
      </c>
      <c r="L24" s="53"/>
      <c r="M24" s="53"/>
      <c r="N24" s="53"/>
    </row>
    <row r="25" spans="1:14" ht="21.75" customHeight="1" x14ac:dyDescent="0.4">
      <c r="A25" s="55"/>
      <c r="B25" s="56"/>
      <c r="C25" s="56"/>
      <c r="D25" s="73"/>
      <c r="E25" s="77"/>
      <c r="F25" s="75"/>
      <c r="G25" s="76"/>
      <c r="H25" s="60" t="s">
        <v>16</v>
      </c>
      <c r="I25" s="67">
        <f ca="1">IFERROR(__xludf.DUMMYFUNCTION("IMPORTRANGE(""https://docs.google.com/spreadsheets/d/1C3CXT74ZlgGe6_JY_1olB1XN4rF0dxEuIIF-xsYjHgg/edit?usp=sharing"",""พรบ!K35"")"),0)</f>
        <v>0</v>
      </c>
      <c r="J25" s="67">
        <v>0</v>
      </c>
      <c r="K25" s="233">
        <f t="shared" ca="1" si="6"/>
        <v>0</v>
      </c>
      <c r="L25" s="53"/>
      <c r="M25" s="53"/>
      <c r="N25" s="53"/>
    </row>
    <row r="26" spans="1:14" ht="21.75" customHeight="1" x14ac:dyDescent="0.4">
      <c r="A26" s="55"/>
      <c r="B26" s="56"/>
      <c r="C26" s="56"/>
      <c r="D26" s="73"/>
      <c r="E26" s="77"/>
      <c r="F26" s="75"/>
      <c r="G26" s="75" t="s">
        <v>33</v>
      </c>
      <c r="H26" s="60" t="s">
        <v>15</v>
      </c>
      <c r="I26" s="67">
        <f ca="1">IFERROR(__xludf.DUMMYFUNCTION("IMPORTRANGE(""https://docs.google.com/spreadsheets/d/1C3CXT74ZlgGe6_JY_1olB1XN4rF0dxEuIIF-xsYjHgg/edit?usp=sharing"",""พรบ!L35"")"),0)</f>
        <v>0</v>
      </c>
      <c r="J26" s="67">
        <v>0</v>
      </c>
      <c r="K26" s="233">
        <f t="shared" ca="1" si="6"/>
        <v>0</v>
      </c>
      <c r="L26" s="53"/>
      <c r="M26" s="53"/>
      <c r="N26" s="53"/>
    </row>
    <row r="27" spans="1:14" ht="21.75" customHeight="1" x14ac:dyDescent="0.4">
      <c r="A27" s="55"/>
      <c r="B27" s="56"/>
      <c r="C27" s="56"/>
      <c r="D27" s="73"/>
      <c r="E27" s="77"/>
      <c r="F27" s="75"/>
      <c r="G27" s="76"/>
      <c r="H27" s="60" t="s">
        <v>16</v>
      </c>
      <c r="I27" s="67">
        <f ca="1">IFERROR(__xludf.DUMMYFUNCTION("IMPORTRANGE(""https://docs.google.com/spreadsheets/d/1C3CXT74ZlgGe6_JY_1olB1XN4rF0dxEuIIF-xsYjHgg/edit?usp=sharing"",""พรบ!M35"")"),0)</f>
        <v>0</v>
      </c>
      <c r="J27" s="67">
        <v>0</v>
      </c>
      <c r="K27" s="233">
        <f t="shared" ca="1" si="6"/>
        <v>0</v>
      </c>
      <c r="L27" s="53"/>
      <c r="M27" s="53"/>
      <c r="N27" s="53"/>
    </row>
    <row r="28" spans="1:14" ht="21.75" customHeight="1" x14ac:dyDescent="0.4">
      <c r="A28" s="55"/>
      <c r="B28" s="56"/>
      <c r="C28" s="56"/>
      <c r="D28" s="73"/>
      <c r="E28" s="77"/>
      <c r="F28" s="74" t="s">
        <v>34</v>
      </c>
      <c r="G28" s="75"/>
      <c r="H28" s="60" t="s">
        <v>16</v>
      </c>
      <c r="I28" s="67">
        <f ca="1">IFERROR(__xludf.DUMMYFUNCTION("IMPORTRANGE(""https://docs.google.com/spreadsheets/d/1C3CXT74ZlgGe6_JY_1olB1XN4rF0dxEuIIF-xsYjHgg/edit?usp=sharing"",""พรบ!N35"")"),0)</f>
        <v>0</v>
      </c>
      <c r="J28" s="67">
        <v>0</v>
      </c>
      <c r="K28" s="233">
        <f t="shared" ca="1" si="6"/>
        <v>0</v>
      </c>
      <c r="L28" s="53"/>
      <c r="M28" s="53"/>
      <c r="N28" s="53"/>
    </row>
    <row r="29" spans="1:14" ht="21.75" customHeight="1" x14ac:dyDescent="0.4">
      <c r="A29" s="55"/>
      <c r="B29" s="56"/>
      <c r="C29" s="56"/>
      <c r="D29" s="73"/>
      <c r="E29" s="74" t="s">
        <v>35</v>
      </c>
      <c r="F29" s="75"/>
      <c r="G29" s="76"/>
      <c r="H29" s="66"/>
      <c r="I29" s="67"/>
      <c r="J29" s="67">
        <v>0</v>
      </c>
      <c r="K29" s="233"/>
      <c r="L29" s="53"/>
      <c r="M29" s="53"/>
      <c r="N29" s="53"/>
    </row>
    <row r="30" spans="1:14" ht="21.75" customHeight="1" x14ac:dyDescent="0.4">
      <c r="A30" s="55"/>
      <c r="B30" s="56"/>
      <c r="C30" s="56"/>
      <c r="D30" s="81">
        <v>3</v>
      </c>
      <c r="E30" s="82" t="s">
        <v>36</v>
      </c>
      <c r="F30" s="83"/>
      <c r="G30" s="84"/>
      <c r="H30" s="66"/>
      <c r="I30" s="67"/>
      <c r="J30" s="360">
        <v>0</v>
      </c>
      <c r="K30" s="233"/>
      <c r="L30" s="53"/>
      <c r="M30" s="53"/>
      <c r="N30" s="53"/>
    </row>
    <row r="31" spans="1:14" ht="21.75" customHeight="1" x14ac:dyDescent="0.4">
      <c r="A31" s="86" t="s">
        <v>37</v>
      </c>
      <c r="B31" s="87"/>
      <c r="C31" s="88"/>
      <c r="D31" s="87"/>
      <c r="E31" s="89"/>
      <c r="F31" s="89"/>
      <c r="G31" s="90"/>
      <c r="H31" s="91"/>
      <c r="I31" s="92"/>
      <c r="J31" s="92"/>
      <c r="K31" s="93"/>
      <c r="L31" s="94"/>
      <c r="M31" s="94"/>
      <c r="N31" s="95"/>
    </row>
    <row r="32" spans="1:14" ht="21.75" customHeight="1" x14ac:dyDescent="0.4">
      <c r="A32" s="34"/>
      <c r="B32" s="35" t="s">
        <v>38</v>
      </c>
      <c r="C32" s="35"/>
      <c r="D32" s="36"/>
      <c r="E32" s="35"/>
      <c r="F32" s="35"/>
      <c r="G32" s="96"/>
      <c r="H32" s="37" t="s">
        <v>16</v>
      </c>
      <c r="I32" s="38">
        <f t="shared" ref="I32:J32" ca="1" si="8">+I44</f>
        <v>4</v>
      </c>
      <c r="J32" s="38">
        <f t="shared" si="8"/>
        <v>0</v>
      </c>
      <c r="K32" s="41">
        <f t="shared" ref="K32:K33" ca="1" si="9">IF(I32&gt;0,J32*100/I32,0)</f>
        <v>0</v>
      </c>
      <c r="L32" s="97">
        <f ca="1">L34+L35</f>
        <v>122100</v>
      </c>
      <c r="M32" s="97">
        <f>SUM(M34:M35)</f>
        <v>0</v>
      </c>
      <c r="N32" s="41">
        <f ca="1">IF(L32&gt;0,M32*100/L32,0)</f>
        <v>0</v>
      </c>
    </row>
    <row r="33" spans="1:14" ht="21.75" customHeight="1" x14ac:dyDescent="0.4">
      <c r="A33" s="34"/>
      <c r="B33" s="35"/>
      <c r="C33" s="35"/>
      <c r="D33" s="36" t="s">
        <v>39</v>
      </c>
      <c r="E33" s="35"/>
      <c r="F33" s="35"/>
      <c r="G33" s="96"/>
      <c r="H33" s="37" t="s">
        <v>40</v>
      </c>
      <c r="I33" s="38">
        <f ca="1">I48</f>
        <v>1</v>
      </c>
      <c r="J33" s="38">
        <f>+J48</f>
        <v>0</v>
      </c>
      <c r="K33" s="41">
        <f t="shared" ca="1" si="9"/>
        <v>0</v>
      </c>
      <c r="L33" s="97"/>
      <c r="M33" s="97"/>
      <c r="N33" s="41"/>
    </row>
    <row r="34" spans="1:14" ht="21.75" customHeight="1" x14ac:dyDescent="0.4">
      <c r="A34" s="42"/>
      <c r="B34" s="43"/>
      <c r="C34" s="43" t="s">
        <v>17</v>
      </c>
      <c r="D34" s="44" t="s">
        <v>18</v>
      </c>
      <c r="E34" s="45"/>
      <c r="F34" s="45"/>
      <c r="G34" s="46" t="s">
        <v>19</v>
      </c>
      <c r="H34" s="47" t="s">
        <v>20</v>
      </c>
      <c r="I34" s="48" t="s">
        <v>21</v>
      </c>
      <c r="J34" s="48"/>
      <c r="K34" s="49"/>
      <c r="L34" s="53">
        <v>0</v>
      </c>
      <c r="M34" s="50">
        <v>0</v>
      </c>
      <c r="N34" s="50">
        <f t="shared" ref="N34:N37" si="10">+IF(L34&gt;0,M34*100/L34,0)</f>
        <v>0</v>
      </c>
    </row>
    <row r="35" spans="1:14" ht="21.75" customHeight="1" x14ac:dyDescent="0.4">
      <c r="A35" s="42"/>
      <c r="B35" s="43"/>
      <c r="C35" s="43"/>
      <c r="D35" s="51"/>
      <c r="E35" s="45"/>
      <c r="F35" s="45" t="s">
        <v>21</v>
      </c>
      <c r="G35" s="46" t="s">
        <v>22</v>
      </c>
      <c r="H35" s="47" t="s">
        <v>20</v>
      </c>
      <c r="I35" s="48"/>
      <c r="J35" s="48"/>
      <c r="K35" s="49"/>
      <c r="L35" s="53">
        <f ca="1">IFERROR(__xludf.DUMMYFUNCTION("IMPORTRANGE(""https://docs.google.com/spreadsheets/d/1C3CXT74ZlgGe6_JY_1olB1XN4rF0dxEuIIF-xsYjHgg/edit?usp=sharing"",""พรบ!O35"")"),122100)</f>
        <v>122100</v>
      </c>
      <c r="M35" s="50">
        <f>SUM(M36:M37)</f>
        <v>0</v>
      </c>
      <c r="N35" s="50">
        <f t="shared" ca="1" si="10"/>
        <v>0</v>
      </c>
    </row>
    <row r="36" spans="1:14" ht="21.75" customHeight="1" x14ac:dyDescent="0.4">
      <c r="A36" s="42"/>
      <c r="B36" s="43"/>
      <c r="C36" s="43"/>
      <c r="D36" s="51"/>
      <c r="E36" s="45"/>
      <c r="F36" s="45"/>
      <c r="G36" s="52" t="s">
        <v>23</v>
      </c>
      <c r="H36" s="47" t="s">
        <v>20</v>
      </c>
      <c r="I36" s="48"/>
      <c r="J36" s="48"/>
      <c r="K36" s="49"/>
      <c r="L36" s="53">
        <f ca="1">IFERROR(__xludf.DUMMYFUNCTION("IMPORTRANGE(""https://docs.google.com/spreadsheets/d/1C3CXT74ZlgGe6_JY_1olB1XN4rF0dxEuIIF-xsYjHgg/edit?usp=sharing"",""พรบ!P35"")"),0)</f>
        <v>0</v>
      </c>
      <c r="M36" s="53">
        <v>0</v>
      </c>
      <c r="N36" s="53">
        <f t="shared" ca="1" si="10"/>
        <v>0</v>
      </c>
    </row>
    <row r="37" spans="1:14" ht="21.75" customHeight="1" x14ac:dyDescent="0.4">
      <c r="A37" s="42"/>
      <c r="B37" s="43"/>
      <c r="C37" s="43"/>
      <c r="D37" s="51"/>
      <c r="E37" s="45"/>
      <c r="F37" s="45"/>
      <c r="G37" s="52" t="s">
        <v>24</v>
      </c>
      <c r="H37" s="47" t="s">
        <v>20</v>
      </c>
      <c r="I37" s="48"/>
      <c r="J37" s="48"/>
      <c r="K37" s="49"/>
      <c r="L37" s="53">
        <f ca="1">IFERROR(__xludf.DUMMYFUNCTION("IMPORTRANGE(""https://docs.google.com/spreadsheets/d/1C3CXT74ZlgGe6_JY_1olB1XN4rF0dxEuIIF-xsYjHgg/edit?usp=sharing"",""พรบ!Q35"")"),122100)</f>
        <v>122100</v>
      </c>
      <c r="M37" s="54">
        <v>0</v>
      </c>
      <c r="N37" s="53">
        <f t="shared" ca="1" si="10"/>
        <v>0</v>
      </c>
    </row>
    <row r="38" spans="1:14" ht="21.75" customHeight="1" x14ac:dyDescent="0.4">
      <c r="A38" s="55"/>
      <c r="B38" s="56"/>
      <c r="C38" s="43" t="s">
        <v>17</v>
      </c>
      <c r="D38" s="57" t="s">
        <v>25</v>
      </c>
      <c r="E38" s="58"/>
      <c r="F38" s="58"/>
      <c r="G38" s="59"/>
      <c r="H38" s="60"/>
      <c r="I38" s="48"/>
      <c r="J38" s="48"/>
      <c r="K38" s="49"/>
      <c r="L38" s="61"/>
      <c r="M38" s="61"/>
      <c r="N38" s="61"/>
    </row>
    <row r="39" spans="1:14" ht="21.75" customHeight="1" x14ac:dyDescent="0.4">
      <c r="A39" s="55"/>
      <c r="B39" s="56"/>
      <c r="C39" s="56"/>
      <c r="D39" s="62">
        <v>1</v>
      </c>
      <c r="E39" s="63" t="s">
        <v>26</v>
      </c>
      <c r="F39" s="64"/>
      <c r="G39" s="65"/>
      <c r="H39" s="66"/>
      <c r="I39" s="67"/>
      <c r="J39" s="68">
        <v>0</v>
      </c>
      <c r="K39" s="49"/>
      <c r="L39" s="61"/>
      <c r="M39" s="61"/>
      <c r="N39" s="61"/>
    </row>
    <row r="40" spans="1:14" ht="21.75" customHeight="1" x14ac:dyDescent="0.4">
      <c r="A40" s="55"/>
      <c r="B40" s="56"/>
      <c r="C40" s="56"/>
      <c r="D40" s="69">
        <v>2</v>
      </c>
      <c r="E40" s="70" t="s">
        <v>27</v>
      </c>
      <c r="F40" s="71"/>
      <c r="G40" s="72"/>
      <c r="H40" s="66"/>
      <c r="I40" s="67"/>
      <c r="J40" s="68">
        <v>1</v>
      </c>
      <c r="K40" s="49"/>
      <c r="L40" s="61" t="s">
        <v>21</v>
      </c>
      <c r="M40" s="61" t="s">
        <v>21</v>
      </c>
      <c r="N40" s="61"/>
    </row>
    <row r="41" spans="1:14" ht="21.75" customHeight="1" x14ac:dyDescent="0.4">
      <c r="A41" s="55"/>
      <c r="B41" s="56"/>
      <c r="C41" s="56"/>
      <c r="D41" s="73"/>
      <c r="E41" s="74" t="s">
        <v>28</v>
      </c>
      <c r="F41" s="75"/>
      <c r="G41" s="76"/>
      <c r="H41" s="66"/>
      <c r="I41" s="67"/>
      <c r="J41" s="68">
        <v>1</v>
      </c>
      <c r="K41" s="49"/>
      <c r="L41" s="61"/>
      <c r="M41" s="61"/>
      <c r="N41" s="61"/>
    </row>
    <row r="42" spans="1:14" ht="21.75" customHeight="1" x14ac:dyDescent="0.4">
      <c r="A42" s="55"/>
      <c r="B42" s="56"/>
      <c r="C42" s="56"/>
      <c r="D42" s="73"/>
      <c r="E42" s="74" t="s">
        <v>29</v>
      </c>
      <c r="F42" s="75"/>
      <c r="G42" s="76"/>
      <c r="H42" s="66"/>
      <c r="I42" s="67"/>
      <c r="J42" s="68">
        <v>0</v>
      </c>
      <c r="K42" s="49"/>
      <c r="L42" s="61"/>
      <c r="M42" s="61"/>
      <c r="N42" s="61"/>
    </row>
    <row r="43" spans="1:14" ht="21.75" customHeight="1" x14ac:dyDescent="0.4">
      <c r="A43" s="55"/>
      <c r="B43" s="56"/>
      <c r="C43" s="56"/>
      <c r="D43" s="73"/>
      <c r="E43" s="75"/>
      <c r="F43" s="75" t="s">
        <v>41</v>
      </c>
      <c r="G43" s="75"/>
      <c r="H43" s="60" t="s">
        <v>42</v>
      </c>
      <c r="I43" s="48">
        <f ca="1">IFERROR(__xludf.DUMMYFUNCTION("IMPORTRANGE(""https://docs.google.com/spreadsheets/d/1C3CXT74ZlgGe6_JY_1olB1XN4rF0dxEuIIF-xsYjHgg/edit?usp=sharing"",""พรบ!R35"")"),1)</f>
        <v>1</v>
      </c>
      <c r="J43" s="68">
        <v>0</v>
      </c>
      <c r="K43" s="49">
        <f t="shared" ref="K43:K48" ca="1" si="11">IF(I43&gt;0,J43*100/I43,0)</f>
        <v>0</v>
      </c>
      <c r="L43" s="61"/>
      <c r="M43" s="61"/>
      <c r="N43" s="61"/>
    </row>
    <row r="44" spans="1:14" ht="21.75" customHeight="1" x14ac:dyDescent="0.4">
      <c r="A44" s="55"/>
      <c r="B44" s="56"/>
      <c r="C44" s="56"/>
      <c r="D44" s="73"/>
      <c r="E44" s="77"/>
      <c r="F44" s="74" t="s">
        <v>43</v>
      </c>
      <c r="G44" s="75"/>
      <c r="H44" s="60" t="s">
        <v>16</v>
      </c>
      <c r="I44" s="48">
        <f ca="1">IFERROR(__xludf.DUMMYFUNCTION("IMPORTRANGE(""https://docs.google.com/spreadsheets/d/1C3CXT74ZlgGe6_JY_1olB1XN4rF0dxEuIIF-xsYjHgg/edit?usp=sharing"",""พรบ!S35"")"),4)</f>
        <v>4</v>
      </c>
      <c r="J44" s="68">
        <v>0</v>
      </c>
      <c r="K44" s="49">
        <f t="shared" ca="1" si="11"/>
        <v>0</v>
      </c>
      <c r="L44" s="61"/>
      <c r="M44" s="61"/>
      <c r="N44" s="61"/>
    </row>
    <row r="45" spans="1:14" ht="21.75" customHeight="1" x14ac:dyDescent="0.4">
      <c r="A45" s="55"/>
      <c r="B45" s="56"/>
      <c r="C45" s="56"/>
      <c r="D45" s="73"/>
      <c r="E45" s="77"/>
      <c r="F45" s="75"/>
      <c r="G45" s="98" t="s">
        <v>44</v>
      </c>
      <c r="H45" s="60" t="s">
        <v>16</v>
      </c>
      <c r="I45" s="48">
        <f ca="1">IFERROR(__xludf.DUMMYFUNCTION("IMPORTRANGE(""https://docs.google.com/spreadsheets/d/1C3CXT74ZlgGe6_JY_1olB1XN4rF0dxEuIIF-xsYjHgg/edit?usp=sharing"",""พรบ!T35"")"),4)</f>
        <v>4</v>
      </c>
      <c r="J45" s="68">
        <v>0</v>
      </c>
      <c r="K45" s="49">
        <f t="shared" ca="1" si="11"/>
        <v>0</v>
      </c>
      <c r="L45" s="61"/>
      <c r="M45" s="61"/>
      <c r="N45" s="61"/>
    </row>
    <row r="46" spans="1:14" ht="21.75" customHeight="1" x14ac:dyDescent="0.4">
      <c r="A46" s="55"/>
      <c r="B46" s="56"/>
      <c r="C46" s="56"/>
      <c r="D46" s="73"/>
      <c r="E46" s="77"/>
      <c r="F46" s="75"/>
      <c r="G46" s="98" t="s">
        <v>45</v>
      </c>
      <c r="H46" s="60" t="s">
        <v>16</v>
      </c>
      <c r="I46" s="48">
        <f ca="1">IFERROR(__xludf.DUMMYFUNCTION("IMPORTRANGE(""https://docs.google.com/spreadsheets/d/1C3CXT74ZlgGe6_JY_1olB1XN4rF0dxEuIIF-xsYjHgg/edit?usp=sharing"",""พรบ!U35"")"),4)</f>
        <v>4</v>
      </c>
      <c r="J46" s="68">
        <v>0</v>
      </c>
      <c r="K46" s="49">
        <f t="shared" ca="1" si="11"/>
        <v>0</v>
      </c>
      <c r="L46" s="61"/>
      <c r="M46" s="61"/>
      <c r="N46" s="61"/>
    </row>
    <row r="47" spans="1:14" ht="21.75" customHeight="1" x14ac:dyDescent="0.4">
      <c r="A47" s="55"/>
      <c r="B47" s="56"/>
      <c r="C47" s="56"/>
      <c r="D47" s="73"/>
      <c r="E47" s="77"/>
      <c r="F47" s="75"/>
      <c r="G47" s="99" t="s">
        <v>46</v>
      </c>
      <c r="H47" s="60" t="s">
        <v>16</v>
      </c>
      <c r="I47" s="48">
        <f ca="1">IFERROR(__xludf.DUMMYFUNCTION("IMPORTRANGE(""https://docs.google.com/spreadsheets/d/1C3CXT74ZlgGe6_JY_1olB1XN4rF0dxEuIIF-xsYjHgg/edit?usp=sharing"",""พรบ!V35"")"),4)</f>
        <v>4</v>
      </c>
      <c r="J47" s="68">
        <v>0</v>
      </c>
      <c r="K47" s="49">
        <f t="shared" ca="1" si="11"/>
        <v>0</v>
      </c>
      <c r="L47" s="61"/>
      <c r="M47" s="61"/>
      <c r="N47" s="61"/>
    </row>
    <row r="48" spans="1:14" ht="21.75" customHeight="1" x14ac:dyDescent="0.4">
      <c r="A48" s="55"/>
      <c r="B48" s="56"/>
      <c r="C48" s="56"/>
      <c r="D48" s="73"/>
      <c r="E48" s="77"/>
      <c r="F48" s="75" t="s">
        <v>47</v>
      </c>
      <c r="G48" s="75"/>
      <c r="H48" s="60" t="s">
        <v>40</v>
      </c>
      <c r="I48" s="48">
        <f ca="1">IFERROR(__xludf.DUMMYFUNCTION("IMPORTRANGE(""https://docs.google.com/spreadsheets/d/1C3CXT74ZlgGe6_JY_1olB1XN4rF0dxEuIIF-xsYjHgg/edit?usp=sharing"",""พรบ!W35"")"),1)</f>
        <v>1</v>
      </c>
      <c r="J48" s="68">
        <v>0</v>
      </c>
      <c r="K48" s="49">
        <f t="shared" ca="1" si="11"/>
        <v>0</v>
      </c>
      <c r="L48" s="61"/>
      <c r="M48" s="61"/>
      <c r="N48" s="61"/>
    </row>
    <row r="49" spans="1:14" ht="21.75" customHeight="1" x14ac:dyDescent="0.4">
      <c r="A49" s="55"/>
      <c r="B49" s="56"/>
      <c r="C49" s="56"/>
      <c r="D49" s="73"/>
      <c r="E49" s="74" t="s">
        <v>35</v>
      </c>
      <c r="F49" s="75"/>
      <c r="G49" s="76"/>
      <c r="H49" s="66"/>
      <c r="I49" s="67"/>
      <c r="J49" s="68">
        <v>0</v>
      </c>
      <c r="K49" s="49"/>
      <c r="L49" s="61"/>
      <c r="M49" s="61"/>
      <c r="N49" s="61"/>
    </row>
    <row r="50" spans="1:14" ht="21.75" customHeight="1" x14ac:dyDescent="0.4">
      <c r="A50" s="55"/>
      <c r="B50" s="56"/>
      <c r="C50" s="56"/>
      <c r="D50" s="81">
        <v>3</v>
      </c>
      <c r="E50" s="82" t="s">
        <v>36</v>
      </c>
      <c r="F50" s="83"/>
      <c r="G50" s="84"/>
      <c r="H50" s="66"/>
      <c r="I50" s="67"/>
      <c r="J50" s="85">
        <v>0</v>
      </c>
      <c r="K50" s="49"/>
      <c r="L50" s="61"/>
      <c r="M50" s="61"/>
      <c r="N50" s="61"/>
    </row>
    <row r="51" spans="1:14" ht="21.75" customHeight="1" x14ac:dyDescent="0.4">
      <c r="A51" s="86" t="s">
        <v>48</v>
      </c>
      <c r="B51" s="100"/>
      <c r="C51" s="101"/>
      <c r="D51" s="100"/>
      <c r="E51" s="102"/>
      <c r="F51" s="102"/>
      <c r="G51" s="103"/>
      <c r="H51" s="91"/>
      <c r="I51" s="92"/>
      <c r="J51" s="92"/>
      <c r="K51" s="93"/>
      <c r="L51" s="94"/>
      <c r="M51" s="94"/>
      <c r="N51" s="95"/>
    </row>
    <row r="52" spans="1:14" ht="21.75" customHeight="1" x14ac:dyDescent="0.4">
      <c r="A52" s="34"/>
      <c r="B52" s="35" t="s">
        <v>49</v>
      </c>
      <c r="C52" s="104"/>
      <c r="D52" s="36"/>
      <c r="E52" s="35"/>
      <c r="F52" s="35"/>
      <c r="G52" s="96"/>
      <c r="H52" s="37" t="s">
        <v>16</v>
      </c>
      <c r="I52" s="38">
        <f ca="1">I62</f>
        <v>20</v>
      </c>
      <c r="J52" s="38">
        <f>+J62</f>
        <v>0</v>
      </c>
      <c r="K52" s="41">
        <f ca="1">IF(I52&gt;0,J52*100/I52,0)</f>
        <v>0</v>
      </c>
      <c r="L52" s="40">
        <f ca="1">L53+L54</f>
        <v>82440</v>
      </c>
      <c r="M52" s="40">
        <f>SUM(M53:M54)</f>
        <v>0</v>
      </c>
      <c r="N52" s="41">
        <f ca="1">IF(L52&gt;0,M52*100/L52,0)</f>
        <v>0</v>
      </c>
    </row>
    <row r="53" spans="1:14" ht="21.75" customHeight="1" x14ac:dyDescent="0.4">
      <c r="A53" s="42"/>
      <c r="B53" s="43"/>
      <c r="C53" s="43" t="s">
        <v>17</v>
      </c>
      <c r="D53" s="44" t="s">
        <v>18</v>
      </c>
      <c r="E53" s="45"/>
      <c r="F53" s="45"/>
      <c r="G53" s="46" t="s">
        <v>19</v>
      </c>
      <c r="H53" s="47" t="s">
        <v>20</v>
      </c>
      <c r="I53" s="48" t="s">
        <v>21</v>
      </c>
      <c r="J53" s="48"/>
      <c r="K53" s="49"/>
      <c r="L53" s="50">
        <v>0</v>
      </c>
      <c r="M53" s="50">
        <v>0</v>
      </c>
      <c r="N53" s="50">
        <f t="shared" ref="N53:N56" si="12">+IF(L53&gt;0,M53*100/L53,0)</f>
        <v>0</v>
      </c>
    </row>
    <row r="54" spans="1:14" ht="21.75" customHeight="1" x14ac:dyDescent="0.4">
      <c r="A54" s="42"/>
      <c r="B54" s="43"/>
      <c r="C54" s="43"/>
      <c r="D54" s="51"/>
      <c r="E54" s="45"/>
      <c r="F54" s="45" t="s">
        <v>21</v>
      </c>
      <c r="G54" s="46" t="s">
        <v>22</v>
      </c>
      <c r="H54" s="47" t="s">
        <v>20</v>
      </c>
      <c r="I54" s="48"/>
      <c r="J54" s="48"/>
      <c r="K54" s="49"/>
      <c r="L54" s="50">
        <f t="shared" ref="L54:M54" ca="1" si="13">SUM(L55:L56)</f>
        <v>82440</v>
      </c>
      <c r="M54" s="50">
        <f t="shared" si="13"/>
        <v>0</v>
      </c>
      <c r="N54" s="50">
        <f t="shared" ca="1" si="12"/>
        <v>0</v>
      </c>
    </row>
    <row r="55" spans="1:14" ht="21.75" customHeight="1" x14ac:dyDescent="0.4">
      <c r="A55" s="42"/>
      <c r="B55" s="43"/>
      <c r="C55" s="43"/>
      <c r="D55" s="51"/>
      <c r="E55" s="45"/>
      <c r="F55" s="45"/>
      <c r="G55" s="52" t="s">
        <v>23</v>
      </c>
      <c r="H55" s="47" t="s">
        <v>20</v>
      </c>
      <c r="I55" s="48"/>
      <c r="J55" s="48"/>
      <c r="K55" s="49"/>
      <c r="L55" s="53">
        <f ca="1">IFERROR(__xludf.DUMMYFUNCTION("IMPORTRANGE(""https://docs.google.com/spreadsheets/d/1C3CXT74ZlgGe6_JY_1olB1XN4rF0dxEuIIF-xsYjHgg/edit?usp=sharing"",""พรบ!Y35"")"),0)</f>
        <v>0</v>
      </c>
      <c r="M55" s="53">
        <v>0</v>
      </c>
      <c r="N55" s="53">
        <f t="shared" ca="1" si="12"/>
        <v>0</v>
      </c>
    </row>
    <row r="56" spans="1:14" ht="21.75" customHeight="1" x14ac:dyDescent="0.4">
      <c r="A56" s="42"/>
      <c r="B56" s="43"/>
      <c r="C56" s="43"/>
      <c r="D56" s="51"/>
      <c r="E56" s="45"/>
      <c r="F56" s="45"/>
      <c r="G56" s="52" t="s">
        <v>24</v>
      </c>
      <c r="H56" s="47" t="s">
        <v>20</v>
      </c>
      <c r="I56" s="48"/>
      <c r="J56" s="48"/>
      <c r="K56" s="49"/>
      <c r="L56" s="53">
        <f ca="1">IFERROR(__xludf.DUMMYFUNCTION("IMPORTRANGE(""https://docs.google.com/spreadsheets/d/1C3CXT74ZlgGe6_JY_1olB1XN4rF0dxEuIIF-xsYjHgg/edit?usp=sharing"",""พรบ!Z35"")"),82440)</f>
        <v>82440</v>
      </c>
      <c r="M56" s="54">
        <v>0</v>
      </c>
      <c r="N56" s="53">
        <f t="shared" ca="1" si="12"/>
        <v>0</v>
      </c>
    </row>
    <row r="57" spans="1:14" ht="21.75" customHeight="1" x14ac:dyDescent="0.4">
      <c r="A57" s="55"/>
      <c r="B57" s="56"/>
      <c r="C57" s="43" t="s">
        <v>17</v>
      </c>
      <c r="D57" s="57" t="s">
        <v>250</v>
      </c>
      <c r="E57" s="58"/>
      <c r="F57" s="58"/>
      <c r="G57" s="59"/>
      <c r="H57" s="60"/>
      <c r="I57" s="48"/>
      <c r="J57" s="48"/>
      <c r="K57" s="49"/>
      <c r="L57" s="61"/>
      <c r="M57" s="61"/>
      <c r="N57" s="61"/>
    </row>
    <row r="58" spans="1:14" ht="21.75" customHeight="1" x14ac:dyDescent="0.4">
      <c r="A58" s="55"/>
      <c r="B58" s="56"/>
      <c r="C58" s="56"/>
      <c r="D58" s="62">
        <v>1</v>
      </c>
      <c r="E58" s="63" t="s">
        <v>26</v>
      </c>
      <c r="F58" s="64"/>
      <c r="G58" s="65"/>
      <c r="H58" s="66"/>
      <c r="I58" s="67"/>
      <c r="J58" s="68">
        <v>0</v>
      </c>
      <c r="K58" s="49"/>
      <c r="L58" s="61"/>
      <c r="M58" s="61"/>
      <c r="N58" s="61"/>
    </row>
    <row r="59" spans="1:14" ht="21.75" customHeight="1" x14ac:dyDescent="0.4">
      <c r="A59" s="55"/>
      <c r="B59" s="56"/>
      <c r="C59" s="56"/>
      <c r="D59" s="69">
        <v>2</v>
      </c>
      <c r="E59" s="70" t="s">
        <v>27</v>
      </c>
      <c r="F59" s="71"/>
      <c r="G59" s="72"/>
      <c r="H59" s="66"/>
      <c r="I59" s="67"/>
      <c r="J59" s="68">
        <v>1</v>
      </c>
      <c r="K59" s="49"/>
      <c r="L59" s="61" t="s">
        <v>21</v>
      </c>
      <c r="M59" s="61" t="s">
        <v>21</v>
      </c>
      <c r="N59" s="61"/>
    </row>
    <row r="60" spans="1:14" ht="21.75" customHeight="1" x14ac:dyDescent="0.4">
      <c r="A60" s="55"/>
      <c r="B60" s="56"/>
      <c r="C60" s="56"/>
      <c r="D60" s="73"/>
      <c r="E60" s="74" t="s">
        <v>28</v>
      </c>
      <c r="F60" s="75"/>
      <c r="G60" s="76"/>
      <c r="H60" s="66"/>
      <c r="I60" s="67"/>
      <c r="J60" s="68">
        <v>1</v>
      </c>
      <c r="K60" s="49"/>
      <c r="L60" s="61"/>
      <c r="M60" s="61"/>
      <c r="N60" s="61"/>
    </row>
    <row r="61" spans="1:14" ht="21.75" customHeight="1" x14ac:dyDescent="0.4">
      <c r="A61" s="55"/>
      <c r="B61" s="56"/>
      <c r="C61" s="56"/>
      <c r="D61" s="73"/>
      <c r="E61" s="74" t="s">
        <v>29</v>
      </c>
      <c r="F61" s="75"/>
      <c r="G61" s="76"/>
      <c r="H61" s="66"/>
      <c r="I61" s="67"/>
      <c r="J61" s="68">
        <v>0</v>
      </c>
      <c r="K61" s="49"/>
      <c r="L61" s="61"/>
      <c r="M61" s="61"/>
      <c r="N61" s="61"/>
    </row>
    <row r="62" spans="1:14" ht="21.75" customHeight="1" x14ac:dyDescent="0.4">
      <c r="A62" s="55"/>
      <c r="B62" s="56"/>
      <c r="C62" s="56"/>
      <c r="D62" s="73"/>
      <c r="E62" s="77"/>
      <c r="F62" s="74" t="s">
        <v>50</v>
      </c>
      <c r="G62" s="76"/>
      <c r="H62" s="60" t="s">
        <v>16</v>
      </c>
      <c r="I62" s="67">
        <f ca="1">IFERROR(__xludf.DUMMYFUNCTION("IMPORTRANGE(""https://docs.google.com/spreadsheets/d/1C3CXT74ZlgGe6_JY_1olB1XN4rF0dxEuIIF-xsYjHgg/edit?usp=sharing"",""พรบ!AA35"")"),20)</f>
        <v>20</v>
      </c>
      <c r="J62" s="68">
        <v>0</v>
      </c>
      <c r="K62" s="49">
        <f t="shared" ref="K62:K63" ca="1" si="14">IF(I62&gt;0,J62*100/I62,0)</f>
        <v>0</v>
      </c>
      <c r="L62" s="61"/>
      <c r="M62" s="61"/>
      <c r="N62" s="61"/>
    </row>
    <row r="63" spans="1:14" ht="21.75" customHeight="1" x14ac:dyDescent="0.4">
      <c r="A63" s="55"/>
      <c r="B63" s="56"/>
      <c r="C63" s="56"/>
      <c r="D63" s="73"/>
      <c r="E63" s="77"/>
      <c r="F63" s="74" t="s">
        <v>51</v>
      </c>
      <c r="G63" s="76"/>
      <c r="H63" s="60" t="s">
        <v>16</v>
      </c>
      <c r="I63" s="67">
        <f ca="1">I62</f>
        <v>20</v>
      </c>
      <c r="J63" s="68">
        <v>0</v>
      </c>
      <c r="K63" s="49">
        <f t="shared" ca="1" si="14"/>
        <v>0</v>
      </c>
      <c r="L63" s="61"/>
      <c r="M63" s="61"/>
      <c r="N63" s="61"/>
    </row>
    <row r="64" spans="1:14" ht="21.75" customHeight="1" x14ac:dyDescent="0.4">
      <c r="A64" s="55"/>
      <c r="B64" s="56"/>
      <c r="C64" s="56"/>
      <c r="D64" s="73"/>
      <c r="E64" s="74" t="s">
        <v>35</v>
      </c>
      <c r="F64" s="75"/>
      <c r="G64" s="76"/>
      <c r="H64" s="66"/>
      <c r="I64" s="67"/>
      <c r="J64" s="68">
        <v>0</v>
      </c>
      <c r="K64" s="49"/>
      <c r="L64" s="61"/>
      <c r="M64" s="61"/>
      <c r="N64" s="61"/>
    </row>
    <row r="65" spans="1:14" ht="21.75" customHeight="1" x14ac:dyDescent="0.4">
      <c r="A65" s="105"/>
      <c r="B65" s="106"/>
      <c r="C65" s="106"/>
      <c r="D65" s="107">
        <v>3</v>
      </c>
      <c r="E65" s="108" t="s">
        <v>36</v>
      </c>
      <c r="F65" s="109"/>
      <c r="G65" s="110"/>
      <c r="H65" s="111"/>
      <c r="I65" s="112"/>
      <c r="J65" s="113">
        <v>0</v>
      </c>
      <c r="K65" s="114"/>
      <c r="L65" s="115"/>
      <c r="M65" s="115"/>
      <c r="N65" s="115"/>
    </row>
    <row r="66" spans="1:14" ht="21.75" customHeight="1" x14ac:dyDescent="0.4">
      <c r="A66" s="116" t="s">
        <v>52</v>
      </c>
      <c r="B66" s="117"/>
      <c r="C66" s="117"/>
      <c r="D66" s="117"/>
      <c r="E66" s="118"/>
      <c r="F66" s="118"/>
      <c r="G66" s="119"/>
      <c r="H66" s="120"/>
      <c r="I66" s="121"/>
      <c r="J66" s="121"/>
      <c r="K66" s="122"/>
      <c r="L66" s="123"/>
      <c r="M66" s="123"/>
      <c r="N66" s="123"/>
    </row>
    <row r="67" spans="1:14" ht="21.75" customHeight="1" x14ac:dyDescent="0.4">
      <c r="A67" s="124" t="s">
        <v>53</v>
      </c>
      <c r="B67" s="125"/>
      <c r="C67" s="125"/>
      <c r="D67" s="126"/>
      <c r="E67" s="126"/>
      <c r="F67" s="126"/>
      <c r="G67" s="127"/>
      <c r="H67" s="128"/>
      <c r="I67" s="129"/>
      <c r="J67" s="129"/>
      <c r="K67" s="130"/>
      <c r="L67" s="130"/>
      <c r="M67" s="130"/>
      <c r="N67" s="131"/>
    </row>
    <row r="68" spans="1:14" ht="21.75" customHeight="1" x14ac:dyDescent="0.4">
      <c r="A68" s="132"/>
      <c r="B68" s="133" t="s">
        <v>54</v>
      </c>
      <c r="C68" s="134"/>
      <c r="D68" s="133"/>
      <c r="E68" s="133"/>
      <c r="F68" s="133"/>
      <c r="G68" s="135"/>
      <c r="H68" s="136" t="s">
        <v>16</v>
      </c>
      <c r="I68" s="137">
        <f t="shared" ref="I68:J68" ca="1" si="15">I126+I129</f>
        <v>0</v>
      </c>
      <c r="J68" s="137">
        <f t="shared" si="15"/>
        <v>0</v>
      </c>
      <c r="K68" s="138">
        <f ca="1">IF(I68&gt;0,J68*100/I68,0)</f>
        <v>0</v>
      </c>
      <c r="L68" s="139">
        <f t="shared" ref="L68:M68" ca="1" si="16">SUM(L70:L71)</f>
        <v>79000</v>
      </c>
      <c r="M68" s="139">
        <f t="shared" si="16"/>
        <v>0</v>
      </c>
      <c r="N68" s="138">
        <f ca="1">IF(L68&gt;0,M68*100/L68,0)</f>
        <v>0</v>
      </c>
    </row>
    <row r="69" spans="1:14" ht="21.75" customHeight="1" x14ac:dyDescent="0.4">
      <c r="A69" s="132"/>
      <c r="B69" s="133" t="s">
        <v>55</v>
      </c>
      <c r="C69" s="134"/>
      <c r="D69" s="133"/>
      <c r="E69" s="133"/>
      <c r="F69" s="133"/>
      <c r="G69" s="135"/>
      <c r="H69" s="136"/>
      <c r="I69" s="137"/>
      <c r="J69" s="137"/>
      <c r="K69" s="138"/>
      <c r="L69" s="139"/>
      <c r="M69" s="139"/>
      <c r="N69" s="138"/>
    </row>
    <row r="70" spans="1:14" ht="21.75" customHeight="1" x14ac:dyDescent="0.4">
      <c r="A70" s="42"/>
      <c r="B70" s="43"/>
      <c r="C70" s="43" t="s">
        <v>17</v>
      </c>
      <c r="D70" s="44" t="s">
        <v>18</v>
      </c>
      <c r="E70" s="45"/>
      <c r="F70" s="45"/>
      <c r="G70" s="46" t="s">
        <v>19</v>
      </c>
      <c r="H70" s="47" t="s">
        <v>20</v>
      </c>
      <c r="I70" s="48" t="s">
        <v>21</v>
      </c>
      <c r="J70" s="48"/>
      <c r="K70" s="49"/>
      <c r="L70" s="50">
        <v>0</v>
      </c>
      <c r="M70" s="50">
        <v>0</v>
      </c>
      <c r="N70" s="50">
        <f t="shared" ref="N70:N77" si="17">+IF(L70&gt;0,M70*100/L70,0)</f>
        <v>0</v>
      </c>
    </row>
    <row r="71" spans="1:14" ht="21.75" customHeight="1" x14ac:dyDescent="0.4">
      <c r="A71" s="42"/>
      <c r="B71" s="43"/>
      <c r="C71" s="43"/>
      <c r="D71" s="51"/>
      <c r="E71" s="45"/>
      <c r="F71" s="45" t="s">
        <v>21</v>
      </c>
      <c r="G71" s="46" t="s">
        <v>22</v>
      </c>
      <c r="H71" s="47" t="s">
        <v>20</v>
      </c>
      <c r="I71" s="48"/>
      <c r="J71" s="48"/>
      <c r="K71" s="49"/>
      <c r="L71" s="50">
        <f ca="1">L72+L73</f>
        <v>79000</v>
      </c>
      <c r="M71" s="140">
        <f>SUM(M72:M73)</f>
        <v>0</v>
      </c>
      <c r="N71" s="50">
        <f t="shared" ca="1" si="17"/>
        <v>0</v>
      </c>
    </row>
    <row r="72" spans="1:14" ht="21.75" customHeight="1" x14ac:dyDescent="0.4">
      <c r="A72" s="42"/>
      <c r="B72" s="43"/>
      <c r="C72" s="43"/>
      <c r="D72" s="51"/>
      <c r="E72" s="45"/>
      <c r="F72" s="45"/>
      <c r="G72" s="52" t="s">
        <v>23</v>
      </c>
      <c r="H72" s="47" t="s">
        <v>20</v>
      </c>
      <c r="I72" s="48"/>
      <c r="J72" s="48"/>
      <c r="K72" s="49"/>
      <c r="L72" s="53">
        <f ca="1">IFERROR(__xludf.DUMMYFUNCTION("IMPORTRANGE(""https://docs.google.com/spreadsheets/d/1C3CXT74ZlgGe6_JY_1olB1XN4rF0dxEuIIF-xsYjHgg/edit?usp=sharing"",""พรบ!AD35"")"),0)</f>
        <v>0</v>
      </c>
      <c r="M72" s="54">
        <v>0</v>
      </c>
      <c r="N72" s="53">
        <f t="shared" ca="1" si="17"/>
        <v>0</v>
      </c>
    </row>
    <row r="73" spans="1:14" ht="21.75" customHeight="1" x14ac:dyDescent="0.4">
      <c r="A73" s="42"/>
      <c r="B73" s="43"/>
      <c r="C73" s="43"/>
      <c r="D73" s="51"/>
      <c r="E73" s="45"/>
      <c r="F73" s="45"/>
      <c r="G73" s="52" t="s">
        <v>24</v>
      </c>
      <c r="H73" s="47" t="s">
        <v>20</v>
      </c>
      <c r="I73" s="48"/>
      <c r="J73" s="48"/>
      <c r="K73" s="49"/>
      <c r="L73" s="53">
        <f t="shared" ref="L73:M73" ca="1" si="18">L77+L92+L104+L117+L132</f>
        <v>79000</v>
      </c>
      <c r="M73" s="53">
        <f t="shared" si="18"/>
        <v>0</v>
      </c>
      <c r="N73" s="53">
        <f t="shared" ca="1" si="17"/>
        <v>0</v>
      </c>
    </row>
    <row r="74" spans="1:14" ht="21.75" customHeight="1" x14ac:dyDescent="0.4">
      <c r="A74" s="141"/>
      <c r="B74" s="142"/>
      <c r="C74" s="143" t="s">
        <v>56</v>
      </c>
      <c r="D74" s="143"/>
      <c r="E74" s="143"/>
      <c r="F74" s="143"/>
      <c r="G74" s="144"/>
      <c r="H74" s="145" t="s">
        <v>57</v>
      </c>
      <c r="I74" s="146">
        <f t="shared" ref="I74:J74" ca="1" si="19">I83</f>
        <v>4</v>
      </c>
      <c r="J74" s="146">
        <f t="shared" si="19"/>
        <v>0</v>
      </c>
      <c r="K74" s="147">
        <f ca="1">IF(I74&gt;0,J74*100/I74,0)</f>
        <v>0</v>
      </c>
      <c r="L74" s="148">
        <f ca="1">L75+L76</f>
        <v>7500</v>
      </c>
      <c r="M74" s="148">
        <f>SUM(M75:M76)</f>
        <v>0</v>
      </c>
      <c r="N74" s="148">
        <f t="shared" ca="1" si="17"/>
        <v>0</v>
      </c>
    </row>
    <row r="75" spans="1:14" ht="21.75" customHeight="1" x14ac:dyDescent="0.4">
      <c r="A75" s="42"/>
      <c r="B75" s="43"/>
      <c r="C75" s="43" t="s">
        <v>17</v>
      </c>
      <c r="D75" s="44" t="s">
        <v>18</v>
      </c>
      <c r="E75" s="45"/>
      <c r="F75" s="45"/>
      <c r="G75" s="46" t="s">
        <v>19</v>
      </c>
      <c r="H75" s="47" t="s">
        <v>20</v>
      </c>
      <c r="I75" s="48" t="s">
        <v>21</v>
      </c>
      <c r="J75" s="48"/>
      <c r="K75" s="49"/>
      <c r="L75" s="50">
        <v>0</v>
      </c>
      <c r="M75" s="50">
        <v>0</v>
      </c>
      <c r="N75" s="50">
        <f t="shared" si="17"/>
        <v>0</v>
      </c>
    </row>
    <row r="76" spans="1:14" ht="21.75" customHeight="1" x14ac:dyDescent="0.4">
      <c r="A76" s="42"/>
      <c r="B76" s="43"/>
      <c r="C76" s="43"/>
      <c r="D76" s="51"/>
      <c r="E76" s="45"/>
      <c r="F76" s="45" t="s">
        <v>21</v>
      </c>
      <c r="G76" s="46" t="s">
        <v>22</v>
      </c>
      <c r="H76" s="47" t="s">
        <v>20</v>
      </c>
      <c r="I76" s="48"/>
      <c r="J76" s="48"/>
      <c r="K76" s="49"/>
      <c r="L76" s="50">
        <f t="shared" ref="L76:M76" ca="1" si="20">L77</f>
        <v>7500</v>
      </c>
      <c r="M76" s="50">
        <f t="shared" si="20"/>
        <v>0</v>
      </c>
      <c r="N76" s="50">
        <f t="shared" ca="1" si="17"/>
        <v>0</v>
      </c>
    </row>
    <row r="77" spans="1:14" ht="21.75" customHeight="1" x14ac:dyDescent="0.4">
      <c r="A77" s="42"/>
      <c r="B77" s="43"/>
      <c r="C77" s="43"/>
      <c r="D77" s="51"/>
      <c r="E77" s="45"/>
      <c r="F77" s="45"/>
      <c r="G77" s="52" t="s">
        <v>24</v>
      </c>
      <c r="H77" s="47" t="s">
        <v>20</v>
      </c>
      <c r="I77" s="48"/>
      <c r="J77" s="48"/>
      <c r="K77" s="49"/>
      <c r="L77" s="53">
        <f ca="1">IFERROR(__xludf.DUMMYFUNCTION("IMPORTRANGE(""https://docs.google.com/spreadsheets/d/1C3CXT74ZlgGe6_JY_1olB1XN4rF0dxEuIIF-xsYjHgg/edit?usp=sharing"",""พรบ!AF35"")"),7500)</f>
        <v>7500</v>
      </c>
      <c r="M77" s="54">
        <v>0</v>
      </c>
      <c r="N77" s="53">
        <f t="shared" ca="1" si="17"/>
        <v>0</v>
      </c>
    </row>
    <row r="78" spans="1:14" ht="21.75" customHeight="1" x14ac:dyDescent="0.4">
      <c r="A78" s="55"/>
      <c r="B78" s="56"/>
      <c r="C78" s="43" t="s">
        <v>17</v>
      </c>
      <c r="D78" s="57" t="s">
        <v>25</v>
      </c>
      <c r="E78" s="58"/>
      <c r="F78" s="58"/>
      <c r="G78" s="59"/>
      <c r="H78" s="60"/>
      <c r="I78" s="48"/>
      <c r="J78" s="48"/>
      <c r="K78" s="49"/>
      <c r="L78" s="61"/>
      <c r="M78" s="61"/>
      <c r="N78" s="61"/>
    </row>
    <row r="79" spans="1:14" ht="21.75" customHeight="1" x14ac:dyDescent="0.4">
      <c r="A79" s="55"/>
      <c r="B79" s="56"/>
      <c r="C79" s="56"/>
      <c r="D79" s="62">
        <v>1</v>
      </c>
      <c r="E79" s="63" t="s">
        <v>26</v>
      </c>
      <c r="F79" s="64"/>
      <c r="G79" s="65"/>
      <c r="H79" s="66"/>
      <c r="I79" s="67"/>
      <c r="J79" s="68">
        <v>0</v>
      </c>
      <c r="K79" s="49"/>
      <c r="L79" s="61"/>
      <c r="M79" s="61"/>
      <c r="N79" s="61"/>
    </row>
    <row r="80" spans="1:14" ht="21.75" customHeight="1" x14ac:dyDescent="0.4">
      <c r="A80" s="55"/>
      <c r="B80" s="56"/>
      <c r="C80" s="56"/>
      <c r="D80" s="69">
        <v>2</v>
      </c>
      <c r="E80" s="70" t="s">
        <v>27</v>
      </c>
      <c r="F80" s="71"/>
      <c r="G80" s="72"/>
      <c r="H80" s="66"/>
      <c r="I80" s="67"/>
      <c r="J80" s="68">
        <v>0</v>
      </c>
      <c r="K80" s="49"/>
      <c r="L80" s="61" t="s">
        <v>21</v>
      </c>
      <c r="M80" s="61" t="s">
        <v>21</v>
      </c>
      <c r="N80" s="61"/>
    </row>
    <row r="81" spans="1:14" ht="21.75" customHeight="1" x14ac:dyDescent="0.4">
      <c r="A81" s="55"/>
      <c r="B81" s="56"/>
      <c r="C81" s="56"/>
      <c r="D81" s="73"/>
      <c r="E81" s="74" t="s">
        <v>28</v>
      </c>
      <c r="F81" s="75"/>
      <c r="G81" s="76"/>
      <c r="H81" s="66"/>
      <c r="I81" s="67"/>
      <c r="J81" s="68">
        <v>0</v>
      </c>
      <c r="K81" s="49"/>
      <c r="L81" s="61"/>
      <c r="M81" s="61"/>
      <c r="N81" s="61"/>
    </row>
    <row r="82" spans="1:14" ht="21.75" customHeight="1" x14ac:dyDescent="0.4">
      <c r="A82" s="55"/>
      <c r="B82" s="56"/>
      <c r="C82" s="56"/>
      <c r="D82" s="73"/>
      <c r="E82" s="74" t="s">
        <v>29</v>
      </c>
      <c r="F82" s="75"/>
      <c r="G82" s="76"/>
      <c r="H82" s="66"/>
      <c r="I82" s="67"/>
      <c r="J82" s="68">
        <v>0</v>
      </c>
      <c r="K82" s="49"/>
      <c r="L82" s="61"/>
      <c r="M82" s="61"/>
      <c r="N82" s="61"/>
    </row>
    <row r="83" spans="1:14" ht="21.75" customHeight="1" x14ac:dyDescent="0.4">
      <c r="A83" s="55"/>
      <c r="B83" s="56"/>
      <c r="C83" s="56"/>
      <c r="D83" s="73"/>
      <c r="E83" s="77"/>
      <c r="F83" s="74" t="s">
        <v>58</v>
      </c>
      <c r="G83" s="76"/>
      <c r="H83" s="60" t="s">
        <v>57</v>
      </c>
      <c r="I83" s="67">
        <f ca="1">IFERROR(__xludf.DUMMYFUNCTION("IMPORTRANGE(""https://docs.google.com/spreadsheets/d/1C3CXT74ZlgGe6_JY_1olB1XN4rF0dxEuIIF-xsYjHgg/edit?usp=sharing"",""พรบ!AG35"")"),4)</f>
        <v>4</v>
      </c>
      <c r="J83" s="68">
        <v>0</v>
      </c>
      <c r="K83" s="49">
        <f ca="1">IF(I83&gt;0,J83*100/I83,0)</f>
        <v>0</v>
      </c>
      <c r="L83" s="61"/>
      <c r="M83" s="61"/>
      <c r="N83" s="61"/>
    </row>
    <row r="84" spans="1:14" ht="21.75" customHeight="1" x14ac:dyDescent="0.4">
      <c r="A84" s="55"/>
      <c r="B84" s="56"/>
      <c r="C84" s="56"/>
      <c r="D84" s="73"/>
      <c r="E84" s="75"/>
      <c r="F84" s="75" t="s">
        <v>59</v>
      </c>
      <c r="G84" s="76"/>
      <c r="H84" s="66" t="s">
        <v>16</v>
      </c>
      <c r="I84" s="67"/>
      <c r="J84" s="67">
        <f>J85+J86</f>
        <v>0</v>
      </c>
      <c r="K84" s="49"/>
      <c r="L84" s="61"/>
      <c r="M84" s="61"/>
      <c r="N84" s="61"/>
    </row>
    <row r="85" spans="1:14" ht="21.75" customHeight="1" x14ac:dyDescent="0.4">
      <c r="A85" s="55"/>
      <c r="B85" s="56"/>
      <c r="C85" s="56"/>
      <c r="D85" s="73"/>
      <c r="E85" s="75"/>
      <c r="F85" s="75"/>
      <c r="G85" s="76" t="s">
        <v>60</v>
      </c>
      <c r="H85" s="66" t="s">
        <v>16</v>
      </c>
      <c r="I85" s="67"/>
      <c r="J85" s="68">
        <v>0</v>
      </c>
      <c r="K85" s="49"/>
      <c r="L85" s="61"/>
      <c r="M85" s="61"/>
      <c r="N85" s="61"/>
    </row>
    <row r="86" spans="1:14" ht="21.75" customHeight="1" x14ac:dyDescent="0.4">
      <c r="A86" s="55"/>
      <c r="B86" s="56"/>
      <c r="C86" s="56"/>
      <c r="D86" s="73"/>
      <c r="E86" s="75"/>
      <c r="F86" s="75"/>
      <c r="G86" s="76" t="s">
        <v>61</v>
      </c>
      <c r="H86" s="66" t="s">
        <v>16</v>
      </c>
      <c r="I86" s="67"/>
      <c r="J86" s="68">
        <v>0</v>
      </c>
      <c r="K86" s="49"/>
      <c r="L86" s="61"/>
      <c r="M86" s="61"/>
      <c r="N86" s="61"/>
    </row>
    <row r="87" spans="1:14" ht="21.75" customHeight="1" x14ac:dyDescent="0.4">
      <c r="A87" s="55"/>
      <c r="B87" s="56"/>
      <c r="C87" s="56"/>
      <c r="D87" s="73"/>
      <c r="E87" s="74" t="s">
        <v>35</v>
      </c>
      <c r="F87" s="75"/>
      <c r="G87" s="76"/>
      <c r="H87" s="66"/>
      <c r="I87" s="67"/>
      <c r="J87" s="68">
        <v>0</v>
      </c>
      <c r="K87" s="49"/>
      <c r="L87" s="61"/>
      <c r="M87" s="61"/>
      <c r="N87" s="61"/>
    </row>
    <row r="88" spans="1:14" ht="21.75" customHeight="1" x14ac:dyDescent="0.4">
      <c r="A88" s="55"/>
      <c r="B88" s="56"/>
      <c r="C88" s="56"/>
      <c r="D88" s="81">
        <v>3</v>
      </c>
      <c r="E88" s="82" t="s">
        <v>36</v>
      </c>
      <c r="F88" s="83"/>
      <c r="G88" s="84"/>
      <c r="H88" s="66"/>
      <c r="I88" s="67"/>
      <c r="J88" s="85">
        <v>0</v>
      </c>
      <c r="K88" s="49"/>
      <c r="L88" s="61"/>
      <c r="M88" s="61"/>
      <c r="N88" s="61"/>
    </row>
    <row r="89" spans="1:14" ht="21.75" customHeight="1" x14ac:dyDescent="0.4">
      <c r="A89" s="141"/>
      <c r="B89" s="142"/>
      <c r="C89" s="143" t="s">
        <v>62</v>
      </c>
      <c r="D89" s="143"/>
      <c r="E89" s="143"/>
      <c r="F89" s="143"/>
      <c r="G89" s="144"/>
      <c r="H89" s="149" t="s">
        <v>63</v>
      </c>
      <c r="I89" s="150">
        <f t="shared" ref="I89:J89" ca="1" si="21">I98</f>
        <v>3</v>
      </c>
      <c r="J89" s="150">
        <f t="shared" si="21"/>
        <v>0</v>
      </c>
      <c r="K89" s="151">
        <f ca="1">IF(I89&gt;0,J89*100/I89,0)</f>
        <v>0</v>
      </c>
      <c r="L89" s="148">
        <f ca="1">L90+L91</f>
        <v>42000</v>
      </c>
      <c r="M89" s="148">
        <f>SUM(M90:M91)</f>
        <v>0</v>
      </c>
      <c r="N89" s="148">
        <f t="shared" ref="N89:N92" ca="1" si="22">+IF(L89&gt;0,M89*100/L89,0)</f>
        <v>0</v>
      </c>
    </row>
    <row r="90" spans="1:14" ht="21.75" customHeight="1" x14ac:dyDescent="0.4">
      <c r="A90" s="42"/>
      <c r="B90" s="43"/>
      <c r="C90" s="43" t="s">
        <v>17</v>
      </c>
      <c r="D90" s="44" t="s">
        <v>18</v>
      </c>
      <c r="E90" s="45"/>
      <c r="F90" s="45"/>
      <c r="G90" s="46" t="s">
        <v>19</v>
      </c>
      <c r="H90" s="47" t="s">
        <v>20</v>
      </c>
      <c r="I90" s="48" t="s">
        <v>21</v>
      </c>
      <c r="J90" s="48"/>
      <c r="K90" s="49"/>
      <c r="L90" s="50">
        <v>0</v>
      </c>
      <c r="M90" s="50">
        <v>0</v>
      </c>
      <c r="N90" s="50">
        <f t="shared" si="22"/>
        <v>0</v>
      </c>
    </row>
    <row r="91" spans="1:14" ht="21.75" customHeight="1" x14ac:dyDescent="0.4">
      <c r="A91" s="42"/>
      <c r="B91" s="43"/>
      <c r="C91" s="43"/>
      <c r="D91" s="51"/>
      <c r="E91" s="45"/>
      <c r="F91" s="45" t="s">
        <v>21</v>
      </c>
      <c r="G91" s="46" t="s">
        <v>22</v>
      </c>
      <c r="H91" s="47" t="s">
        <v>20</v>
      </c>
      <c r="I91" s="48"/>
      <c r="J91" s="48"/>
      <c r="K91" s="49"/>
      <c r="L91" s="50">
        <f t="shared" ref="L91:M91" ca="1" si="23">L92</f>
        <v>42000</v>
      </c>
      <c r="M91" s="50">
        <f t="shared" si="23"/>
        <v>0</v>
      </c>
      <c r="N91" s="50">
        <f t="shared" ca="1" si="22"/>
        <v>0</v>
      </c>
    </row>
    <row r="92" spans="1:14" ht="21.75" customHeight="1" x14ac:dyDescent="0.4">
      <c r="A92" s="42"/>
      <c r="B92" s="43"/>
      <c r="C92" s="43"/>
      <c r="D92" s="51"/>
      <c r="E92" s="45"/>
      <c r="F92" s="45"/>
      <c r="G92" s="52" t="s">
        <v>24</v>
      </c>
      <c r="H92" s="47" t="s">
        <v>20</v>
      </c>
      <c r="I92" s="48"/>
      <c r="J92" s="48"/>
      <c r="K92" s="49"/>
      <c r="L92" s="53">
        <f ca="1">IFERROR(__xludf.DUMMYFUNCTION("IMPORTRANGE(""https://docs.google.com/spreadsheets/d/1C3CXT74ZlgGe6_JY_1olB1XN4rF0dxEuIIF-xsYjHgg/edit?usp=sharing"",""พรบ!AH35"")"),42000)</f>
        <v>42000</v>
      </c>
      <c r="M92" s="54">
        <v>0</v>
      </c>
      <c r="N92" s="53">
        <f t="shared" ca="1" si="22"/>
        <v>0</v>
      </c>
    </row>
    <row r="93" spans="1:14" ht="21.75" customHeight="1" x14ac:dyDescent="0.4">
      <c r="A93" s="55"/>
      <c r="B93" s="56"/>
      <c r="C93" s="43" t="s">
        <v>17</v>
      </c>
      <c r="D93" s="57" t="s">
        <v>25</v>
      </c>
      <c r="E93" s="58"/>
      <c r="F93" s="58"/>
      <c r="G93" s="59"/>
      <c r="H93" s="60"/>
      <c r="I93" s="48"/>
      <c r="J93" s="48"/>
      <c r="K93" s="49"/>
      <c r="L93" s="61"/>
      <c r="M93" s="61"/>
      <c r="N93" s="61"/>
    </row>
    <row r="94" spans="1:14" ht="21.75" customHeight="1" x14ac:dyDescent="0.4">
      <c r="A94" s="55"/>
      <c r="B94" s="56"/>
      <c r="C94" s="56"/>
      <c r="D94" s="62">
        <v>1</v>
      </c>
      <c r="E94" s="63" t="s">
        <v>26</v>
      </c>
      <c r="F94" s="64"/>
      <c r="G94" s="65"/>
      <c r="H94" s="66"/>
      <c r="I94" s="67"/>
      <c r="J94" s="68">
        <v>0</v>
      </c>
      <c r="K94" s="49"/>
      <c r="L94" s="61"/>
      <c r="M94" s="61"/>
      <c r="N94" s="61"/>
    </row>
    <row r="95" spans="1:14" ht="21.75" customHeight="1" x14ac:dyDescent="0.4">
      <c r="A95" s="55"/>
      <c r="B95" s="56"/>
      <c r="C95" s="56"/>
      <c r="D95" s="69">
        <v>2</v>
      </c>
      <c r="E95" s="70" t="s">
        <v>27</v>
      </c>
      <c r="F95" s="71"/>
      <c r="G95" s="72"/>
      <c r="H95" s="66"/>
      <c r="I95" s="67"/>
      <c r="J95" s="68">
        <v>3</v>
      </c>
      <c r="K95" s="49"/>
      <c r="L95" s="61" t="s">
        <v>21</v>
      </c>
      <c r="M95" s="61" t="s">
        <v>21</v>
      </c>
      <c r="N95" s="61"/>
    </row>
    <row r="96" spans="1:14" ht="21.75" customHeight="1" x14ac:dyDescent="0.4">
      <c r="A96" s="55"/>
      <c r="B96" s="56"/>
      <c r="C96" s="56"/>
      <c r="D96" s="73"/>
      <c r="E96" s="74" t="s">
        <v>28</v>
      </c>
      <c r="F96" s="75"/>
      <c r="G96" s="76"/>
      <c r="H96" s="66"/>
      <c r="I96" s="67"/>
      <c r="J96" s="68">
        <v>0</v>
      </c>
      <c r="K96" s="49"/>
      <c r="L96" s="61"/>
      <c r="M96" s="61"/>
      <c r="N96" s="61"/>
    </row>
    <row r="97" spans="1:14" ht="21.75" customHeight="1" x14ac:dyDescent="0.4">
      <c r="A97" s="55"/>
      <c r="B97" s="56"/>
      <c r="C97" s="56"/>
      <c r="D97" s="73"/>
      <c r="E97" s="74" t="s">
        <v>29</v>
      </c>
      <c r="F97" s="75"/>
      <c r="G97" s="76"/>
      <c r="H97" s="66"/>
      <c r="I97" s="67"/>
      <c r="J97" s="68">
        <v>0</v>
      </c>
      <c r="K97" s="49"/>
      <c r="L97" s="61"/>
      <c r="M97" s="61"/>
      <c r="N97" s="61"/>
    </row>
    <row r="98" spans="1:14" ht="21.75" customHeight="1" x14ac:dyDescent="0.4">
      <c r="A98" s="55"/>
      <c r="B98" s="56"/>
      <c r="C98" s="56"/>
      <c r="D98" s="73"/>
      <c r="E98" s="77"/>
      <c r="F98" s="74" t="s">
        <v>64</v>
      </c>
      <c r="G98" s="76"/>
      <c r="H98" s="60" t="s">
        <v>63</v>
      </c>
      <c r="I98" s="67">
        <f ca="1">IFERROR(__xludf.DUMMYFUNCTION("IMPORTRANGE(""https://docs.google.com/spreadsheets/d/1C3CXT74ZlgGe6_JY_1olB1XN4rF0dxEuIIF-xsYjHgg/edit?usp=sharing"",""พรบ!AI35"")"),3)</f>
        <v>3</v>
      </c>
      <c r="J98" s="68">
        <v>0</v>
      </c>
      <c r="K98" s="49">
        <f ca="1">IF(I98&gt;0,J98*100/I98,0)</f>
        <v>0</v>
      </c>
      <c r="L98" s="53">
        <f ca="1">IFERROR(__xludf.DUMMYFUNCTION("IMPORTRANGE(""https://docs.google.com/spreadsheets/d/1C3CXT74ZlgGe6_JY_1olB1XN4rF0dxEuIIF-xsYjHgg/edit?usp=sharing"",""กปร!C35"")"),36000)</f>
        <v>36000</v>
      </c>
      <c r="M98" s="359">
        <v>0</v>
      </c>
      <c r="N98" s="53">
        <f ca="1">+IF(L98&gt;0,M98*100/L98,0)</f>
        <v>0</v>
      </c>
    </row>
    <row r="99" spans="1:14" ht="21.75" customHeight="1" x14ac:dyDescent="0.4">
      <c r="A99" s="55"/>
      <c r="B99" s="56"/>
      <c r="C99" s="56"/>
      <c r="D99" s="73"/>
      <c r="E99" s="74" t="s">
        <v>35</v>
      </c>
      <c r="F99" s="75"/>
      <c r="G99" s="76"/>
      <c r="H99" s="66"/>
      <c r="I99" s="67"/>
      <c r="J99" s="68">
        <v>0</v>
      </c>
      <c r="K99" s="49"/>
      <c r="L99" s="61"/>
      <c r="M99" s="61"/>
      <c r="N99" s="61"/>
    </row>
    <row r="100" spans="1:14" ht="21.75" customHeight="1" x14ac:dyDescent="0.4">
      <c r="A100" s="55"/>
      <c r="B100" s="56"/>
      <c r="C100" s="56"/>
      <c r="D100" s="81">
        <v>3</v>
      </c>
      <c r="E100" s="82" t="s">
        <v>36</v>
      </c>
      <c r="F100" s="83"/>
      <c r="G100" s="84"/>
      <c r="H100" s="66"/>
      <c r="I100" s="67"/>
      <c r="J100" s="85">
        <v>0</v>
      </c>
      <c r="K100" s="49"/>
      <c r="L100" s="61"/>
      <c r="M100" s="61"/>
      <c r="N100" s="61"/>
    </row>
    <row r="101" spans="1:14" ht="21.75" customHeight="1" x14ac:dyDescent="0.4">
      <c r="A101" s="141"/>
      <c r="B101" s="142"/>
      <c r="C101" s="143" t="s">
        <v>65</v>
      </c>
      <c r="D101" s="143"/>
      <c r="E101" s="143"/>
      <c r="F101" s="143"/>
      <c r="G101" s="144"/>
      <c r="H101" s="149" t="s">
        <v>63</v>
      </c>
      <c r="I101" s="150">
        <f t="shared" ref="I101:J101" ca="1" si="24">I111</f>
        <v>1</v>
      </c>
      <c r="J101" s="150">
        <f t="shared" si="24"/>
        <v>0</v>
      </c>
      <c r="K101" s="151">
        <f ca="1">IF(I101&gt;0,J101*100/I101,0)</f>
        <v>0</v>
      </c>
      <c r="L101" s="148">
        <f ca="1">L102+L103</f>
        <v>15000</v>
      </c>
      <c r="M101" s="148">
        <f>SUM(M102:M103)</f>
        <v>0</v>
      </c>
      <c r="N101" s="148">
        <f t="shared" ref="N101:N104" ca="1" si="25">+IF(L101&gt;0,M101*100/L101,0)</f>
        <v>0</v>
      </c>
    </row>
    <row r="102" spans="1:14" ht="21.75" customHeight="1" x14ac:dyDescent="0.4">
      <c r="A102" s="42"/>
      <c r="B102" s="43"/>
      <c r="C102" s="43" t="s">
        <v>17</v>
      </c>
      <c r="D102" s="44" t="s">
        <v>18</v>
      </c>
      <c r="E102" s="45"/>
      <c r="F102" s="45"/>
      <c r="G102" s="46" t="s">
        <v>19</v>
      </c>
      <c r="H102" s="47" t="s">
        <v>20</v>
      </c>
      <c r="I102" s="48" t="s">
        <v>21</v>
      </c>
      <c r="J102" s="48"/>
      <c r="K102" s="49"/>
      <c r="L102" s="50">
        <v>0</v>
      </c>
      <c r="M102" s="50">
        <v>0</v>
      </c>
      <c r="N102" s="50">
        <f t="shared" si="25"/>
        <v>0</v>
      </c>
    </row>
    <row r="103" spans="1:14" ht="21.75" customHeight="1" x14ac:dyDescent="0.4">
      <c r="A103" s="42"/>
      <c r="B103" s="43"/>
      <c r="C103" s="43"/>
      <c r="D103" s="51"/>
      <c r="E103" s="45"/>
      <c r="F103" s="45" t="s">
        <v>21</v>
      </c>
      <c r="G103" s="46" t="s">
        <v>22</v>
      </c>
      <c r="H103" s="47" t="s">
        <v>20</v>
      </c>
      <c r="I103" s="48"/>
      <c r="J103" s="48"/>
      <c r="K103" s="49"/>
      <c r="L103" s="50">
        <f ca="1">SUM(L104)</f>
        <v>15000</v>
      </c>
      <c r="M103" s="50">
        <f>M104</f>
        <v>0</v>
      </c>
      <c r="N103" s="50">
        <f t="shared" ca="1" si="25"/>
        <v>0</v>
      </c>
    </row>
    <row r="104" spans="1:14" ht="21.75" customHeight="1" x14ac:dyDescent="0.4">
      <c r="A104" s="42"/>
      <c r="B104" s="43"/>
      <c r="C104" s="43"/>
      <c r="D104" s="51"/>
      <c r="E104" s="45"/>
      <c r="F104" s="45"/>
      <c r="G104" s="52" t="s">
        <v>24</v>
      </c>
      <c r="H104" s="47" t="s">
        <v>20</v>
      </c>
      <c r="I104" s="48"/>
      <c r="J104" s="48"/>
      <c r="K104" s="49"/>
      <c r="L104" s="53">
        <f ca="1">IFERROR(__xludf.DUMMYFUNCTION("IMPORTRANGE(""https://docs.google.com/spreadsheets/d/1C3CXT74ZlgGe6_JY_1olB1XN4rF0dxEuIIF-xsYjHgg/edit?usp=sharing"",""พรบ!AJ35"")"),15000)</f>
        <v>15000</v>
      </c>
      <c r="M104" s="54">
        <v>0</v>
      </c>
      <c r="N104" s="53">
        <f t="shared" ca="1" si="25"/>
        <v>0</v>
      </c>
    </row>
    <row r="105" spans="1:14" ht="21.75" customHeight="1" x14ac:dyDescent="0.4">
      <c r="A105" s="55"/>
      <c r="B105" s="56"/>
      <c r="C105" s="43" t="s">
        <v>17</v>
      </c>
      <c r="D105" s="57" t="s">
        <v>25</v>
      </c>
      <c r="E105" s="58"/>
      <c r="F105" s="58"/>
      <c r="G105" s="59"/>
      <c r="H105" s="60"/>
      <c r="I105" s="48"/>
      <c r="J105" s="48"/>
      <c r="K105" s="49"/>
      <c r="L105" s="61"/>
      <c r="M105" s="61"/>
      <c r="N105" s="61"/>
    </row>
    <row r="106" spans="1:14" ht="21.75" customHeight="1" x14ac:dyDescent="0.4">
      <c r="A106" s="55"/>
      <c r="B106" s="56"/>
      <c r="C106" s="56"/>
      <c r="D106" s="62">
        <v>1</v>
      </c>
      <c r="E106" s="63" t="s">
        <v>26</v>
      </c>
      <c r="F106" s="64"/>
      <c r="G106" s="65"/>
      <c r="H106" s="66"/>
      <c r="I106" s="67"/>
      <c r="J106" s="68">
        <v>0</v>
      </c>
      <c r="K106" s="49"/>
      <c r="L106" s="61"/>
      <c r="M106" s="61"/>
      <c r="N106" s="61"/>
    </row>
    <row r="107" spans="1:14" ht="21.75" customHeight="1" x14ac:dyDescent="0.4">
      <c r="A107" s="55"/>
      <c r="B107" s="56"/>
      <c r="C107" s="56"/>
      <c r="D107" s="69">
        <v>2</v>
      </c>
      <c r="E107" s="70" t="s">
        <v>27</v>
      </c>
      <c r="F107" s="71"/>
      <c r="G107" s="72"/>
      <c r="H107" s="66"/>
      <c r="I107" s="67"/>
      <c r="J107" s="68">
        <v>1</v>
      </c>
      <c r="K107" s="49"/>
      <c r="L107" s="61" t="s">
        <v>21</v>
      </c>
      <c r="M107" s="61" t="s">
        <v>21</v>
      </c>
      <c r="N107" s="61"/>
    </row>
    <row r="108" spans="1:14" ht="21.75" customHeight="1" x14ac:dyDescent="0.4">
      <c r="A108" s="55"/>
      <c r="B108" s="56"/>
      <c r="C108" s="56"/>
      <c r="D108" s="73"/>
      <c r="E108" s="74" t="s">
        <v>28</v>
      </c>
      <c r="F108" s="75"/>
      <c r="G108" s="76"/>
      <c r="H108" s="66"/>
      <c r="I108" s="67"/>
      <c r="J108" s="68">
        <v>0</v>
      </c>
      <c r="K108" s="49"/>
      <c r="L108" s="61"/>
      <c r="M108" s="61"/>
      <c r="N108" s="61"/>
    </row>
    <row r="109" spans="1:14" ht="21.75" customHeight="1" x14ac:dyDescent="0.4">
      <c r="A109" s="55"/>
      <c r="B109" s="56"/>
      <c r="C109" s="56"/>
      <c r="D109" s="73"/>
      <c r="E109" s="74" t="s">
        <v>29</v>
      </c>
      <c r="F109" s="75"/>
      <c r="G109" s="76"/>
      <c r="H109" s="66"/>
      <c r="I109" s="67"/>
      <c r="J109" s="68">
        <v>0</v>
      </c>
      <c r="K109" s="49"/>
      <c r="L109" s="61"/>
      <c r="M109" s="61"/>
      <c r="N109" s="61"/>
    </row>
    <row r="110" spans="1:14" ht="21.75" customHeight="1" x14ac:dyDescent="0.4">
      <c r="A110" s="55"/>
      <c r="B110" s="56"/>
      <c r="C110" s="56"/>
      <c r="D110" s="73"/>
      <c r="E110" s="77"/>
      <c r="F110" s="74" t="s">
        <v>66</v>
      </c>
      <c r="G110" s="76"/>
      <c r="H110" s="60" t="s">
        <v>63</v>
      </c>
      <c r="I110" s="67">
        <f ca="1">IFERROR(__xludf.DUMMYFUNCTION("IMPORTRANGE(""https://docs.google.com/spreadsheets/d/1C3CXT74ZlgGe6_JY_1olB1XN4rF0dxEuIIF-xsYjHgg/edit?usp=sharing"",""พรบ!AK35"")"),1)</f>
        <v>1</v>
      </c>
      <c r="J110" s="68">
        <v>0</v>
      </c>
      <c r="K110" s="49">
        <f t="shared" ref="K110:K111" ca="1" si="26">IF(I110&gt;0,J110*100/I110,0)</f>
        <v>0</v>
      </c>
      <c r="L110" s="53">
        <f ca="1">IFERROR(__xludf.DUMMYFUNCTION("IMPORTRANGE(""https://docs.google.com/spreadsheets/d/1C3CXT74ZlgGe6_JY_1olB1XN4rF0dxEuIIF-xsYjHgg/edit?usp=sharing"",""กปร!D35"")"),5000)</f>
        <v>5000</v>
      </c>
      <c r="M110" s="359">
        <v>0</v>
      </c>
      <c r="N110" s="53">
        <f t="shared" ref="N110:N111" ca="1" si="27">+IF(L110&gt;0,M110*100/L110,0)</f>
        <v>0</v>
      </c>
    </row>
    <row r="111" spans="1:14" ht="21.75" customHeight="1" x14ac:dyDescent="0.4">
      <c r="A111" s="55"/>
      <c r="B111" s="56"/>
      <c r="C111" s="56"/>
      <c r="D111" s="73"/>
      <c r="E111" s="77"/>
      <c r="F111" s="74" t="s">
        <v>67</v>
      </c>
      <c r="G111" s="76"/>
      <c r="H111" s="60" t="s">
        <v>63</v>
      </c>
      <c r="I111" s="67">
        <f ca="1">IFERROR(__xludf.DUMMYFUNCTION("IMPORTRANGE(""https://docs.google.com/spreadsheets/d/1C3CXT74ZlgGe6_JY_1olB1XN4rF0dxEuIIF-xsYjHgg/edit?usp=sharing"",""พรบ!AL35"")"),1)</f>
        <v>1</v>
      </c>
      <c r="J111" s="68">
        <v>0</v>
      </c>
      <c r="K111" s="49">
        <f t="shared" ca="1" si="26"/>
        <v>0</v>
      </c>
      <c r="L111" s="53">
        <f ca="1">IFERROR(__xludf.DUMMYFUNCTION("IMPORTRANGE(""https://docs.google.com/spreadsheets/d/1C3CXT74ZlgGe6_JY_1olB1XN4rF0dxEuIIF-xsYjHgg/edit?usp=sharing"",""กปร!E35"")"),8000)</f>
        <v>8000</v>
      </c>
      <c r="M111" s="359">
        <v>0</v>
      </c>
      <c r="N111" s="53">
        <f t="shared" ca="1" si="27"/>
        <v>0</v>
      </c>
    </row>
    <row r="112" spans="1:14" ht="21.75" customHeight="1" x14ac:dyDescent="0.4">
      <c r="A112" s="55"/>
      <c r="B112" s="56"/>
      <c r="C112" s="56"/>
      <c r="D112" s="73"/>
      <c r="E112" s="74" t="s">
        <v>35</v>
      </c>
      <c r="F112" s="75"/>
      <c r="G112" s="76"/>
      <c r="H112" s="66"/>
      <c r="I112" s="67"/>
      <c r="J112" s="68">
        <v>0</v>
      </c>
      <c r="K112" s="49"/>
      <c r="L112" s="61"/>
      <c r="M112" s="61"/>
      <c r="N112" s="61"/>
    </row>
    <row r="113" spans="1:14" ht="21.75" customHeight="1" x14ac:dyDescent="0.4">
      <c r="A113" s="55"/>
      <c r="B113" s="56"/>
      <c r="C113" s="56"/>
      <c r="D113" s="81">
        <v>3</v>
      </c>
      <c r="E113" s="82" t="s">
        <v>36</v>
      </c>
      <c r="F113" s="83"/>
      <c r="G113" s="84"/>
      <c r="H113" s="66"/>
      <c r="I113" s="67"/>
      <c r="J113" s="85">
        <v>0</v>
      </c>
      <c r="K113" s="49"/>
      <c r="L113" s="61"/>
      <c r="M113" s="61"/>
      <c r="N113" s="61"/>
    </row>
    <row r="114" spans="1:14" ht="21.75" customHeight="1" x14ac:dyDescent="0.4">
      <c r="A114" s="141"/>
      <c r="B114" s="142"/>
      <c r="C114" s="143" t="s">
        <v>68</v>
      </c>
      <c r="D114" s="143"/>
      <c r="E114" s="143"/>
      <c r="F114" s="143"/>
      <c r="G114" s="144"/>
      <c r="H114" s="152" t="s">
        <v>69</v>
      </c>
      <c r="I114" s="150">
        <f t="shared" ref="I114:J114" ca="1" si="28">I125</f>
        <v>30000</v>
      </c>
      <c r="J114" s="150">
        <f t="shared" si="28"/>
        <v>0</v>
      </c>
      <c r="K114" s="151">
        <f ca="1">IF(I114&gt;0,J114*100/I114,0)</f>
        <v>0</v>
      </c>
      <c r="L114" s="148">
        <f ca="1">L115+L116</f>
        <v>14500</v>
      </c>
      <c r="M114" s="148">
        <f>SUM(M115:M116)</f>
        <v>0</v>
      </c>
      <c r="N114" s="148">
        <f t="shared" ref="N114:N117" ca="1" si="29">+IF(L114&gt;0,M114*100/L114,0)</f>
        <v>0</v>
      </c>
    </row>
    <row r="115" spans="1:14" ht="21.75" customHeight="1" x14ac:dyDescent="0.4">
      <c r="A115" s="42"/>
      <c r="B115" s="43"/>
      <c r="C115" s="43" t="s">
        <v>17</v>
      </c>
      <c r="D115" s="44" t="s">
        <v>18</v>
      </c>
      <c r="E115" s="45"/>
      <c r="F115" s="45"/>
      <c r="G115" s="46" t="s">
        <v>19</v>
      </c>
      <c r="H115" s="47" t="s">
        <v>20</v>
      </c>
      <c r="I115" s="48" t="s">
        <v>21</v>
      </c>
      <c r="J115" s="48"/>
      <c r="K115" s="49"/>
      <c r="L115" s="50">
        <v>0</v>
      </c>
      <c r="M115" s="50">
        <v>0</v>
      </c>
      <c r="N115" s="50">
        <f t="shared" si="29"/>
        <v>0</v>
      </c>
    </row>
    <row r="116" spans="1:14" ht="21.75" customHeight="1" x14ac:dyDescent="0.4">
      <c r="A116" s="42"/>
      <c r="B116" s="43"/>
      <c r="C116" s="43"/>
      <c r="D116" s="51"/>
      <c r="E116" s="45"/>
      <c r="F116" s="45" t="s">
        <v>21</v>
      </c>
      <c r="G116" s="46" t="s">
        <v>22</v>
      </c>
      <c r="H116" s="47" t="s">
        <v>20</v>
      </c>
      <c r="I116" s="48"/>
      <c r="J116" s="48"/>
      <c r="K116" s="49"/>
      <c r="L116" s="50">
        <f ca="1">SUM(L117)</f>
        <v>14500</v>
      </c>
      <c r="M116" s="50">
        <f>M117</f>
        <v>0</v>
      </c>
      <c r="N116" s="50">
        <f t="shared" ca="1" si="29"/>
        <v>0</v>
      </c>
    </row>
    <row r="117" spans="1:14" ht="21.75" customHeight="1" x14ac:dyDescent="0.4">
      <c r="A117" s="42"/>
      <c r="B117" s="43"/>
      <c r="C117" s="43"/>
      <c r="D117" s="51"/>
      <c r="E117" s="45"/>
      <c r="F117" s="45"/>
      <c r="G117" s="52" t="s">
        <v>24</v>
      </c>
      <c r="H117" s="47" t="s">
        <v>20</v>
      </c>
      <c r="I117" s="48"/>
      <c r="J117" s="48"/>
      <c r="K117" s="49"/>
      <c r="L117" s="53">
        <f ca="1">IFERROR(__xludf.DUMMYFUNCTION("IMPORTRANGE(""https://docs.google.com/spreadsheets/d/1C3CXT74ZlgGe6_JY_1olB1XN4rF0dxEuIIF-xsYjHgg/edit?usp=sharing"",""พรบ!AM35"")"),14500)</f>
        <v>14500</v>
      </c>
      <c r="M117" s="54">
        <v>0</v>
      </c>
      <c r="N117" s="53">
        <f t="shared" ca="1" si="29"/>
        <v>0</v>
      </c>
    </row>
    <row r="118" spans="1:14" ht="21.75" customHeight="1" x14ac:dyDescent="0.4">
      <c r="A118" s="55"/>
      <c r="B118" s="56"/>
      <c r="C118" s="43" t="s">
        <v>17</v>
      </c>
      <c r="D118" s="57" t="s">
        <v>25</v>
      </c>
      <c r="E118" s="58"/>
      <c r="F118" s="58"/>
      <c r="G118" s="59"/>
      <c r="H118" s="60"/>
      <c r="I118" s="48"/>
      <c r="J118" s="48"/>
      <c r="K118" s="49"/>
      <c r="L118" s="61"/>
      <c r="M118" s="61"/>
      <c r="N118" s="61"/>
    </row>
    <row r="119" spans="1:14" ht="21.75" customHeight="1" x14ac:dyDescent="0.4">
      <c r="A119" s="55"/>
      <c r="B119" s="56"/>
      <c r="C119" s="56"/>
      <c r="D119" s="62">
        <v>1</v>
      </c>
      <c r="E119" s="63" t="s">
        <v>26</v>
      </c>
      <c r="F119" s="64"/>
      <c r="G119" s="65"/>
      <c r="H119" s="66"/>
      <c r="I119" s="67"/>
      <c r="J119" s="68">
        <v>0</v>
      </c>
      <c r="K119" s="49"/>
      <c r="L119" s="61"/>
      <c r="M119" s="61"/>
      <c r="N119" s="61"/>
    </row>
    <row r="120" spans="1:14" ht="21.75" customHeight="1" x14ac:dyDescent="0.4">
      <c r="A120" s="55"/>
      <c r="B120" s="56"/>
      <c r="C120" s="56"/>
      <c r="D120" s="69">
        <v>2</v>
      </c>
      <c r="E120" s="70" t="s">
        <v>27</v>
      </c>
      <c r="F120" s="71"/>
      <c r="G120" s="72"/>
      <c r="H120" s="66"/>
      <c r="I120" s="67"/>
      <c r="J120" s="68">
        <v>1</v>
      </c>
      <c r="K120" s="49"/>
      <c r="L120" s="61" t="s">
        <v>21</v>
      </c>
      <c r="M120" s="61" t="s">
        <v>21</v>
      </c>
      <c r="N120" s="61"/>
    </row>
    <row r="121" spans="1:14" ht="21.75" customHeight="1" x14ac:dyDescent="0.4">
      <c r="A121" s="55"/>
      <c r="B121" s="56"/>
      <c r="C121" s="56"/>
      <c r="D121" s="73"/>
      <c r="E121" s="74" t="s">
        <v>28</v>
      </c>
      <c r="F121" s="75"/>
      <c r="G121" s="76"/>
      <c r="H121" s="66"/>
      <c r="I121" s="67"/>
      <c r="J121" s="68">
        <v>1</v>
      </c>
      <c r="K121" s="49"/>
      <c r="L121" s="61"/>
      <c r="M121" s="61"/>
      <c r="N121" s="61"/>
    </row>
    <row r="122" spans="1:14" ht="21.75" customHeight="1" x14ac:dyDescent="0.4">
      <c r="A122" s="55"/>
      <c r="B122" s="56"/>
      <c r="C122" s="56"/>
      <c r="D122" s="73"/>
      <c r="E122" s="74" t="s">
        <v>29</v>
      </c>
      <c r="F122" s="75"/>
      <c r="G122" s="76"/>
      <c r="H122" s="66"/>
      <c r="I122" s="67"/>
      <c r="J122" s="68">
        <v>0</v>
      </c>
      <c r="K122" s="49"/>
      <c r="L122" s="61"/>
      <c r="M122" s="61"/>
      <c r="N122" s="61"/>
    </row>
    <row r="123" spans="1:14" ht="21.75" customHeight="1" x14ac:dyDescent="0.4">
      <c r="A123" s="55"/>
      <c r="B123" s="56"/>
      <c r="C123" s="56"/>
      <c r="D123" s="73"/>
      <c r="E123" s="75"/>
      <c r="F123" s="75" t="s">
        <v>70</v>
      </c>
      <c r="G123" s="76"/>
      <c r="H123" s="60"/>
      <c r="I123" s="67"/>
      <c r="J123" s="67"/>
      <c r="K123" s="49"/>
      <c r="L123" s="61"/>
      <c r="M123" s="61"/>
      <c r="N123" s="61"/>
    </row>
    <row r="124" spans="1:14" ht="21.75" customHeight="1" x14ac:dyDescent="0.4">
      <c r="A124" s="55"/>
      <c r="B124" s="56"/>
      <c r="C124" s="56"/>
      <c r="D124" s="73"/>
      <c r="E124" s="77"/>
      <c r="F124" s="75"/>
      <c r="G124" s="74" t="s">
        <v>71</v>
      </c>
      <c r="H124" s="60" t="s">
        <v>69</v>
      </c>
      <c r="I124" s="67">
        <f ca="1">IFERROR(__xludf.DUMMYFUNCTION("IMPORTRANGE(""https://docs.google.com/spreadsheets/d/1C3CXT74ZlgGe6_JY_1olB1XN4rF0dxEuIIF-xsYjHgg/edit?usp=sharing"",""พรบ!AO35"")"),30000)</f>
        <v>30000</v>
      </c>
      <c r="J124" s="68">
        <v>0</v>
      </c>
      <c r="K124" s="49">
        <f t="shared" ref="K124:K126" ca="1" si="30">IF(I124&gt;0,J124*100/I124,0)</f>
        <v>0</v>
      </c>
      <c r="L124" s="61"/>
      <c r="M124" s="61"/>
      <c r="N124" s="61"/>
    </row>
    <row r="125" spans="1:14" ht="21.75" customHeight="1" x14ac:dyDescent="0.4">
      <c r="A125" s="55"/>
      <c r="B125" s="56"/>
      <c r="C125" s="56"/>
      <c r="D125" s="73"/>
      <c r="E125" s="77"/>
      <c r="F125" s="75"/>
      <c r="G125" s="74" t="s">
        <v>72</v>
      </c>
      <c r="H125" s="60" t="s">
        <v>69</v>
      </c>
      <c r="I125" s="67">
        <f ca="1">IFERROR(__xludf.DUMMYFUNCTION("IMPORTRANGE(""https://docs.google.com/spreadsheets/d/1C3CXT74ZlgGe6_JY_1olB1XN4rF0dxEuIIF-xsYjHgg/edit?usp=sharing"",""พรบ!AP35"")"),30000)</f>
        <v>30000</v>
      </c>
      <c r="J125" s="68">
        <v>0</v>
      </c>
      <c r="K125" s="49">
        <f t="shared" ca="1" si="30"/>
        <v>0</v>
      </c>
      <c r="L125" s="53">
        <f ca="1">IFERROR(__xludf.DUMMYFUNCTION("IMPORTRANGE(""https://docs.google.com/spreadsheets/d/1C3CXT74ZlgGe6_JY_1olB1XN4rF0dxEuIIF-xsYjHgg/edit?usp=sharing"",""กปร!F35"")"),8500)</f>
        <v>8500</v>
      </c>
      <c r="M125" s="359">
        <v>0</v>
      </c>
      <c r="N125" s="53">
        <f t="shared" ref="N125:N126" ca="1" si="31">+IF(L125&gt;0,M125*100/L125,0)</f>
        <v>0</v>
      </c>
    </row>
    <row r="126" spans="1:14" ht="21.75" customHeight="1" x14ac:dyDescent="0.4">
      <c r="A126" s="55"/>
      <c r="B126" s="56"/>
      <c r="C126" s="56"/>
      <c r="D126" s="73"/>
      <c r="E126" s="77"/>
      <c r="F126" s="75" t="s">
        <v>73</v>
      </c>
      <c r="G126" s="76"/>
      <c r="H126" s="60" t="s">
        <v>16</v>
      </c>
      <c r="I126" s="67">
        <f ca="1">IFERROR(__xludf.DUMMYFUNCTION("IMPORTRANGE(""https://docs.google.com/spreadsheets/d/1C3CXT74ZlgGe6_JY_1olB1XN4rF0dxEuIIF-xsYjHgg/edit?usp=sharing"",""พรบ!AQ35"")"),0)</f>
        <v>0</v>
      </c>
      <c r="J126" s="68">
        <v>0</v>
      </c>
      <c r="K126" s="49">
        <f t="shared" ca="1" si="30"/>
        <v>0</v>
      </c>
      <c r="L126" s="53">
        <f ca="1">IFERROR(__xludf.DUMMYFUNCTION("IMPORTRANGE(""https://docs.google.com/spreadsheets/d/1C3CXT74ZlgGe6_JY_1olB1XN4rF0dxEuIIF-xsYjHgg/edit?usp=sharing"",""กปร!G35"")"),0)</f>
        <v>0</v>
      </c>
      <c r="M126" s="53">
        <v>0</v>
      </c>
      <c r="N126" s="53">
        <f t="shared" ca="1" si="31"/>
        <v>0</v>
      </c>
    </row>
    <row r="127" spans="1:14" ht="21.75" customHeight="1" x14ac:dyDescent="0.4">
      <c r="A127" s="55"/>
      <c r="B127" s="56"/>
      <c r="C127" s="56"/>
      <c r="D127" s="73"/>
      <c r="E127" s="74" t="s">
        <v>35</v>
      </c>
      <c r="F127" s="75"/>
      <c r="G127" s="76"/>
      <c r="H127" s="66"/>
      <c r="I127" s="67"/>
      <c r="J127" s="68">
        <v>0</v>
      </c>
      <c r="K127" s="49"/>
      <c r="L127" s="61"/>
      <c r="M127" s="61"/>
      <c r="N127" s="61"/>
    </row>
    <row r="128" spans="1:14" ht="21.75" customHeight="1" x14ac:dyDescent="0.4">
      <c r="A128" s="105"/>
      <c r="B128" s="106"/>
      <c r="C128" s="106"/>
      <c r="D128" s="107">
        <v>3</v>
      </c>
      <c r="E128" s="108" t="s">
        <v>36</v>
      </c>
      <c r="F128" s="109"/>
      <c r="G128" s="110"/>
      <c r="H128" s="111"/>
      <c r="I128" s="112"/>
      <c r="J128" s="113">
        <v>0</v>
      </c>
      <c r="K128" s="114"/>
      <c r="L128" s="115"/>
      <c r="M128" s="115"/>
      <c r="N128" s="115"/>
    </row>
    <row r="129" spans="1:14" ht="21.75" customHeight="1" x14ac:dyDescent="0.4">
      <c r="A129" s="141"/>
      <c r="B129" s="142"/>
      <c r="C129" s="153" t="s">
        <v>74</v>
      </c>
      <c r="D129" s="143"/>
      <c r="E129" s="143"/>
      <c r="F129" s="143"/>
      <c r="G129" s="144"/>
      <c r="H129" s="152" t="s">
        <v>16</v>
      </c>
      <c r="I129" s="150">
        <f t="shared" ref="I129:J129" ca="1" si="32">I138</f>
        <v>0</v>
      </c>
      <c r="J129" s="150">
        <f t="shared" si="32"/>
        <v>0</v>
      </c>
      <c r="K129" s="151">
        <f ca="1">IF(I129&gt;0,J129*100/I129,0)</f>
        <v>0</v>
      </c>
      <c r="L129" s="148">
        <f ca="1">L130+L131</f>
        <v>0</v>
      </c>
      <c r="M129" s="148">
        <f>SUM(M130:M131)</f>
        <v>0</v>
      </c>
      <c r="N129" s="148">
        <f t="shared" ref="N129:N132" ca="1" si="33">+IF(L129&gt;0,M129*100/L129,0)</f>
        <v>0</v>
      </c>
    </row>
    <row r="130" spans="1:14" ht="21.75" customHeight="1" x14ac:dyDescent="0.4">
      <c r="A130" s="42"/>
      <c r="B130" s="43"/>
      <c r="C130" s="43" t="s">
        <v>17</v>
      </c>
      <c r="D130" s="44" t="s">
        <v>18</v>
      </c>
      <c r="E130" s="45"/>
      <c r="F130" s="45"/>
      <c r="G130" s="46" t="s">
        <v>19</v>
      </c>
      <c r="H130" s="47" t="s">
        <v>20</v>
      </c>
      <c r="I130" s="67" t="s">
        <v>21</v>
      </c>
      <c r="J130" s="67"/>
      <c r="K130" s="233"/>
      <c r="L130" s="50">
        <v>0</v>
      </c>
      <c r="M130" s="50">
        <v>0</v>
      </c>
      <c r="N130" s="50">
        <f t="shared" si="33"/>
        <v>0</v>
      </c>
    </row>
    <row r="131" spans="1:14" ht="21.75" customHeight="1" x14ac:dyDescent="0.4">
      <c r="A131" s="42"/>
      <c r="B131" s="43"/>
      <c r="C131" s="43"/>
      <c r="D131" s="51"/>
      <c r="E131" s="45"/>
      <c r="F131" s="45" t="s">
        <v>21</v>
      </c>
      <c r="G131" s="46" t="s">
        <v>22</v>
      </c>
      <c r="H131" s="47" t="s">
        <v>20</v>
      </c>
      <c r="I131" s="67"/>
      <c r="J131" s="67"/>
      <c r="K131" s="233"/>
      <c r="L131" s="50">
        <f ca="1">SUM(L132)</f>
        <v>0</v>
      </c>
      <c r="M131" s="50">
        <f>M132</f>
        <v>0</v>
      </c>
      <c r="N131" s="50">
        <f t="shared" ca="1" si="33"/>
        <v>0</v>
      </c>
    </row>
    <row r="132" spans="1:14" ht="21.75" customHeight="1" x14ac:dyDescent="0.4">
      <c r="A132" s="42"/>
      <c r="B132" s="43"/>
      <c r="C132" s="43"/>
      <c r="D132" s="51"/>
      <c r="E132" s="45"/>
      <c r="F132" s="45"/>
      <c r="G132" s="52" t="s">
        <v>24</v>
      </c>
      <c r="H132" s="47" t="s">
        <v>20</v>
      </c>
      <c r="I132" s="67"/>
      <c r="J132" s="67"/>
      <c r="K132" s="233"/>
      <c r="L132" s="53">
        <f ca="1">IFERROR(__xludf.DUMMYFUNCTION("IMPORTRANGE(""https://docs.google.com/spreadsheets/d/1C3CXT74ZlgGe6_JY_1olB1XN4rF0dxEuIIF-xsYjHgg/edit?usp=sharing"",""พรบ!AR35"")"),0)</f>
        <v>0</v>
      </c>
      <c r="M132" s="53">
        <v>0</v>
      </c>
      <c r="N132" s="53">
        <f t="shared" ca="1" si="33"/>
        <v>0</v>
      </c>
    </row>
    <row r="133" spans="1:14" ht="21.75" customHeight="1" x14ac:dyDescent="0.4">
      <c r="A133" s="55"/>
      <c r="B133" s="56"/>
      <c r="C133" s="43" t="s">
        <v>17</v>
      </c>
      <c r="D133" s="57" t="s">
        <v>25</v>
      </c>
      <c r="E133" s="58"/>
      <c r="F133" s="58"/>
      <c r="G133" s="59"/>
      <c r="H133" s="60"/>
      <c r="I133" s="67"/>
      <c r="J133" s="67"/>
      <c r="K133" s="233"/>
      <c r="L133" s="53"/>
      <c r="M133" s="53"/>
      <c r="N133" s="61"/>
    </row>
    <row r="134" spans="1:14" ht="21.75" customHeight="1" x14ac:dyDescent="0.4">
      <c r="A134" s="55"/>
      <c r="B134" s="56"/>
      <c r="C134" s="56"/>
      <c r="D134" s="62">
        <v>1</v>
      </c>
      <c r="E134" s="63" t="s">
        <v>26</v>
      </c>
      <c r="F134" s="64"/>
      <c r="G134" s="65"/>
      <c r="H134" s="66"/>
      <c r="I134" s="67"/>
      <c r="J134" s="67">
        <v>0</v>
      </c>
      <c r="K134" s="233"/>
      <c r="L134" s="53"/>
      <c r="M134" s="53"/>
      <c r="N134" s="61"/>
    </row>
    <row r="135" spans="1:14" ht="21.75" customHeight="1" x14ac:dyDescent="0.4">
      <c r="A135" s="55"/>
      <c r="B135" s="56"/>
      <c r="C135" s="56"/>
      <c r="D135" s="69">
        <v>2</v>
      </c>
      <c r="E135" s="70" t="s">
        <v>27</v>
      </c>
      <c r="F135" s="71"/>
      <c r="G135" s="72"/>
      <c r="H135" s="66"/>
      <c r="I135" s="67"/>
      <c r="J135" s="67">
        <v>0</v>
      </c>
      <c r="K135" s="233"/>
      <c r="L135" s="53" t="s">
        <v>21</v>
      </c>
      <c r="M135" s="53" t="s">
        <v>21</v>
      </c>
      <c r="N135" s="61"/>
    </row>
    <row r="136" spans="1:14" ht="21.75" customHeight="1" x14ac:dyDescent="0.4">
      <c r="A136" s="55"/>
      <c r="B136" s="56"/>
      <c r="C136" s="56"/>
      <c r="D136" s="73"/>
      <c r="E136" s="74" t="s">
        <v>28</v>
      </c>
      <c r="F136" s="75"/>
      <c r="G136" s="76"/>
      <c r="H136" s="66"/>
      <c r="I136" s="67"/>
      <c r="J136" s="67">
        <v>0</v>
      </c>
      <c r="K136" s="233"/>
      <c r="L136" s="53"/>
      <c r="M136" s="53"/>
      <c r="N136" s="61"/>
    </row>
    <row r="137" spans="1:14" ht="21.75" customHeight="1" x14ac:dyDescent="0.4">
      <c r="A137" s="55"/>
      <c r="B137" s="56"/>
      <c r="C137" s="56"/>
      <c r="D137" s="73"/>
      <c r="E137" s="74" t="s">
        <v>29</v>
      </c>
      <c r="F137" s="75"/>
      <c r="G137" s="76"/>
      <c r="H137" s="66"/>
      <c r="I137" s="67"/>
      <c r="J137" s="67">
        <v>0</v>
      </c>
      <c r="K137" s="233"/>
      <c r="L137" s="53"/>
      <c r="M137" s="53"/>
      <c r="N137" s="61"/>
    </row>
    <row r="138" spans="1:14" ht="21.75" customHeight="1" x14ac:dyDescent="0.4">
      <c r="A138" s="55"/>
      <c r="B138" s="56"/>
      <c r="C138" s="56"/>
      <c r="D138" s="73"/>
      <c r="E138" s="77"/>
      <c r="F138" s="75" t="s">
        <v>75</v>
      </c>
      <c r="G138" s="76"/>
      <c r="H138" s="60" t="s">
        <v>16</v>
      </c>
      <c r="I138" s="67">
        <f ca="1">IFERROR(__xludf.DUMMYFUNCTION("IMPORTRANGE(""https://docs.google.com/spreadsheets/d/1C3CXT74ZlgGe6_JY_1olB1XN4rF0dxEuIIF-xsYjHgg/edit?usp=sharing"",""พรบ!AS35"")"),0)</f>
        <v>0</v>
      </c>
      <c r="J138" s="67">
        <v>0</v>
      </c>
      <c r="K138" s="233">
        <f ca="1">IF(I138&gt;0,J138*100/I138,0)</f>
        <v>0</v>
      </c>
      <c r="L138" s="53">
        <f ca="1">IFERROR(__xludf.DUMMYFUNCTION("IMPORTRANGE(""https://docs.google.com/spreadsheets/d/1C3CXT74ZlgGe6_JY_1olB1XN4rF0dxEuIIF-xsYjHgg/edit?usp=sharing"",""กปร!H35"")"),0)</f>
        <v>0</v>
      </c>
      <c r="M138" s="53">
        <v>0</v>
      </c>
      <c r="N138" s="53">
        <f ca="1">+IF(L138&gt;0,M138*100/L138,0)</f>
        <v>0</v>
      </c>
    </row>
    <row r="139" spans="1:14" ht="21.75" customHeight="1" x14ac:dyDescent="0.4">
      <c r="A139" s="55"/>
      <c r="B139" s="56"/>
      <c r="C139" s="56"/>
      <c r="D139" s="73"/>
      <c r="E139" s="77"/>
      <c r="F139" s="74" t="s">
        <v>34</v>
      </c>
      <c r="G139" s="76"/>
      <c r="H139" s="60"/>
      <c r="I139" s="67"/>
      <c r="J139" s="67"/>
      <c r="K139" s="233"/>
      <c r="L139" s="53"/>
      <c r="M139" s="53"/>
      <c r="N139" s="61"/>
    </row>
    <row r="140" spans="1:14" ht="21.75" customHeight="1" x14ac:dyDescent="0.4">
      <c r="A140" s="55"/>
      <c r="B140" s="56"/>
      <c r="C140" s="56"/>
      <c r="D140" s="73"/>
      <c r="E140" s="77"/>
      <c r="F140" s="75"/>
      <c r="G140" s="99" t="s">
        <v>76</v>
      </c>
      <c r="H140" s="60" t="s">
        <v>16</v>
      </c>
      <c r="I140" s="67">
        <f ca="1">IFERROR(__xludf.DUMMYFUNCTION("IMPORTRANGE(""https://docs.google.com/spreadsheets/d/1C3CXT74ZlgGe6_JY_1olB1XN4rF0dxEuIIF-xsYjHgg/edit?usp=sharing"",""พรบ!AT35"")"),0)</f>
        <v>0</v>
      </c>
      <c r="J140" s="67">
        <v>0</v>
      </c>
      <c r="K140" s="233">
        <f t="shared" ref="K140:K141" ca="1" si="34">IF(I140&gt;0,J140*100/I140,0)</f>
        <v>0</v>
      </c>
      <c r="L140" s="53">
        <f ca="1">IFERROR(__xludf.DUMMYFUNCTION("IMPORTRANGE(""https://docs.google.com/spreadsheets/d/1C3CXT74ZlgGe6_JY_1olB1XN4rF0dxEuIIF-xsYjHgg/edit?usp=sharing"",""กปร!I35"")"),0)</f>
        <v>0</v>
      </c>
      <c r="M140" s="53">
        <v>0</v>
      </c>
      <c r="N140" s="53">
        <f t="shared" ref="N140:N141" ca="1" si="35">+IF(L140&gt;0,M140*100/L140,0)</f>
        <v>0</v>
      </c>
    </row>
    <row r="141" spans="1:14" ht="21.75" customHeight="1" x14ac:dyDescent="0.4">
      <c r="A141" s="55"/>
      <c r="B141" s="56"/>
      <c r="C141" s="56"/>
      <c r="D141" s="73"/>
      <c r="E141" s="77"/>
      <c r="F141" s="75"/>
      <c r="G141" s="99" t="s">
        <v>77</v>
      </c>
      <c r="H141" s="60" t="s">
        <v>40</v>
      </c>
      <c r="I141" s="67">
        <f ca="1">IFERROR(__xludf.DUMMYFUNCTION("IMPORTRANGE(""https://docs.google.com/spreadsheets/d/1C3CXT74ZlgGe6_JY_1olB1XN4rF0dxEuIIF-xsYjHgg/edit?usp=sharing"",""พรบ!AU35"")"),0)</f>
        <v>0</v>
      </c>
      <c r="J141" s="67">
        <v>0</v>
      </c>
      <c r="K141" s="233">
        <f t="shared" ca="1" si="34"/>
        <v>0</v>
      </c>
      <c r="L141" s="53">
        <f ca="1">IFERROR(__xludf.DUMMYFUNCTION("IMPORTRANGE(""https://docs.google.com/spreadsheets/d/1C3CXT74ZlgGe6_JY_1olB1XN4rF0dxEuIIF-xsYjHgg/edit?usp=sharing"",""กปร!J35"")"),0)</f>
        <v>0</v>
      </c>
      <c r="M141" s="53">
        <v>0</v>
      </c>
      <c r="N141" s="53">
        <f t="shared" ca="1" si="35"/>
        <v>0</v>
      </c>
    </row>
    <row r="142" spans="1:14" ht="21.75" customHeight="1" x14ac:dyDescent="0.4">
      <c r="A142" s="55"/>
      <c r="B142" s="56"/>
      <c r="C142" s="56"/>
      <c r="D142" s="73"/>
      <c r="E142" s="74" t="s">
        <v>35</v>
      </c>
      <c r="F142" s="75"/>
      <c r="G142" s="76"/>
      <c r="H142" s="66"/>
      <c r="I142" s="67"/>
      <c r="J142" s="67">
        <v>0</v>
      </c>
      <c r="K142" s="233"/>
      <c r="L142" s="53"/>
      <c r="M142" s="53"/>
      <c r="N142" s="61"/>
    </row>
    <row r="143" spans="1:14" ht="21.75" customHeight="1" x14ac:dyDescent="0.4">
      <c r="A143" s="105"/>
      <c r="B143" s="106"/>
      <c r="C143" s="106"/>
      <c r="D143" s="107">
        <v>3</v>
      </c>
      <c r="E143" s="108" t="s">
        <v>36</v>
      </c>
      <c r="F143" s="109"/>
      <c r="G143" s="110"/>
      <c r="H143" s="111"/>
      <c r="I143" s="112"/>
      <c r="J143" s="356">
        <v>0</v>
      </c>
      <c r="K143" s="357"/>
      <c r="L143" s="358"/>
      <c r="M143" s="358"/>
      <c r="N143" s="115"/>
    </row>
    <row r="144" spans="1:14" ht="21.75" customHeight="1" x14ac:dyDescent="0.4">
      <c r="A144" s="132"/>
      <c r="B144" s="133" t="s">
        <v>78</v>
      </c>
      <c r="C144" s="134"/>
      <c r="D144" s="133"/>
      <c r="E144" s="133"/>
      <c r="F144" s="133"/>
      <c r="G144" s="135"/>
      <c r="H144" s="136" t="s">
        <v>16</v>
      </c>
      <c r="I144" s="137">
        <f t="shared" ref="I144:J144" ca="1" si="36">+I149+I158</f>
        <v>15</v>
      </c>
      <c r="J144" s="137">
        <f t="shared" si="36"/>
        <v>0</v>
      </c>
      <c r="K144" s="138">
        <f ca="1">IF(I144&gt;0,J144*100/I144,0)</f>
        <v>0</v>
      </c>
      <c r="L144" s="139">
        <f ca="1">L145+L146</f>
        <v>21125</v>
      </c>
      <c r="M144" s="139">
        <f>SUM(M145:M146)</f>
        <v>14080</v>
      </c>
      <c r="N144" s="138">
        <f ca="1">IF(L144&gt;0,M144*100/L144,0)</f>
        <v>66.650887573964496</v>
      </c>
    </row>
    <row r="145" spans="1:14" ht="21.75" customHeight="1" x14ac:dyDescent="0.4">
      <c r="A145" s="42"/>
      <c r="B145" s="43"/>
      <c r="C145" s="43" t="s">
        <v>17</v>
      </c>
      <c r="D145" s="44" t="s">
        <v>18</v>
      </c>
      <c r="E145" s="45"/>
      <c r="F145" s="45"/>
      <c r="G145" s="46" t="s">
        <v>19</v>
      </c>
      <c r="H145" s="47" t="s">
        <v>20</v>
      </c>
      <c r="I145" s="48" t="s">
        <v>21</v>
      </c>
      <c r="J145" s="48"/>
      <c r="K145" s="49"/>
      <c r="L145" s="50">
        <v>0</v>
      </c>
      <c r="M145" s="50">
        <v>0</v>
      </c>
      <c r="N145" s="50">
        <f t="shared" ref="N145:N148" si="37">+IF(L145&gt;0,M145*100/L145,0)</f>
        <v>0</v>
      </c>
    </row>
    <row r="146" spans="1:14" ht="21.75" customHeight="1" x14ac:dyDescent="0.4">
      <c r="A146" s="42"/>
      <c r="B146" s="43"/>
      <c r="C146" s="43"/>
      <c r="D146" s="51"/>
      <c r="E146" s="45"/>
      <c r="F146" s="45" t="s">
        <v>21</v>
      </c>
      <c r="G146" s="46" t="s">
        <v>22</v>
      </c>
      <c r="H146" s="47" t="s">
        <v>20</v>
      </c>
      <c r="I146" s="48"/>
      <c r="J146" s="48"/>
      <c r="K146" s="49"/>
      <c r="L146" s="50">
        <f t="shared" ref="L146:M146" ca="1" si="38">SUM(L147:L148)</f>
        <v>21125</v>
      </c>
      <c r="M146" s="50">
        <f t="shared" si="38"/>
        <v>14080</v>
      </c>
      <c r="N146" s="50">
        <f t="shared" ca="1" si="37"/>
        <v>66.650887573964496</v>
      </c>
    </row>
    <row r="147" spans="1:14" ht="21.75" customHeight="1" x14ac:dyDescent="0.4">
      <c r="A147" s="42"/>
      <c r="B147" s="43"/>
      <c r="C147" s="43"/>
      <c r="D147" s="51"/>
      <c r="E147" s="45"/>
      <c r="F147" s="45"/>
      <c r="G147" s="52" t="s">
        <v>23</v>
      </c>
      <c r="H147" s="47" t="s">
        <v>20</v>
      </c>
      <c r="I147" s="48"/>
      <c r="J147" s="48"/>
      <c r="K147" s="49"/>
      <c r="L147" s="53">
        <v>0</v>
      </c>
      <c r="M147" s="53">
        <v>0</v>
      </c>
      <c r="N147" s="53">
        <f t="shared" si="37"/>
        <v>0</v>
      </c>
    </row>
    <row r="148" spans="1:14" ht="21.75" customHeight="1" x14ac:dyDescent="0.4">
      <c r="A148" s="42"/>
      <c r="B148" s="43"/>
      <c r="C148" s="43"/>
      <c r="D148" s="51"/>
      <c r="E148" s="45"/>
      <c r="F148" s="45"/>
      <c r="G148" s="52" t="s">
        <v>24</v>
      </c>
      <c r="H148" s="47" t="s">
        <v>20</v>
      </c>
      <c r="I148" s="48"/>
      <c r="J148" s="48"/>
      <c r="K148" s="49"/>
      <c r="L148" s="53">
        <f ca="1">IFERROR(__xludf.DUMMYFUNCTION("IMPORTRANGE(""https://docs.google.com/spreadsheets/d/1C3CXT74ZlgGe6_JY_1olB1XN4rF0dxEuIIF-xsYjHgg/edit?usp=sharing"",""พรบ!AY35"")"),21125)</f>
        <v>21125</v>
      </c>
      <c r="M148" s="54">
        <v>14080</v>
      </c>
      <c r="N148" s="53">
        <f t="shared" ca="1" si="37"/>
        <v>66.650887573964496</v>
      </c>
    </row>
    <row r="149" spans="1:14" ht="21.75" customHeight="1" x14ac:dyDescent="0.4">
      <c r="A149" s="55"/>
      <c r="B149" s="155"/>
      <c r="C149" s="134" t="s">
        <v>79</v>
      </c>
      <c r="D149" s="133"/>
      <c r="E149" s="133"/>
      <c r="F149" s="133"/>
      <c r="G149" s="135"/>
      <c r="H149" s="136" t="s">
        <v>16</v>
      </c>
      <c r="I149" s="137">
        <f ca="1">I155</f>
        <v>15</v>
      </c>
      <c r="J149" s="137">
        <f>+J155</f>
        <v>0</v>
      </c>
      <c r="K149" s="138">
        <f ca="1">IF(I149&gt;0,J149*100/I149,0)</f>
        <v>0</v>
      </c>
      <c r="L149" s="140"/>
      <c r="M149" s="140"/>
      <c r="N149" s="140"/>
    </row>
    <row r="150" spans="1:14" ht="21.75" customHeight="1" x14ac:dyDescent="0.4">
      <c r="A150" s="55"/>
      <c r="B150" s="56"/>
      <c r="C150" s="43" t="s">
        <v>17</v>
      </c>
      <c r="D150" s="57" t="s">
        <v>25</v>
      </c>
      <c r="E150" s="58"/>
      <c r="F150" s="58"/>
      <c r="G150" s="59"/>
      <c r="H150" s="60"/>
      <c r="I150" s="48"/>
      <c r="J150" s="48"/>
      <c r="K150" s="49"/>
      <c r="L150" s="61"/>
      <c r="M150" s="61"/>
      <c r="N150" s="61"/>
    </row>
    <row r="151" spans="1:14" ht="21.75" customHeight="1" x14ac:dyDescent="0.4">
      <c r="A151" s="55"/>
      <c r="B151" s="56"/>
      <c r="C151" s="56"/>
      <c r="D151" s="62">
        <v>1</v>
      </c>
      <c r="E151" s="63" t="s">
        <v>26</v>
      </c>
      <c r="F151" s="64"/>
      <c r="G151" s="65"/>
      <c r="H151" s="66"/>
      <c r="I151" s="67"/>
      <c r="J151" s="68">
        <v>0</v>
      </c>
      <c r="K151" s="49"/>
      <c r="L151" s="61"/>
      <c r="M151" s="61"/>
      <c r="N151" s="61"/>
    </row>
    <row r="152" spans="1:14" ht="21.75" customHeight="1" x14ac:dyDescent="0.4">
      <c r="A152" s="55"/>
      <c r="B152" s="56"/>
      <c r="C152" s="56"/>
      <c r="D152" s="69">
        <v>2</v>
      </c>
      <c r="E152" s="70" t="s">
        <v>27</v>
      </c>
      <c r="F152" s="71"/>
      <c r="G152" s="72"/>
      <c r="H152" s="66"/>
      <c r="I152" s="67"/>
      <c r="J152" s="68">
        <v>1</v>
      </c>
      <c r="K152" s="49"/>
      <c r="L152" s="61" t="s">
        <v>21</v>
      </c>
      <c r="M152" s="61" t="s">
        <v>21</v>
      </c>
      <c r="N152" s="61"/>
    </row>
    <row r="153" spans="1:14" ht="21.75" customHeight="1" x14ac:dyDescent="0.4">
      <c r="A153" s="55"/>
      <c r="B153" s="56"/>
      <c r="C153" s="56"/>
      <c r="D153" s="73"/>
      <c r="E153" s="74" t="s">
        <v>28</v>
      </c>
      <c r="F153" s="75"/>
      <c r="G153" s="76"/>
      <c r="H153" s="66"/>
      <c r="I153" s="67"/>
      <c r="J153" s="68">
        <v>1</v>
      </c>
      <c r="K153" s="49"/>
      <c r="L153" s="61"/>
      <c r="M153" s="61"/>
      <c r="N153" s="61"/>
    </row>
    <row r="154" spans="1:14" ht="21.75" customHeight="1" x14ac:dyDescent="0.4">
      <c r="A154" s="55"/>
      <c r="B154" s="56"/>
      <c r="C154" s="56"/>
      <c r="D154" s="73"/>
      <c r="E154" s="74" t="s">
        <v>29</v>
      </c>
      <c r="F154" s="75"/>
      <c r="G154" s="76"/>
      <c r="H154" s="66"/>
      <c r="I154" s="67"/>
      <c r="J154" s="68">
        <v>1</v>
      </c>
      <c r="K154" s="49"/>
      <c r="L154" s="61"/>
      <c r="M154" s="61"/>
      <c r="N154" s="61"/>
    </row>
    <row r="155" spans="1:14" ht="21.75" customHeight="1" x14ac:dyDescent="0.4">
      <c r="A155" s="55"/>
      <c r="B155" s="56"/>
      <c r="C155" s="56"/>
      <c r="D155" s="73"/>
      <c r="E155" s="77"/>
      <c r="F155" s="75"/>
      <c r="G155" s="99" t="s">
        <v>50</v>
      </c>
      <c r="H155" s="66" t="s">
        <v>16</v>
      </c>
      <c r="I155" s="67">
        <f ca="1">IFERROR(__xludf.DUMMYFUNCTION("IMPORTRANGE(""https://docs.google.com/spreadsheets/d/1C3CXT74ZlgGe6_JY_1olB1XN4rF0dxEuIIF-xsYjHgg/edit?usp=sharing"",""พรบ!BA35"")"),15)</f>
        <v>15</v>
      </c>
      <c r="J155" s="68">
        <v>0</v>
      </c>
      <c r="K155" s="49">
        <f ca="1">IF(I155&gt;0,J155*100/I155,0)</f>
        <v>0</v>
      </c>
      <c r="L155" s="61"/>
      <c r="M155" s="61"/>
      <c r="N155" s="61"/>
    </row>
    <row r="156" spans="1:14" ht="21.75" customHeight="1" x14ac:dyDescent="0.4">
      <c r="A156" s="55"/>
      <c r="B156" s="56"/>
      <c r="C156" s="56"/>
      <c r="D156" s="73"/>
      <c r="E156" s="74" t="s">
        <v>35</v>
      </c>
      <c r="F156" s="75"/>
      <c r="G156" s="76"/>
      <c r="H156" s="66"/>
      <c r="I156" s="67"/>
      <c r="J156" s="68">
        <v>0</v>
      </c>
      <c r="K156" s="49"/>
      <c r="L156" s="61"/>
      <c r="M156" s="61"/>
      <c r="N156" s="61"/>
    </row>
    <row r="157" spans="1:14" ht="21.75" customHeight="1" x14ac:dyDescent="0.4">
      <c r="A157" s="55"/>
      <c r="B157" s="56"/>
      <c r="C157" s="56"/>
      <c r="D157" s="81">
        <v>3</v>
      </c>
      <c r="E157" s="82" t="s">
        <v>36</v>
      </c>
      <c r="F157" s="83"/>
      <c r="G157" s="84"/>
      <c r="H157" s="66"/>
      <c r="I157" s="67"/>
      <c r="J157" s="85">
        <v>0</v>
      </c>
      <c r="K157" s="49"/>
      <c r="L157" s="61"/>
      <c r="M157" s="61"/>
      <c r="N157" s="61"/>
    </row>
    <row r="158" spans="1:14" ht="21.75" customHeight="1" x14ac:dyDescent="0.4">
      <c r="A158" s="55"/>
      <c r="B158" s="56"/>
      <c r="C158" s="134" t="s">
        <v>81</v>
      </c>
      <c r="D158" s="156"/>
      <c r="E158" s="133"/>
      <c r="F158" s="133"/>
      <c r="G158" s="135"/>
      <c r="H158" s="136" t="s">
        <v>16</v>
      </c>
      <c r="I158" s="137">
        <f>I164</f>
        <v>0</v>
      </c>
      <c r="J158" s="137">
        <f>+J164</f>
        <v>0</v>
      </c>
      <c r="K158" s="138">
        <f>IF(I158&gt;0,J158*100/I158,0)</f>
        <v>0</v>
      </c>
      <c r="L158" s="61"/>
      <c r="M158" s="61"/>
      <c r="N158" s="61"/>
    </row>
    <row r="159" spans="1:14" ht="21.75" customHeight="1" x14ac:dyDescent="0.4">
      <c r="A159" s="55"/>
      <c r="B159" s="56"/>
      <c r="C159" s="43" t="s">
        <v>17</v>
      </c>
      <c r="D159" s="57" t="s">
        <v>25</v>
      </c>
      <c r="E159" s="58"/>
      <c r="F159" s="58"/>
      <c r="G159" s="59"/>
      <c r="H159" s="60"/>
      <c r="I159" s="48"/>
      <c r="J159" s="48"/>
      <c r="K159" s="49"/>
      <c r="L159" s="61"/>
      <c r="M159" s="61"/>
      <c r="N159" s="61"/>
    </row>
    <row r="160" spans="1:14" ht="21.75" customHeight="1" x14ac:dyDescent="0.4">
      <c r="A160" s="55"/>
      <c r="B160" s="56"/>
      <c r="C160" s="56"/>
      <c r="D160" s="62">
        <v>1</v>
      </c>
      <c r="E160" s="63" t="s">
        <v>26</v>
      </c>
      <c r="F160" s="64"/>
      <c r="G160" s="65"/>
      <c r="H160" s="66"/>
      <c r="I160" s="67"/>
      <c r="J160" s="67">
        <v>0</v>
      </c>
      <c r="K160" s="49"/>
      <c r="L160" s="61"/>
      <c r="M160" s="61"/>
      <c r="N160" s="61"/>
    </row>
    <row r="161" spans="1:14" ht="21.75" customHeight="1" x14ac:dyDescent="0.4">
      <c r="A161" s="55"/>
      <c r="B161" s="56"/>
      <c r="C161" s="56"/>
      <c r="D161" s="69">
        <v>2</v>
      </c>
      <c r="E161" s="70" t="s">
        <v>27</v>
      </c>
      <c r="F161" s="71"/>
      <c r="G161" s="72"/>
      <c r="H161" s="66"/>
      <c r="I161" s="67"/>
      <c r="J161" s="67">
        <v>0</v>
      </c>
      <c r="K161" s="49"/>
      <c r="L161" s="61" t="s">
        <v>21</v>
      </c>
      <c r="M161" s="61" t="s">
        <v>21</v>
      </c>
      <c r="N161" s="61"/>
    </row>
    <row r="162" spans="1:14" ht="21.75" customHeight="1" x14ac:dyDescent="0.4">
      <c r="A162" s="55"/>
      <c r="B162" s="56"/>
      <c r="C162" s="56"/>
      <c r="D162" s="73"/>
      <c r="E162" s="74" t="s">
        <v>28</v>
      </c>
      <c r="F162" s="75"/>
      <c r="G162" s="76"/>
      <c r="H162" s="66"/>
      <c r="I162" s="67"/>
      <c r="J162" s="67">
        <v>0</v>
      </c>
      <c r="K162" s="49"/>
      <c r="L162" s="61"/>
      <c r="M162" s="61"/>
      <c r="N162" s="61"/>
    </row>
    <row r="163" spans="1:14" ht="21.75" customHeight="1" x14ac:dyDescent="0.4">
      <c r="A163" s="55"/>
      <c r="B163" s="56"/>
      <c r="C163" s="56"/>
      <c r="D163" s="73"/>
      <c r="E163" s="74" t="s">
        <v>29</v>
      </c>
      <c r="F163" s="75"/>
      <c r="G163" s="76"/>
      <c r="H163" s="66"/>
      <c r="I163" s="67"/>
      <c r="J163" s="67">
        <v>0</v>
      </c>
      <c r="K163" s="49"/>
      <c r="L163" s="61"/>
      <c r="M163" s="61"/>
      <c r="N163" s="61"/>
    </row>
    <row r="164" spans="1:14" ht="21.75" customHeight="1" x14ac:dyDescent="0.4">
      <c r="A164" s="55"/>
      <c r="B164" s="56"/>
      <c r="C164" s="56"/>
      <c r="D164" s="73"/>
      <c r="E164" s="75"/>
      <c r="F164" s="74" t="s">
        <v>82</v>
      </c>
      <c r="G164" s="75"/>
      <c r="H164" s="66" t="s">
        <v>16</v>
      </c>
      <c r="I164" s="67">
        <v>0</v>
      </c>
      <c r="J164" s="67">
        <v>0</v>
      </c>
      <c r="K164" s="49">
        <f>IF(I164&gt;0,J164*100/I164,0)</f>
        <v>0</v>
      </c>
      <c r="L164" s="61"/>
      <c r="M164" s="61"/>
      <c r="N164" s="61"/>
    </row>
    <row r="165" spans="1:14" ht="21.75" customHeight="1" x14ac:dyDescent="0.4">
      <c r="A165" s="55"/>
      <c r="B165" s="56"/>
      <c r="C165" s="56"/>
      <c r="D165" s="73"/>
      <c r="E165" s="74" t="s">
        <v>35</v>
      </c>
      <c r="F165" s="75"/>
      <c r="G165" s="76"/>
      <c r="H165" s="66"/>
      <c r="I165" s="67"/>
      <c r="J165" s="67">
        <v>0</v>
      </c>
      <c r="K165" s="49"/>
      <c r="L165" s="61"/>
      <c r="M165" s="61"/>
      <c r="N165" s="61"/>
    </row>
    <row r="166" spans="1:14" ht="21.75" customHeight="1" x14ac:dyDescent="0.4">
      <c r="A166" s="105"/>
      <c r="B166" s="106"/>
      <c r="C166" s="106"/>
      <c r="D166" s="107">
        <v>3</v>
      </c>
      <c r="E166" s="108" t="s">
        <v>36</v>
      </c>
      <c r="F166" s="109"/>
      <c r="G166" s="110"/>
      <c r="H166" s="111"/>
      <c r="I166" s="112"/>
      <c r="J166" s="356">
        <v>0</v>
      </c>
      <c r="K166" s="114"/>
      <c r="L166" s="115"/>
      <c r="M166" s="115"/>
      <c r="N166" s="115"/>
    </row>
    <row r="167" spans="1:14" ht="21.75" customHeight="1" x14ac:dyDescent="0.4">
      <c r="A167" s="157" t="s">
        <v>83</v>
      </c>
      <c r="B167" s="158"/>
      <c r="C167" s="158"/>
      <c r="D167" s="158"/>
      <c r="E167" s="159"/>
      <c r="F167" s="159"/>
      <c r="G167" s="160"/>
      <c r="H167" s="161"/>
      <c r="I167" s="162"/>
      <c r="J167" s="162"/>
      <c r="K167" s="163"/>
      <c r="L167" s="164"/>
      <c r="M167" s="164"/>
      <c r="N167" s="165"/>
    </row>
    <row r="168" spans="1:14" ht="21.75" customHeight="1" x14ac:dyDescent="0.4">
      <c r="A168" s="166" t="s">
        <v>84</v>
      </c>
      <c r="B168" s="167"/>
      <c r="C168" s="167"/>
      <c r="D168" s="168"/>
      <c r="E168" s="168"/>
      <c r="F168" s="168"/>
      <c r="G168" s="169"/>
      <c r="H168" s="170"/>
      <c r="I168" s="171"/>
      <c r="J168" s="171"/>
      <c r="K168" s="172"/>
      <c r="L168" s="172"/>
      <c r="M168" s="172"/>
      <c r="N168" s="173"/>
    </row>
    <row r="169" spans="1:14" ht="21.75" customHeight="1" x14ac:dyDescent="0.4">
      <c r="A169" s="174"/>
      <c r="B169" s="175" t="s">
        <v>85</v>
      </c>
      <c r="C169" s="175"/>
      <c r="D169" s="175"/>
      <c r="E169" s="175"/>
      <c r="F169" s="175"/>
      <c r="G169" s="176"/>
      <c r="H169" s="177" t="s">
        <v>16</v>
      </c>
      <c r="I169" s="178">
        <f ca="1">I180</f>
        <v>20</v>
      </c>
      <c r="J169" s="178">
        <f>+J180</f>
        <v>0</v>
      </c>
      <c r="K169" s="179">
        <f ca="1">IF(I169&gt;0,J169*100/I169,0)</f>
        <v>0</v>
      </c>
      <c r="L169" s="180">
        <f ca="1">L170+L171</f>
        <v>203400</v>
      </c>
      <c r="M169" s="180">
        <f>SUM(M170:M171)</f>
        <v>27430</v>
      </c>
      <c r="N169" s="179">
        <f ca="1">IF(L169&gt;0,M169*100/L169,0)</f>
        <v>13.485742379547689</v>
      </c>
    </row>
    <row r="170" spans="1:14" ht="21.75" customHeight="1" x14ac:dyDescent="0.4">
      <c r="A170" s="42"/>
      <c r="B170" s="43"/>
      <c r="C170" s="43" t="s">
        <v>17</v>
      </c>
      <c r="D170" s="44" t="s">
        <v>18</v>
      </c>
      <c r="E170" s="45"/>
      <c r="F170" s="45"/>
      <c r="G170" s="46" t="s">
        <v>19</v>
      </c>
      <c r="H170" s="47" t="s">
        <v>20</v>
      </c>
      <c r="I170" s="48" t="s">
        <v>21</v>
      </c>
      <c r="J170" s="48"/>
      <c r="K170" s="49"/>
      <c r="L170" s="50">
        <v>0</v>
      </c>
      <c r="M170" s="50">
        <v>0</v>
      </c>
      <c r="N170" s="50">
        <f t="shared" ref="N170:N173" si="39">+IF(L170&gt;0,M170*100/L170,0)</f>
        <v>0</v>
      </c>
    </row>
    <row r="171" spans="1:14" ht="21.75" customHeight="1" x14ac:dyDescent="0.4">
      <c r="A171" s="42"/>
      <c r="B171" s="43"/>
      <c r="C171" s="43"/>
      <c r="D171" s="51"/>
      <c r="E171" s="45"/>
      <c r="F171" s="45" t="s">
        <v>21</v>
      </c>
      <c r="G171" s="46" t="s">
        <v>22</v>
      </c>
      <c r="H171" s="47" t="s">
        <v>20</v>
      </c>
      <c r="I171" s="48"/>
      <c r="J171" s="48"/>
      <c r="K171" s="49"/>
      <c r="L171" s="50">
        <f t="shared" ref="L171:M171" ca="1" si="40">SUM(L172:L173)</f>
        <v>203400</v>
      </c>
      <c r="M171" s="50">
        <f t="shared" si="40"/>
        <v>27430</v>
      </c>
      <c r="N171" s="50">
        <f t="shared" ca="1" si="39"/>
        <v>13.485742379547689</v>
      </c>
    </row>
    <row r="172" spans="1:14" ht="21.75" customHeight="1" x14ac:dyDescent="0.4">
      <c r="A172" s="42"/>
      <c r="B172" s="43"/>
      <c r="C172" s="43"/>
      <c r="D172" s="51"/>
      <c r="E172" s="45"/>
      <c r="F172" s="45"/>
      <c r="G172" s="52" t="s">
        <v>23</v>
      </c>
      <c r="H172" s="47" t="s">
        <v>20</v>
      </c>
      <c r="I172" s="48"/>
      <c r="J172" s="48"/>
      <c r="K172" s="49"/>
      <c r="L172" s="53">
        <f ca="1">IFERROR(__xludf.DUMMYFUNCTION("IMPORTRANGE(""https://docs.google.com/spreadsheets/d/1C3CXT74ZlgGe6_JY_1olB1XN4rF0dxEuIIF-xsYjHgg/edit?usp=sharing"",""พรบ!BD35"")"),132000)</f>
        <v>132000</v>
      </c>
      <c r="M172" s="54">
        <v>21640</v>
      </c>
      <c r="N172" s="53">
        <f t="shared" ca="1" si="39"/>
        <v>16.393939393939394</v>
      </c>
    </row>
    <row r="173" spans="1:14" ht="21.75" customHeight="1" x14ac:dyDescent="0.4">
      <c r="A173" s="42"/>
      <c r="B173" s="43"/>
      <c r="C173" s="43"/>
      <c r="D173" s="51"/>
      <c r="E173" s="45"/>
      <c r="F173" s="45"/>
      <c r="G173" s="52" t="s">
        <v>24</v>
      </c>
      <c r="H173" s="47" t="s">
        <v>20</v>
      </c>
      <c r="I173" s="48"/>
      <c r="J173" s="48"/>
      <c r="K173" s="49"/>
      <c r="L173" s="53">
        <f ca="1">IFERROR(__xludf.DUMMYFUNCTION("IMPORTRANGE(""https://docs.google.com/spreadsheets/d/1C3CXT74ZlgGe6_JY_1olB1XN4rF0dxEuIIF-xsYjHgg/edit?usp=sharing"",""พรบ!BE35"")"),71400)</f>
        <v>71400</v>
      </c>
      <c r="M173" s="54">
        <v>5790</v>
      </c>
      <c r="N173" s="53">
        <f t="shared" ca="1" si="39"/>
        <v>8.1092436974789912</v>
      </c>
    </row>
    <row r="174" spans="1:14" ht="21.75" customHeight="1" x14ac:dyDescent="0.4">
      <c r="A174" s="55"/>
      <c r="B174" s="56"/>
      <c r="C174" s="43" t="s">
        <v>17</v>
      </c>
      <c r="D174" s="57" t="s">
        <v>25</v>
      </c>
      <c r="E174" s="58"/>
      <c r="F174" s="58"/>
      <c r="G174" s="59"/>
      <c r="H174" s="60"/>
      <c r="I174" s="48"/>
      <c r="J174" s="48"/>
      <c r="K174" s="49"/>
      <c r="L174" s="61"/>
      <c r="M174" s="61"/>
      <c r="N174" s="61"/>
    </row>
    <row r="175" spans="1:14" ht="21.75" customHeight="1" x14ac:dyDescent="0.4">
      <c r="A175" s="55"/>
      <c r="B175" s="56"/>
      <c r="C175" s="56"/>
      <c r="D175" s="62">
        <v>1</v>
      </c>
      <c r="E175" s="63" t="s">
        <v>26</v>
      </c>
      <c r="F175" s="64"/>
      <c r="G175" s="65"/>
      <c r="H175" s="66"/>
      <c r="I175" s="67"/>
      <c r="J175" s="68">
        <v>0</v>
      </c>
      <c r="K175" s="49"/>
      <c r="L175" s="61"/>
      <c r="M175" s="61"/>
      <c r="N175" s="61"/>
    </row>
    <row r="176" spans="1:14" ht="21.75" customHeight="1" x14ac:dyDescent="0.4">
      <c r="A176" s="55"/>
      <c r="B176" s="56"/>
      <c r="C176" s="56"/>
      <c r="D176" s="69">
        <v>2</v>
      </c>
      <c r="E176" s="70" t="s">
        <v>27</v>
      </c>
      <c r="F176" s="71"/>
      <c r="G176" s="72"/>
      <c r="H176" s="66"/>
      <c r="I176" s="67"/>
      <c r="J176" s="68">
        <v>1</v>
      </c>
      <c r="K176" s="49"/>
      <c r="L176" s="61" t="s">
        <v>21</v>
      </c>
      <c r="M176" s="61" t="s">
        <v>21</v>
      </c>
      <c r="N176" s="61"/>
    </row>
    <row r="177" spans="1:14" ht="21.75" customHeight="1" x14ac:dyDescent="0.4">
      <c r="A177" s="55"/>
      <c r="B177" s="56"/>
      <c r="C177" s="56"/>
      <c r="D177" s="73"/>
      <c r="E177" s="74" t="s">
        <v>28</v>
      </c>
      <c r="F177" s="75"/>
      <c r="G177" s="76"/>
      <c r="H177" s="66"/>
      <c r="I177" s="67"/>
      <c r="J177" s="68">
        <v>1</v>
      </c>
      <c r="K177" s="49"/>
      <c r="L177" s="61"/>
      <c r="M177" s="61"/>
      <c r="N177" s="61"/>
    </row>
    <row r="178" spans="1:14" ht="21.75" customHeight="1" x14ac:dyDescent="0.4">
      <c r="A178" s="55"/>
      <c r="B178" s="56"/>
      <c r="C178" s="56"/>
      <c r="D178" s="73"/>
      <c r="E178" s="74" t="s">
        <v>29</v>
      </c>
      <c r="F178" s="75"/>
      <c r="G178" s="76"/>
      <c r="H178" s="66"/>
      <c r="I178" s="67"/>
      <c r="J178" s="68">
        <v>1</v>
      </c>
      <c r="K178" s="49"/>
      <c r="L178" s="61"/>
      <c r="M178" s="61"/>
      <c r="N178" s="61"/>
    </row>
    <row r="179" spans="1:14" ht="21.75" customHeight="1" x14ac:dyDescent="0.4">
      <c r="A179" s="55"/>
      <c r="B179" s="56"/>
      <c r="C179" s="56"/>
      <c r="D179" s="73"/>
      <c r="E179" s="77"/>
      <c r="F179" s="74" t="s">
        <v>86</v>
      </c>
      <c r="G179" s="76"/>
      <c r="H179" s="60" t="s">
        <v>40</v>
      </c>
      <c r="I179" s="67">
        <f ca="1">IFERROR(__xludf.DUMMYFUNCTION("IMPORTRANGE(""https://docs.google.com/spreadsheets/d/1C3CXT74ZlgGe6_JY_1olB1XN4rF0dxEuIIF-xsYjHgg/edit?usp=sharing"",""พรบ!BF35"")"),1)</f>
        <v>1</v>
      </c>
      <c r="J179" s="68">
        <v>0</v>
      </c>
      <c r="K179" s="49">
        <f t="shared" ref="K179:K182" ca="1" si="41">IF(I179&gt;0,J179*100/I179,0)</f>
        <v>0</v>
      </c>
      <c r="L179" s="61"/>
      <c r="M179" s="61"/>
      <c r="N179" s="61"/>
    </row>
    <row r="180" spans="1:14" ht="21.75" customHeight="1" x14ac:dyDescent="0.4">
      <c r="A180" s="55"/>
      <c r="B180" s="56"/>
      <c r="C180" s="56"/>
      <c r="D180" s="73"/>
      <c r="E180" s="77"/>
      <c r="F180" s="74" t="s">
        <v>87</v>
      </c>
      <c r="G180" s="76"/>
      <c r="H180" s="60" t="s">
        <v>16</v>
      </c>
      <c r="I180" s="67">
        <f ca="1">IFERROR(__xludf.DUMMYFUNCTION("IMPORTRANGE(""https://docs.google.com/spreadsheets/d/1C3CXT74ZlgGe6_JY_1olB1XN4rF0dxEuIIF-xsYjHgg/edit?usp=sharing"",""พรบ!BG35"")"),20)</f>
        <v>20</v>
      </c>
      <c r="J180" s="68">
        <v>0</v>
      </c>
      <c r="K180" s="49">
        <f t="shared" ca="1" si="41"/>
        <v>0</v>
      </c>
      <c r="L180" s="61"/>
      <c r="M180" s="61"/>
      <c r="N180" s="61"/>
    </row>
    <row r="181" spans="1:14" ht="21.75" customHeight="1" x14ac:dyDescent="0.4">
      <c r="A181" s="55"/>
      <c r="B181" s="56"/>
      <c r="C181" s="56"/>
      <c r="D181" s="73"/>
      <c r="E181" s="77"/>
      <c r="F181" s="74" t="s">
        <v>88</v>
      </c>
      <c r="G181" s="76"/>
      <c r="H181" s="60" t="s">
        <v>16</v>
      </c>
      <c r="I181" s="67">
        <f ca="1">IFERROR(__xludf.DUMMYFUNCTION("IMPORTRANGE(""https://docs.google.com/spreadsheets/d/1C3CXT74ZlgGe6_JY_1olB1XN4rF0dxEuIIF-xsYjHgg/edit?usp=sharing"",""พรบ!BH35"")"),20)</f>
        <v>20</v>
      </c>
      <c r="J181" s="68">
        <v>0</v>
      </c>
      <c r="K181" s="49">
        <f t="shared" ca="1" si="41"/>
        <v>0</v>
      </c>
      <c r="L181" s="61"/>
      <c r="M181" s="61"/>
      <c r="N181" s="61"/>
    </row>
    <row r="182" spans="1:14" ht="21.75" customHeight="1" x14ac:dyDescent="0.4">
      <c r="A182" s="55"/>
      <c r="B182" s="56"/>
      <c r="C182" s="56"/>
      <c r="D182" s="73"/>
      <c r="E182" s="77"/>
      <c r="F182" s="74" t="s">
        <v>89</v>
      </c>
      <c r="G182" s="76"/>
      <c r="H182" s="60" t="s">
        <v>16</v>
      </c>
      <c r="I182" s="67">
        <f ca="1">IFERROR(__xludf.DUMMYFUNCTION("IMPORTRANGE(""https://docs.google.com/spreadsheets/d/1C3CXT74ZlgGe6_JY_1olB1XN4rF0dxEuIIF-xsYjHgg/edit?usp=sharing"",""พรบ!BI35"")"),1)</f>
        <v>1</v>
      </c>
      <c r="J182" s="68">
        <v>0</v>
      </c>
      <c r="K182" s="49">
        <f t="shared" ca="1" si="41"/>
        <v>0</v>
      </c>
      <c r="L182" s="61"/>
      <c r="M182" s="61"/>
      <c r="N182" s="61"/>
    </row>
    <row r="183" spans="1:14" ht="21.75" customHeight="1" x14ac:dyDescent="0.4">
      <c r="A183" s="55"/>
      <c r="B183" s="56"/>
      <c r="C183" s="56"/>
      <c r="D183" s="73"/>
      <c r="E183" s="74" t="s">
        <v>35</v>
      </c>
      <c r="F183" s="75"/>
      <c r="G183" s="76"/>
      <c r="H183" s="66"/>
      <c r="I183" s="67"/>
      <c r="J183" s="68">
        <v>0</v>
      </c>
      <c r="K183" s="49"/>
      <c r="L183" s="61"/>
      <c r="M183" s="61"/>
      <c r="N183" s="61"/>
    </row>
    <row r="184" spans="1:14" ht="21.75" customHeight="1" x14ac:dyDescent="0.4">
      <c r="A184" s="105"/>
      <c r="B184" s="106"/>
      <c r="C184" s="106"/>
      <c r="D184" s="107">
        <v>3</v>
      </c>
      <c r="E184" s="108" t="s">
        <v>36</v>
      </c>
      <c r="F184" s="109"/>
      <c r="G184" s="110"/>
      <c r="H184" s="111"/>
      <c r="I184" s="112"/>
      <c r="J184" s="113">
        <v>0</v>
      </c>
      <c r="K184" s="114"/>
      <c r="L184" s="115"/>
      <c r="M184" s="115"/>
      <c r="N184" s="115"/>
    </row>
    <row r="185" spans="1:14" ht="21.75" customHeight="1" x14ac:dyDescent="0.4">
      <c r="A185" s="174"/>
      <c r="B185" s="175" t="s">
        <v>90</v>
      </c>
      <c r="C185" s="175"/>
      <c r="D185" s="175"/>
      <c r="E185" s="175"/>
      <c r="F185" s="175"/>
      <c r="G185" s="176"/>
      <c r="H185" s="177" t="s">
        <v>16</v>
      </c>
      <c r="I185" s="178">
        <f ca="1">I195</f>
        <v>0</v>
      </c>
      <c r="J185" s="178">
        <f>+J195</f>
        <v>0</v>
      </c>
      <c r="K185" s="179">
        <f ca="1">IF(I185&gt;0,J185*100/I185,0)</f>
        <v>0</v>
      </c>
      <c r="L185" s="180">
        <f ca="1">L186+L187</f>
        <v>0</v>
      </c>
      <c r="M185" s="180">
        <f>SUM(M186:M187)</f>
        <v>0</v>
      </c>
      <c r="N185" s="179">
        <f ca="1">IF(L185&gt;0,M185*100/L185,0)</f>
        <v>0</v>
      </c>
    </row>
    <row r="186" spans="1:14" ht="21.75" customHeight="1" x14ac:dyDescent="0.4">
      <c r="A186" s="42"/>
      <c r="B186" s="43"/>
      <c r="C186" s="43" t="s">
        <v>17</v>
      </c>
      <c r="D186" s="44" t="s">
        <v>18</v>
      </c>
      <c r="E186" s="45"/>
      <c r="F186" s="45"/>
      <c r="G186" s="46" t="s">
        <v>19</v>
      </c>
      <c r="H186" s="47" t="s">
        <v>20</v>
      </c>
      <c r="I186" s="48" t="s">
        <v>21</v>
      </c>
      <c r="J186" s="48"/>
      <c r="K186" s="49"/>
      <c r="L186" s="50">
        <v>0</v>
      </c>
      <c r="M186" s="50">
        <v>0</v>
      </c>
      <c r="N186" s="50">
        <f t="shared" ref="N186:N189" si="42">+IF(L186&gt;0,M186*100/L186,0)</f>
        <v>0</v>
      </c>
    </row>
    <row r="187" spans="1:14" ht="21.75" customHeight="1" x14ac:dyDescent="0.4">
      <c r="A187" s="42"/>
      <c r="B187" s="43"/>
      <c r="C187" s="43"/>
      <c r="D187" s="51"/>
      <c r="E187" s="45"/>
      <c r="F187" s="45" t="s">
        <v>21</v>
      </c>
      <c r="G187" s="46" t="s">
        <v>22</v>
      </c>
      <c r="H187" s="47" t="s">
        <v>20</v>
      </c>
      <c r="I187" s="48"/>
      <c r="J187" s="48"/>
      <c r="K187" s="49"/>
      <c r="L187" s="50">
        <f t="shared" ref="L187:M187" ca="1" si="43">SUM(L188:L189)</f>
        <v>0</v>
      </c>
      <c r="M187" s="50">
        <f t="shared" si="43"/>
        <v>0</v>
      </c>
      <c r="N187" s="50">
        <f t="shared" ca="1" si="42"/>
        <v>0</v>
      </c>
    </row>
    <row r="188" spans="1:14" ht="21.75" customHeight="1" x14ac:dyDescent="0.4">
      <c r="A188" s="42"/>
      <c r="B188" s="43"/>
      <c r="C188" s="43"/>
      <c r="D188" s="51"/>
      <c r="E188" s="45"/>
      <c r="F188" s="45"/>
      <c r="G188" s="52" t="s">
        <v>23</v>
      </c>
      <c r="H188" s="47" t="s">
        <v>20</v>
      </c>
      <c r="I188" s="48"/>
      <c r="J188" s="48"/>
      <c r="K188" s="49"/>
      <c r="L188" s="53">
        <f ca="1">IFERROR(__xludf.DUMMYFUNCTION("IMPORTRANGE(""https://docs.google.com/spreadsheets/d/1C3CXT74ZlgGe6_JY_1olB1XN4rF0dxEuIIF-xsYjHgg/edit?usp=sharing"",""พรบ!BK35"")"),0)</f>
        <v>0</v>
      </c>
      <c r="M188" s="54">
        <v>0</v>
      </c>
      <c r="N188" s="53">
        <f t="shared" ca="1" si="42"/>
        <v>0</v>
      </c>
    </row>
    <row r="189" spans="1:14" ht="21.75" customHeight="1" x14ac:dyDescent="0.4">
      <c r="A189" s="42"/>
      <c r="B189" s="43"/>
      <c r="C189" s="43"/>
      <c r="D189" s="51"/>
      <c r="E189" s="45"/>
      <c r="F189" s="45"/>
      <c r="G189" s="52" t="s">
        <v>24</v>
      </c>
      <c r="H189" s="47" t="s">
        <v>20</v>
      </c>
      <c r="I189" s="48"/>
      <c r="J189" s="48"/>
      <c r="K189" s="49"/>
      <c r="L189" s="53">
        <f ca="1">IFERROR(__xludf.DUMMYFUNCTION("IMPORTRANGE(""https://docs.google.com/spreadsheets/d/1C3CXT74ZlgGe6_JY_1olB1XN4rF0dxEuIIF-xsYjHgg/edit?usp=sharing"",""พรบ!BL35"")"),0)</f>
        <v>0</v>
      </c>
      <c r="M189" s="54">
        <v>0</v>
      </c>
      <c r="N189" s="53">
        <f t="shared" ca="1" si="42"/>
        <v>0</v>
      </c>
    </row>
    <row r="190" spans="1:14" ht="21.75" customHeight="1" x14ac:dyDescent="0.4">
      <c r="A190" s="55"/>
      <c r="B190" s="56"/>
      <c r="C190" s="43" t="s">
        <v>17</v>
      </c>
      <c r="D190" s="57" t="s">
        <v>25</v>
      </c>
      <c r="E190" s="58"/>
      <c r="F190" s="58"/>
      <c r="G190" s="59"/>
      <c r="H190" s="60"/>
      <c r="I190" s="48"/>
      <c r="J190" s="48"/>
      <c r="K190" s="49"/>
      <c r="L190" s="61"/>
      <c r="M190" s="61"/>
      <c r="N190" s="61"/>
    </row>
    <row r="191" spans="1:14" ht="21.75" customHeight="1" x14ac:dyDescent="0.4">
      <c r="A191" s="55"/>
      <c r="B191" s="56"/>
      <c r="C191" s="56"/>
      <c r="D191" s="62">
        <v>1</v>
      </c>
      <c r="E191" s="63" t="s">
        <v>26</v>
      </c>
      <c r="F191" s="64"/>
      <c r="G191" s="65"/>
      <c r="H191" s="66"/>
      <c r="I191" s="67"/>
      <c r="J191" s="68">
        <v>0</v>
      </c>
      <c r="K191" s="49"/>
      <c r="L191" s="61"/>
      <c r="M191" s="61"/>
      <c r="N191" s="61"/>
    </row>
    <row r="192" spans="1:14" ht="21.75" customHeight="1" x14ac:dyDescent="0.4">
      <c r="A192" s="55"/>
      <c r="B192" s="56"/>
      <c r="C192" s="56"/>
      <c r="D192" s="69">
        <v>2</v>
      </c>
      <c r="E192" s="70" t="s">
        <v>27</v>
      </c>
      <c r="F192" s="71"/>
      <c r="G192" s="72"/>
      <c r="H192" s="66"/>
      <c r="I192" s="67"/>
      <c r="J192" s="68">
        <v>0</v>
      </c>
      <c r="K192" s="49"/>
      <c r="L192" s="61"/>
      <c r="M192" s="61"/>
      <c r="N192" s="61"/>
    </row>
    <row r="193" spans="1:14" ht="21.75" customHeight="1" x14ac:dyDescent="0.4">
      <c r="A193" s="55"/>
      <c r="B193" s="56"/>
      <c r="C193" s="56"/>
      <c r="D193" s="73"/>
      <c r="E193" s="74" t="s">
        <v>28</v>
      </c>
      <c r="F193" s="75"/>
      <c r="G193" s="76"/>
      <c r="H193" s="66"/>
      <c r="I193" s="67"/>
      <c r="J193" s="68">
        <v>0</v>
      </c>
      <c r="K193" s="49"/>
      <c r="L193" s="61"/>
      <c r="M193" s="61"/>
      <c r="N193" s="61"/>
    </row>
    <row r="194" spans="1:14" ht="21.75" customHeight="1" x14ac:dyDescent="0.4">
      <c r="A194" s="55"/>
      <c r="B194" s="56"/>
      <c r="C194" s="56"/>
      <c r="D194" s="73"/>
      <c r="E194" s="74" t="s">
        <v>29</v>
      </c>
      <c r="F194" s="75"/>
      <c r="G194" s="76"/>
      <c r="H194" s="66"/>
      <c r="I194" s="67"/>
      <c r="J194" s="68">
        <v>0</v>
      </c>
      <c r="K194" s="49"/>
      <c r="L194" s="61"/>
      <c r="M194" s="61"/>
      <c r="N194" s="61"/>
    </row>
    <row r="195" spans="1:14" ht="21.75" customHeight="1" x14ac:dyDescent="0.4">
      <c r="A195" s="55"/>
      <c r="B195" s="56"/>
      <c r="C195" s="56"/>
      <c r="D195" s="73"/>
      <c r="E195" s="75"/>
      <c r="F195" s="74" t="s">
        <v>91</v>
      </c>
      <c r="G195" s="76"/>
      <c r="H195" s="66" t="s">
        <v>16</v>
      </c>
      <c r="I195" s="67">
        <f ca="1">IFERROR(__xludf.DUMMYFUNCTION("IMPORTRANGE(""https://docs.google.com/spreadsheets/d/1C3CXT74ZlgGe6_JY_1olB1XN4rF0dxEuIIF-xsYjHgg/edit?usp=sharing"",""พรบ!BM35"")"),0)</f>
        <v>0</v>
      </c>
      <c r="J195" s="68">
        <v>0</v>
      </c>
      <c r="K195" s="49">
        <f ca="1">IF(I195&gt;0,J195*100/I195,0)</f>
        <v>0</v>
      </c>
      <c r="L195" s="61"/>
      <c r="M195" s="61"/>
      <c r="N195" s="61"/>
    </row>
    <row r="196" spans="1:14" ht="21.75" customHeight="1" x14ac:dyDescent="0.4">
      <c r="A196" s="55"/>
      <c r="B196" s="56"/>
      <c r="C196" s="56"/>
      <c r="D196" s="73"/>
      <c r="E196" s="74" t="s">
        <v>35</v>
      </c>
      <c r="F196" s="75"/>
      <c r="G196" s="76"/>
      <c r="H196" s="66"/>
      <c r="I196" s="67"/>
      <c r="J196" s="68">
        <v>0</v>
      </c>
      <c r="K196" s="49"/>
      <c r="L196" s="61"/>
      <c r="M196" s="61"/>
      <c r="N196" s="61"/>
    </row>
    <row r="197" spans="1:14" ht="21.75" customHeight="1" x14ac:dyDescent="0.4">
      <c r="A197" s="55"/>
      <c r="B197" s="56"/>
      <c r="C197" s="56"/>
      <c r="D197" s="81">
        <v>3</v>
      </c>
      <c r="E197" s="82" t="s">
        <v>36</v>
      </c>
      <c r="F197" s="83"/>
      <c r="G197" s="84"/>
      <c r="H197" s="66"/>
      <c r="I197" s="67"/>
      <c r="J197" s="85">
        <v>0</v>
      </c>
      <c r="K197" s="49"/>
      <c r="L197" s="61"/>
      <c r="M197" s="61"/>
      <c r="N197" s="61"/>
    </row>
    <row r="198" spans="1:14" ht="21.75" customHeight="1" x14ac:dyDescent="0.4">
      <c r="A198" s="166" t="s">
        <v>92</v>
      </c>
      <c r="B198" s="167"/>
      <c r="C198" s="167"/>
      <c r="D198" s="168"/>
      <c r="E198" s="167"/>
      <c r="F198" s="167"/>
      <c r="G198" s="181"/>
      <c r="H198" s="182"/>
      <c r="I198" s="183"/>
      <c r="J198" s="183"/>
      <c r="K198" s="184"/>
      <c r="L198" s="184"/>
      <c r="M198" s="184"/>
      <c r="N198" s="173"/>
    </row>
    <row r="199" spans="1:14" ht="21.75" customHeight="1" x14ac:dyDescent="0.4">
      <c r="A199" s="185"/>
      <c r="B199" s="175" t="s">
        <v>93</v>
      </c>
      <c r="C199" s="186"/>
      <c r="D199" s="187"/>
      <c r="E199" s="175"/>
      <c r="F199" s="175"/>
      <c r="G199" s="176"/>
      <c r="H199" s="177" t="s">
        <v>16</v>
      </c>
      <c r="I199" s="178">
        <f t="shared" ref="I199:J199" ca="1" si="44">I209</f>
        <v>0</v>
      </c>
      <c r="J199" s="178">
        <f t="shared" si="44"/>
        <v>0</v>
      </c>
      <c r="K199" s="179">
        <f ca="1">IF(I199&gt;0,J199*100/I199,0)</f>
        <v>0</v>
      </c>
      <c r="L199" s="180">
        <f ca="1">L200+L201</f>
        <v>0</v>
      </c>
      <c r="M199" s="180">
        <f>SUM(M200:M201)</f>
        <v>0</v>
      </c>
      <c r="N199" s="179">
        <f ca="1">IF(L199&gt;0,M199*100/L199,0)</f>
        <v>0</v>
      </c>
    </row>
    <row r="200" spans="1:14" ht="21.75" customHeight="1" x14ac:dyDescent="0.4">
      <c r="A200" s="42"/>
      <c r="B200" s="43"/>
      <c r="C200" s="43" t="s">
        <v>17</v>
      </c>
      <c r="D200" s="44" t="s">
        <v>18</v>
      </c>
      <c r="E200" s="45"/>
      <c r="F200" s="45"/>
      <c r="G200" s="46" t="s">
        <v>19</v>
      </c>
      <c r="H200" s="47" t="s">
        <v>20</v>
      </c>
      <c r="I200" s="48" t="s">
        <v>21</v>
      </c>
      <c r="J200" s="48"/>
      <c r="K200" s="49"/>
      <c r="L200" s="50">
        <v>0</v>
      </c>
      <c r="M200" s="50">
        <v>0</v>
      </c>
      <c r="N200" s="50">
        <f t="shared" ref="N200:N203" si="45">+IF(L200&gt;0,M200*100/L200,0)</f>
        <v>0</v>
      </c>
    </row>
    <row r="201" spans="1:14" ht="21.75" customHeight="1" x14ac:dyDescent="0.4">
      <c r="A201" s="42"/>
      <c r="B201" s="43"/>
      <c r="C201" s="43"/>
      <c r="D201" s="51"/>
      <c r="E201" s="45"/>
      <c r="F201" s="45" t="s">
        <v>21</v>
      </c>
      <c r="G201" s="46" t="s">
        <v>22</v>
      </c>
      <c r="H201" s="47" t="s">
        <v>20</v>
      </c>
      <c r="I201" s="48"/>
      <c r="J201" s="48"/>
      <c r="K201" s="49"/>
      <c r="L201" s="50">
        <f t="shared" ref="L201:M201" ca="1" si="46">SUM(L202:L203)</f>
        <v>0</v>
      </c>
      <c r="M201" s="50">
        <f t="shared" si="46"/>
        <v>0</v>
      </c>
      <c r="N201" s="50">
        <f t="shared" ca="1" si="45"/>
        <v>0</v>
      </c>
    </row>
    <row r="202" spans="1:14" ht="21.75" customHeight="1" x14ac:dyDescent="0.4">
      <c r="A202" s="42"/>
      <c r="B202" s="43"/>
      <c r="C202" s="43"/>
      <c r="D202" s="51"/>
      <c r="E202" s="45"/>
      <c r="F202" s="45"/>
      <c r="G202" s="52" t="s">
        <v>23</v>
      </c>
      <c r="H202" s="47" t="s">
        <v>20</v>
      </c>
      <c r="I202" s="48"/>
      <c r="J202" s="48"/>
      <c r="K202" s="49"/>
      <c r="L202" s="53">
        <v>0</v>
      </c>
      <c r="M202" s="53">
        <v>0</v>
      </c>
      <c r="N202" s="53">
        <f t="shared" si="45"/>
        <v>0</v>
      </c>
    </row>
    <row r="203" spans="1:14" ht="21.75" customHeight="1" x14ac:dyDescent="0.4">
      <c r="A203" s="42"/>
      <c r="B203" s="43"/>
      <c r="C203" s="43"/>
      <c r="D203" s="51"/>
      <c r="E203" s="45"/>
      <c r="F203" s="45"/>
      <c r="G203" s="52" t="s">
        <v>24</v>
      </c>
      <c r="H203" s="47" t="s">
        <v>20</v>
      </c>
      <c r="I203" s="48"/>
      <c r="J203" s="48"/>
      <c r="K203" s="49"/>
      <c r="L203" s="53">
        <f ca="1">IFERROR(__xludf.DUMMYFUNCTION("IMPORTRANGE(""https://docs.google.com/spreadsheets/d/1C3CXT74ZlgGe6_JY_1olB1XN4rF0dxEuIIF-xsYjHgg/edit?usp=sharing"",""พรบ!BP35"")"),0)</f>
        <v>0</v>
      </c>
      <c r="M203" s="54">
        <v>0</v>
      </c>
      <c r="N203" s="53">
        <f t="shared" ca="1" si="45"/>
        <v>0</v>
      </c>
    </row>
    <row r="204" spans="1:14" ht="21.75" customHeight="1" x14ac:dyDescent="0.4">
      <c r="A204" s="55"/>
      <c r="B204" s="56"/>
      <c r="C204" s="43" t="s">
        <v>17</v>
      </c>
      <c r="D204" s="57" t="s">
        <v>25</v>
      </c>
      <c r="E204" s="58"/>
      <c r="F204" s="58"/>
      <c r="G204" s="59"/>
      <c r="H204" s="60"/>
      <c r="I204" s="48"/>
      <c r="J204" s="48"/>
      <c r="K204" s="49"/>
      <c r="L204" s="61"/>
      <c r="M204" s="61"/>
      <c r="N204" s="61"/>
    </row>
    <row r="205" spans="1:14" ht="21.75" customHeight="1" x14ac:dyDescent="0.4">
      <c r="A205" s="55"/>
      <c r="B205" s="56"/>
      <c r="C205" s="56"/>
      <c r="D205" s="62">
        <v>1</v>
      </c>
      <c r="E205" s="63" t="s">
        <v>26</v>
      </c>
      <c r="F205" s="64"/>
      <c r="G205" s="65"/>
      <c r="H205" s="66"/>
      <c r="I205" s="67"/>
      <c r="J205" s="68">
        <v>0</v>
      </c>
      <c r="K205" s="49"/>
      <c r="L205" s="61"/>
      <c r="M205" s="61"/>
      <c r="N205" s="61"/>
    </row>
    <row r="206" spans="1:14" ht="21.75" customHeight="1" x14ac:dyDescent="0.4">
      <c r="A206" s="55"/>
      <c r="B206" s="56"/>
      <c r="C206" s="56"/>
      <c r="D206" s="69">
        <v>2</v>
      </c>
      <c r="E206" s="70" t="s">
        <v>27</v>
      </c>
      <c r="F206" s="71"/>
      <c r="G206" s="72"/>
      <c r="H206" s="66"/>
      <c r="I206" s="67"/>
      <c r="J206" s="68">
        <v>0</v>
      </c>
      <c r="K206" s="49"/>
      <c r="L206" s="61" t="s">
        <v>21</v>
      </c>
      <c r="M206" s="61" t="s">
        <v>21</v>
      </c>
      <c r="N206" s="61"/>
    </row>
    <row r="207" spans="1:14" ht="21.75" customHeight="1" x14ac:dyDescent="0.4">
      <c r="A207" s="55"/>
      <c r="B207" s="56"/>
      <c r="C207" s="56"/>
      <c r="D207" s="73"/>
      <c r="E207" s="74" t="s">
        <v>28</v>
      </c>
      <c r="F207" s="75"/>
      <c r="G207" s="76"/>
      <c r="H207" s="66"/>
      <c r="I207" s="67"/>
      <c r="J207" s="68">
        <v>0</v>
      </c>
      <c r="K207" s="49"/>
      <c r="L207" s="61"/>
      <c r="M207" s="61"/>
      <c r="N207" s="61"/>
    </row>
    <row r="208" spans="1:14" ht="21.75" customHeight="1" x14ac:dyDescent="0.4">
      <c r="A208" s="55"/>
      <c r="B208" s="56"/>
      <c r="C208" s="56"/>
      <c r="D208" s="73"/>
      <c r="E208" s="74" t="s">
        <v>29</v>
      </c>
      <c r="F208" s="75"/>
      <c r="G208" s="76"/>
      <c r="H208" s="66"/>
      <c r="I208" s="67"/>
      <c r="J208" s="68">
        <v>0</v>
      </c>
      <c r="K208" s="49"/>
      <c r="L208" s="61"/>
      <c r="M208" s="61"/>
      <c r="N208" s="61"/>
    </row>
    <row r="209" spans="1:14" ht="21.75" customHeight="1" x14ac:dyDescent="0.4">
      <c r="A209" s="55"/>
      <c r="B209" s="56"/>
      <c r="C209" s="56"/>
      <c r="D209" s="73"/>
      <c r="E209" s="77"/>
      <c r="F209" s="74" t="s">
        <v>94</v>
      </c>
      <c r="G209" s="76"/>
      <c r="H209" s="60" t="s">
        <v>16</v>
      </c>
      <c r="I209" s="67">
        <f ca="1">IFERROR(__xludf.DUMMYFUNCTION("IMPORTRANGE(""https://docs.google.com/spreadsheets/d/1C3CXT74ZlgGe6_JY_1olB1XN4rF0dxEuIIF-xsYjHgg/edit?usp=sharing"",""พรบ!BQ35"")"),0)</f>
        <v>0</v>
      </c>
      <c r="J209" s="68">
        <v>0</v>
      </c>
      <c r="K209" s="49">
        <f ca="1">IF(I209&gt;0,J209*100/I209,0)</f>
        <v>0</v>
      </c>
      <c r="L209" s="61"/>
      <c r="M209" s="61"/>
      <c r="N209" s="61"/>
    </row>
    <row r="210" spans="1:14" ht="21.75" customHeight="1" x14ac:dyDescent="0.4">
      <c r="A210" s="55"/>
      <c r="B210" s="56"/>
      <c r="C210" s="56"/>
      <c r="D210" s="73"/>
      <c r="E210" s="77"/>
      <c r="F210" s="74" t="s">
        <v>95</v>
      </c>
      <c r="G210" s="76"/>
      <c r="H210" s="60"/>
      <c r="I210" s="67"/>
      <c r="J210" s="67"/>
      <c r="K210" s="49"/>
      <c r="L210" s="61"/>
      <c r="M210" s="61"/>
      <c r="N210" s="61"/>
    </row>
    <row r="211" spans="1:14" ht="21.75" customHeight="1" x14ac:dyDescent="0.4">
      <c r="A211" s="55"/>
      <c r="B211" s="56"/>
      <c r="C211" s="56"/>
      <c r="D211" s="73"/>
      <c r="E211" s="77"/>
      <c r="F211" s="75" t="s">
        <v>34</v>
      </c>
      <c r="G211" s="76"/>
      <c r="H211" s="60" t="s">
        <v>16</v>
      </c>
      <c r="I211" s="67">
        <f ca="1">IFERROR(__xludf.DUMMYFUNCTION("IMPORTRANGE(""https://docs.google.com/spreadsheets/d/1C3CXT74ZlgGe6_JY_1olB1XN4rF0dxEuIIF-xsYjHgg/edit?usp=sharing"",""พรบ!BR35"")"),0)</f>
        <v>0</v>
      </c>
      <c r="J211" s="68">
        <v>0</v>
      </c>
      <c r="K211" s="49">
        <f ca="1">IF(I211&gt;0,J211*100/I211,0)</f>
        <v>0</v>
      </c>
      <c r="L211" s="61"/>
      <c r="M211" s="61"/>
      <c r="N211" s="61"/>
    </row>
    <row r="212" spans="1:14" ht="21.75" customHeight="1" x14ac:dyDescent="0.4">
      <c r="A212" s="55"/>
      <c r="B212" s="56"/>
      <c r="C212" s="56"/>
      <c r="D212" s="73"/>
      <c r="E212" s="74" t="s">
        <v>35</v>
      </c>
      <c r="F212" s="75"/>
      <c r="G212" s="76"/>
      <c r="H212" s="66"/>
      <c r="I212" s="67"/>
      <c r="J212" s="68">
        <v>0</v>
      </c>
      <c r="K212" s="49"/>
      <c r="L212" s="61"/>
      <c r="M212" s="61"/>
      <c r="N212" s="61"/>
    </row>
    <row r="213" spans="1:14" ht="21.75" customHeight="1" x14ac:dyDescent="0.4">
      <c r="A213" s="55"/>
      <c r="B213" s="56"/>
      <c r="C213" s="56"/>
      <c r="D213" s="81">
        <v>3</v>
      </c>
      <c r="E213" s="82" t="s">
        <v>36</v>
      </c>
      <c r="F213" s="83"/>
      <c r="G213" s="84"/>
      <c r="H213" s="66"/>
      <c r="I213" s="67"/>
      <c r="J213" s="188">
        <v>0</v>
      </c>
      <c r="K213" s="49"/>
      <c r="L213" s="61"/>
      <c r="M213" s="61"/>
      <c r="N213" s="61"/>
    </row>
    <row r="214" spans="1:14" ht="21.75" customHeight="1" x14ac:dyDescent="0.4">
      <c r="A214" s="189"/>
      <c r="B214" s="190" t="s">
        <v>96</v>
      </c>
      <c r="C214" s="191"/>
      <c r="D214" s="192"/>
      <c r="E214" s="190"/>
      <c r="F214" s="190"/>
      <c r="G214" s="193"/>
      <c r="H214" s="194" t="s">
        <v>97</v>
      </c>
      <c r="I214" s="195">
        <f t="shared" ref="I214:J214" ca="1" si="47">I224</f>
        <v>0</v>
      </c>
      <c r="J214" s="195">
        <f t="shared" si="47"/>
        <v>0</v>
      </c>
      <c r="K214" s="196">
        <f ca="1">IF(I214&gt;0,J214*100/I214,0)</f>
        <v>0</v>
      </c>
      <c r="L214" s="197">
        <f ca="1">L215+L216</f>
        <v>0</v>
      </c>
      <c r="M214" s="197">
        <f>SUM(M215:M216)</f>
        <v>0</v>
      </c>
      <c r="N214" s="196">
        <f ca="1">IF(L214&gt;0,M214*100/L214,0)</f>
        <v>0</v>
      </c>
    </row>
    <row r="215" spans="1:14" ht="21.75" customHeight="1" x14ac:dyDescent="0.4">
      <c r="A215" s="42"/>
      <c r="B215" s="43"/>
      <c r="C215" s="43" t="s">
        <v>17</v>
      </c>
      <c r="D215" s="44" t="s">
        <v>18</v>
      </c>
      <c r="E215" s="45"/>
      <c r="F215" s="45"/>
      <c r="G215" s="46" t="s">
        <v>19</v>
      </c>
      <c r="H215" s="47" t="s">
        <v>20</v>
      </c>
      <c r="I215" s="48" t="s">
        <v>21</v>
      </c>
      <c r="J215" s="48"/>
      <c r="K215" s="49"/>
      <c r="L215" s="50">
        <v>0</v>
      </c>
      <c r="M215" s="53">
        <v>0</v>
      </c>
      <c r="N215" s="53">
        <f t="shared" ref="N215:N218" si="48">+IF(L215&gt;0,M215*100/L215,0)</f>
        <v>0</v>
      </c>
    </row>
    <row r="216" spans="1:14" ht="21.75" customHeight="1" x14ac:dyDescent="0.4">
      <c r="A216" s="42"/>
      <c r="B216" s="43"/>
      <c r="C216" s="43"/>
      <c r="D216" s="51"/>
      <c r="E216" s="45"/>
      <c r="F216" s="45" t="s">
        <v>21</v>
      </c>
      <c r="G216" s="46" t="s">
        <v>22</v>
      </c>
      <c r="H216" s="47" t="s">
        <v>20</v>
      </c>
      <c r="I216" s="48"/>
      <c r="J216" s="48"/>
      <c r="K216" s="49"/>
      <c r="L216" s="50">
        <f t="shared" ref="L216:M216" ca="1" si="49">SUM(L217:L218)</f>
        <v>0</v>
      </c>
      <c r="M216" s="53">
        <f t="shared" si="49"/>
        <v>0</v>
      </c>
      <c r="N216" s="53">
        <f t="shared" ca="1" si="48"/>
        <v>0</v>
      </c>
    </row>
    <row r="217" spans="1:14" ht="21.75" customHeight="1" x14ac:dyDescent="0.4">
      <c r="A217" s="42"/>
      <c r="B217" s="43"/>
      <c r="C217" s="43"/>
      <c r="D217" s="51"/>
      <c r="E217" s="45"/>
      <c r="F217" s="45"/>
      <c r="G217" s="52" t="s">
        <v>23</v>
      </c>
      <c r="H217" s="47" t="s">
        <v>20</v>
      </c>
      <c r="I217" s="48"/>
      <c r="J217" s="48"/>
      <c r="K217" s="49"/>
      <c r="L217" s="53">
        <v>0</v>
      </c>
      <c r="M217" s="53">
        <v>0</v>
      </c>
      <c r="N217" s="53">
        <f t="shared" si="48"/>
        <v>0</v>
      </c>
    </row>
    <row r="218" spans="1:14" ht="21.75" customHeight="1" x14ac:dyDescent="0.4">
      <c r="A218" s="42"/>
      <c r="B218" s="43"/>
      <c r="C218" s="43"/>
      <c r="D218" s="51"/>
      <c r="E218" s="45"/>
      <c r="F218" s="45"/>
      <c r="G218" s="52" t="s">
        <v>24</v>
      </c>
      <c r="H218" s="47" t="s">
        <v>20</v>
      </c>
      <c r="I218" s="48"/>
      <c r="J218" s="48"/>
      <c r="K218" s="49"/>
      <c r="L218" s="53">
        <f ca="1">IFERROR(__xludf.DUMMYFUNCTION("IMPORTRANGE(""https://docs.google.com/spreadsheets/d/1C3CXT74ZlgGe6_JY_1olB1XN4rF0dxEuIIF-xsYjHgg/edit?usp=sharing"",""พรบ!BU35"")"),0)</f>
        <v>0</v>
      </c>
      <c r="M218" s="54">
        <v>0</v>
      </c>
      <c r="N218" s="53">
        <f t="shared" ca="1" si="48"/>
        <v>0</v>
      </c>
    </row>
    <row r="219" spans="1:14" ht="21.75" customHeight="1" x14ac:dyDescent="0.4">
      <c r="A219" s="55"/>
      <c r="B219" s="56"/>
      <c r="C219" s="43" t="s">
        <v>17</v>
      </c>
      <c r="D219" s="57" t="s">
        <v>25</v>
      </c>
      <c r="E219" s="58"/>
      <c r="F219" s="58"/>
      <c r="G219" s="59"/>
      <c r="H219" s="60"/>
      <c r="I219" s="48"/>
      <c r="J219" s="48"/>
      <c r="K219" s="49"/>
      <c r="L219" s="61"/>
      <c r="M219" s="61"/>
      <c r="N219" s="61"/>
    </row>
    <row r="220" spans="1:14" ht="21.75" customHeight="1" x14ac:dyDescent="0.4">
      <c r="A220" s="55"/>
      <c r="B220" s="56"/>
      <c r="C220" s="56"/>
      <c r="D220" s="62">
        <v>1</v>
      </c>
      <c r="E220" s="63" t="s">
        <v>26</v>
      </c>
      <c r="F220" s="64"/>
      <c r="G220" s="65"/>
      <c r="H220" s="66"/>
      <c r="I220" s="67"/>
      <c r="J220" s="68">
        <v>0</v>
      </c>
      <c r="K220" s="49"/>
      <c r="L220" s="61"/>
      <c r="M220" s="61"/>
      <c r="N220" s="61"/>
    </row>
    <row r="221" spans="1:14" ht="21.75" customHeight="1" x14ac:dyDescent="0.4">
      <c r="A221" s="55"/>
      <c r="B221" s="56"/>
      <c r="C221" s="56"/>
      <c r="D221" s="69">
        <v>2</v>
      </c>
      <c r="E221" s="70" t="s">
        <v>27</v>
      </c>
      <c r="F221" s="71"/>
      <c r="G221" s="72"/>
      <c r="H221" s="66"/>
      <c r="I221" s="67"/>
      <c r="J221" s="68">
        <v>0</v>
      </c>
      <c r="K221" s="49"/>
      <c r="L221" s="61" t="s">
        <v>21</v>
      </c>
      <c r="M221" s="61" t="s">
        <v>21</v>
      </c>
      <c r="N221" s="61"/>
    </row>
    <row r="222" spans="1:14" ht="21.75" customHeight="1" x14ac:dyDescent="0.4">
      <c r="A222" s="55"/>
      <c r="B222" s="56"/>
      <c r="C222" s="56"/>
      <c r="D222" s="73"/>
      <c r="E222" s="74" t="s">
        <v>28</v>
      </c>
      <c r="F222" s="75"/>
      <c r="G222" s="76"/>
      <c r="H222" s="66"/>
      <c r="I222" s="67"/>
      <c r="J222" s="68">
        <v>0</v>
      </c>
      <c r="K222" s="49"/>
      <c r="L222" s="61"/>
      <c r="M222" s="61"/>
      <c r="N222" s="61"/>
    </row>
    <row r="223" spans="1:14" ht="21.75" customHeight="1" x14ac:dyDescent="0.4">
      <c r="A223" s="55"/>
      <c r="B223" s="56"/>
      <c r="C223" s="56"/>
      <c r="D223" s="73"/>
      <c r="E223" s="74" t="s">
        <v>29</v>
      </c>
      <c r="F223" s="75"/>
      <c r="G223" s="76"/>
      <c r="H223" s="66"/>
      <c r="I223" s="67"/>
      <c r="J223" s="68">
        <v>0</v>
      </c>
      <c r="K223" s="49"/>
      <c r="L223" s="61"/>
      <c r="M223" s="61"/>
      <c r="N223" s="61"/>
    </row>
    <row r="224" spans="1:14" ht="21.75" customHeight="1" x14ac:dyDescent="0.4">
      <c r="A224" s="55"/>
      <c r="B224" s="56"/>
      <c r="C224" s="56"/>
      <c r="D224" s="73"/>
      <c r="E224" s="77"/>
      <c r="F224" s="74" t="s">
        <v>98</v>
      </c>
      <c r="G224" s="76"/>
      <c r="H224" s="66" t="s">
        <v>97</v>
      </c>
      <c r="I224" s="67">
        <f ca="1">IFERROR(__xludf.DUMMYFUNCTION("IMPORTRANGE(""https://docs.google.com/spreadsheets/d/1C3CXT74ZlgGe6_JY_1olB1XN4rF0dxEuIIF-xsYjHgg/edit?usp=sharing"",""พรบ!BV35"")"),0)</f>
        <v>0</v>
      </c>
      <c r="J224" s="68">
        <v>0</v>
      </c>
      <c r="K224" s="49">
        <f ca="1">IF(I224&gt;0,J224*100/I224,0)</f>
        <v>0</v>
      </c>
      <c r="L224" s="61"/>
      <c r="M224" s="61"/>
      <c r="N224" s="61"/>
    </row>
    <row r="225" spans="1:14" ht="21.75" customHeight="1" x14ac:dyDescent="0.4">
      <c r="A225" s="55"/>
      <c r="B225" s="56"/>
      <c r="C225" s="56"/>
      <c r="D225" s="73"/>
      <c r="E225" s="74" t="s">
        <v>35</v>
      </c>
      <c r="F225" s="75"/>
      <c r="G225" s="76"/>
      <c r="H225" s="66"/>
      <c r="I225" s="67"/>
      <c r="J225" s="68">
        <v>0</v>
      </c>
      <c r="K225" s="49"/>
      <c r="L225" s="61"/>
      <c r="M225" s="61"/>
      <c r="N225" s="61"/>
    </row>
    <row r="226" spans="1:14" ht="21.75" customHeight="1" x14ac:dyDescent="0.4">
      <c r="A226" s="55"/>
      <c r="B226" s="56"/>
      <c r="C226" s="56"/>
      <c r="D226" s="81">
        <v>3</v>
      </c>
      <c r="E226" s="82" t="s">
        <v>36</v>
      </c>
      <c r="F226" s="83"/>
      <c r="G226" s="84"/>
      <c r="H226" s="66"/>
      <c r="I226" s="67"/>
      <c r="J226" s="85">
        <v>0</v>
      </c>
      <c r="K226" s="49"/>
      <c r="L226" s="61"/>
      <c r="M226" s="61"/>
      <c r="N226" s="61"/>
    </row>
    <row r="227" spans="1:14" ht="21.75" customHeight="1" x14ac:dyDescent="0.4">
      <c r="A227" s="166" t="s">
        <v>99</v>
      </c>
      <c r="B227" s="167"/>
      <c r="C227" s="167"/>
      <c r="D227" s="168"/>
      <c r="E227" s="167"/>
      <c r="F227" s="167"/>
      <c r="G227" s="181"/>
      <c r="H227" s="170"/>
      <c r="I227" s="171"/>
      <c r="J227" s="171"/>
      <c r="K227" s="172"/>
      <c r="L227" s="172"/>
      <c r="M227" s="172"/>
      <c r="N227" s="173"/>
    </row>
    <row r="228" spans="1:14" ht="21.75" customHeight="1" x14ac:dyDescent="0.4">
      <c r="A228" s="174"/>
      <c r="B228" s="175" t="s">
        <v>100</v>
      </c>
      <c r="C228" s="187"/>
      <c r="D228" s="175"/>
      <c r="E228" s="175"/>
      <c r="F228" s="175"/>
      <c r="G228" s="176"/>
      <c r="H228" s="177" t="s">
        <v>16</v>
      </c>
      <c r="I228" s="198">
        <f ca="1">I236</f>
        <v>170</v>
      </c>
      <c r="J228" s="198">
        <f ca="1">J240</f>
        <v>24</v>
      </c>
      <c r="K228" s="179">
        <f ca="1">IF(I228&gt;0,J228*100/I228,0)</f>
        <v>14.117647058823529</v>
      </c>
      <c r="L228" s="180">
        <f ca="1">L229+L230</f>
        <v>906300</v>
      </c>
      <c r="M228" s="180">
        <f>SUM(M229:M230)</f>
        <v>0</v>
      </c>
      <c r="N228" s="179">
        <f ca="1">IF(L228&gt;0,M228*100/L228,0)</f>
        <v>0</v>
      </c>
    </row>
    <row r="229" spans="1:14" ht="21.75" customHeight="1" x14ac:dyDescent="0.4">
      <c r="A229" s="42"/>
      <c r="B229" s="43"/>
      <c r="C229" s="43" t="s">
        <v>17</v>
      </c>
      <c r="D229" s="44" t="s">
        <v>18</v>
      </c>
      <c r="E229" s="45"/>
      <c r="F229" s="45"/>
      <c r="G229" s="46" t="s">
        <v>19</v>
      </c>
      <c r="H229" s="47" t="s">
        <v>20</v>
      </c>
      <c r="I229" s="48" t="s">
        <v>21</v>
      </c>
      <c r="J229" s="48"/>
      <c r="K229" s="49"/>
      <c r="L229" s="50">
        <v>0</v>
      </c>
      <c r="M229" s="53">
        <v>0</v>
      </c>
      <c r="N229" s="53">
        <f t="shared" ref="N229:N232" si="50">+IF(L229&gt;0,M229*100/L229,0)</f>
        <v>0</v>
      </c>
    </row>
    <row r="230" spans="1:14" ht="21.75" customHeight="1" x14ac:dyDescent="0.4">
      <c r="A230" s="42"/>
      <c r="B230" s="43"/>
      <c r="C230" s="43"/>
      <c r="D230" s="51"/>
      <c r="E230" s="45"/>
      <c r="F230" s="45" t="s">
        <v>21</v>
      </c>
      <c r="G230" s="46" t="s">
        <v>22</v>
      </c>
      <c r="H230" s="47" t="s">
        <v>20</v>
      </c>
      <c r="I230" s="48"/>
      <c r="J230" s="48"/>
      <c r="K230" s="49"/>
      <c r="L230" s="50">
        <f t="shared" ref="L230:M230" ca="1" si="51">SUM(L231:L232)</f>
        <v>906300</v>
      </c>
      <c r="M230" s="53">
        <f t="shared" si="51"/>
        <v>0</v>
      </c>
      <c r="N230" s="53">
        <f t="shared" ca="1" si="50"/>
        <v>0</v>
      </c>
    </row>
    <row r="231" spans="1:14" ht="21.75" customHeight="1" x14ac:dyDescent="0.4">
      <c r="A231" s="42"/>
      <c r="B231" s="43"/>
      <c r="C231" s="43"/>
      <c r="D231" s="51"/>
      <c r="E231" s="45"/>
      <c r="F231" s="45"/>
      <c r="G231" s="52" t="s">
        <v>23</v>
      </c>
      <c r="H231" s="47" t="s">
        <v>20</v>
      </c>
      <c r="I231" s="48"/>
      <c r="J231" s="48"/>
      <c r="K231" s="49"/>
      <c r="L231" s="53">
        <f ca="1">IFERROR(__xludf.DUMMYFUNCTION("IMPORTRANGE(""https://docs.google.com/spreadsheets/d/1C3CXT74ZlgGe6_JY_1olB1XN4rF0dxEuIIF-xsYjHgg/edit?usp=sharing"",""พรบ!BX35"")"),614000)</f>
        <v>614000</v>
      </c>
      <c r="M231" s="54">
        <v>0</v>
      </c>
      <c r="N231" s="53">
        <f t="shared" ca="1" si="50"/>
        <v>0</v>
      </c>
    </row>
    <row r="232" spans="1:14" ht="21.75" customHeight="1" x14ac:dyDescent="0.4">
      <c r="A232" s="42"/>
      <c r="B232" s="43"/>
      <c r="C232" s="43"/>
      <c r="D232" s="51"/>
      <c r="E232" s="45"/>
      <c r="F232" s="45"/>
      <c r="G232" s="52" t="s">
        <v>24</v>
      </c>
      <c r="H232" s="47" t="s">
        <v>20</v>
      </c>
      <c r="I232" s="48"/>
      <c r="J232" s="48"/>
      <c r="K232" s="49"/>
      <c r="L232" s="53">
        <f ca="1">IFERROR(__xludf.DUMMYFUNCTION("IMPORTRANGE(""https://docs.google.com/spreadsheets/d/1C3CXT74ZlgGe6_JY_1olB1XN4rF0dxEuIIF-xsYjHgg/edit?usp=sharing"",""พรบ!BY35"")"),292300)</f>
        <v>292300</v>
      </c>
      <c r="M232" s="54">
        <v>0</v>
      </c>
      <c r="N232" s="53">
        <f t="shared" ca="1" si="50"/>
        <v>0</v>
      </c>
    </row>
    <row r="233" spans="1:14" ht="21.75" customHeight="1" x14ac:dyDescent="0.4">
      <c r="A233" s="55"/>
      <c r="B233" s="155"/>
      <c r="C233" s="199" t="s">
        <v>101</v>
      </c>
      <c r="D233" s="75"/>
      <c r="E233" s="75"/>
      <c r="F233" s="75"/>
      <c r="G233" s="76"/>
      <c r="H233" s="60"/>
      <c r="I233" s="200"/>
      <c r="J233" s="200"/>
      <c r="K233" s="201"/>
      <c r="L233" s="61"/>
      <c r="M233" s="61"/>
      <c r="N233" s="202"/>
    </row>
    <row r="234" spans="1:14" ht="21.75" customHeight="1" x14ac:dyDescent="0.4">
      <c r="A234" s="55"/>
      <c r="B234" s="155"/>
      <c r="C234" s="56"/>
      <c r="D234" s="75"/>
      <c r="E234" s="74" t="s">
        <v>102</v>
      </c>
      <c r="F234" s="75"/>
      <c r="G234" s="76"/>
      <c r="H234" s="60" t="s">
        <v>16</v>
      </c>
      <c r="I234" s="67">
        <v>0</v>
      </c>
      <c r="J234" s="67">
        <f ca="1">IFERROR(__xludf.DUMMYFUNCTION("IMPORTRANGE(""https://docs.google.com/spreadsheets/d/1AGHcLOeeYFL3K4b9R1dSzyJy00PE_ra89DNTVfnxSWM/edit?usp=sharing"",""รวมที่ทำกิน!J24"")"),33)</f>
        <v>33</v>
      </c>
      <c r="K234" s="201">
        <f t="shared" ref="K234:K241" si="52">IF(I234&gt;0,J234*100/I234,0)</f>
        <v>0</v>
      </c>
      <c r="L234" s="61"/>
      <c r="M234" s="61"/>
      <c r="N234" s="202"/>
    </row>
    <row r="235" spans="1:14" ht="21.75" customHeight="1" x14ac:dyDescent="0.4">
      <c r="A235" s="55"/>
      <c r="B235" s="155"/>
      <c r="C235" s="56"/>
      <c r="D235" s="75"/>
      <c r="E235" s="75"/>
      <c r="F235" s="75"/>
      <c r="G235" s="76"/>
      <c r="H235" s="60" t="s">
        <v>103</v>
      </c>
      <c r="I235" s="67">
        <f ca="1">IFERROR(__xludf.DUMMYFUNCTION("IMPORTRANGE(""https://docs.google.com/spreadsheets/d/1C3CXT74ZlgGe6_JY_1olB1XN4rF0dxEuIIF-xsYjHgg/edit?usp=sharing"",""พรบ!BZ35"")"),800)</f>
        <v>800</v>
      </c>
      <c r="J235" s="67">
        <f ca="1">IFERROR(__xludf.DUMMYFUNCTION("IMPORTRANGE(""https://docs.google.com/spreadsheets/d/1AGHcLOeeYFL3K4b9R1dSzyJy00PE_ra89DNTVfnxSWM/edit?usp=sharing"",""รวมที่ทำกิน!L24"")"),163.01)</f>
        <v>163.01</v>
      </c>
      <c r="K235" s="201">
        <f t="shared" ca="1" si="52"/>
        <v>20.376249999999999</v>
      </c>
      <c r="L235" s="61"/>
      <c r="M235" s="61"/>
      <c r="N235" s="202"/>
    </row>
    <row r="236" spans="1:14" ht="21.75" customHeight="1" x14ac:dyDescent="0.4">
      <c r="A236" s="55"/>
      <c r="B236" s="155"/>
      <c r="C236" s="56"/>
      <c r="D236" s="75"/>
      <c r="E236" s="74" t="s">
        <v>104</v>
      </c>
      <c r="F236" s="75"/>
      <c r="G236" s="76"/>
      <c r="H236" s="60" t="s">
        <v>16</v>
      </c>
      <c r="I236" s="67">
        <f ca="1">IFERROR(__xludf.DUMMYFUNCTION("IMPORTRANGE(""https://docs.google.com/spreadsheets/d/1C3CXT74ZlgGe6_JY_1olB1XN4rF0dxEuIIF-xsYjHgg/edit?usp=sharing"",""พรบ!CA35"")"),170)</f>
        <v>170</v>
      </c>
      <c r="J236" s="67">
        <f ca="1">IFERROR(__xludf.DUMMYFUNCTION("IMPORTRANGE(""https://docs.google.com/spreadsheets/d/1AGHcLOeeYFL3K4b9R1dSzyJy00PE_ra89DNTVfnxSWM/edit?usp=sharing"",""รวมที่ทำกิน!O24"")"),45)</f>
        <v>45</v>
      </c>
      <c r="K236" s="201">
        <f t="shared" ca="1" si="52"/>
        <v>26.470588235294116</v>
      </c>
      <c r="L236" s="61"/>
      <c r="M236" s="61"/>
      <c r="N236" s="202"/>
    </row>
    <row r="237" spans="1:14" ht="21.75" customHeight="1" x14ac:dyDescent="0.4">
      <c r="A237" s="55"/>
      <c r="B237" s="155"/>
      <c r="C237" s="56"/>
      <c r="D237" s="75"/>
      <c r="E237" s="75"/>
      <c r="F237" s="75"/>
      <c r="G237" s="76"/>
      <c r="H237" s="60" t="s">
        <v>103</v>
      </c>
      <c r="I237" s="200">
        <v>0</v>
      </c>
      <c r="J237" s="67">
        <f ca="1">IFERROR(__xludf.DUMMYFUNCTION("IMPORTRANGE(""https://docs.google.com/spreadsheets/d/1AGHcLOeeYFL3K4b9R1dSzyJy00PE_ra89DNTVfnxSWM/edit?usp=sharing"",""รวมที่ทำกิน!Q24"")"),403.6)</f>
        <v>403.6</v>
      </c>
      <c r="K237" s="201">
        <f t="shared" si="52"/>
        <v>0</v>
      </c>
      <c r="L237" s="61"/>
      <c r="M237" s="61"/>
      <c r="N237" s="202"/>
    </row>
    <row r="238" spans="1:14" ht="21.75" customHeight="1" x14ac:dyDescent="0.4">
      <c r="A238" s="55"/>
      <c r="B238" s="155"/>
      <c r="C238" s="56"/>
      <c r="D238" s="75"/>
      <c r="E238" s="74" t="s">
        <v>105</v>
      </c>
      <c r="F238" s="75"/>
      <c r="G238" s="76"/>
      <c r="H238" s="60" t="s">
        <v>16</v>
      </c>
      <c r="I238" s="67">
        <f ca="1">IFERROR(__xludf.DUMMYFUNCTION("IMPORTRANGE(""https://docs.google.com/spreadsheets/d/1C3CXT74ZlgGe6_JY_1olB1XN4rF0dxEuIIF-xsYjHgg/edit?usp=sharing"",""พรบ!CB35"")"),170)</f>
        <v>170</v>
      </c>
      <c r="J238" s="67">
        <f ca="1">IFERROR(__xludf.DUMMYFUNCTION("IMPORTRANGE(""https://docs.google.com/spreadsheets/d/1AGHcLOeeYFL3K4b9R1dSzyJy00PE_ra89DNTVfnxSWM/edit?usp=sharing"",""รวมที่ทำกิน!S24"")"),2)</f>
        <v>2</v>
      </c>
      <c r="K238" s="201">
        <f t="shared" ca="1" si="52"/>
        <v>1.1764705882352942</v>
      </c>
      <c r="L238" s="61"/>
      <c r="M238" s="61"/>
      <c r="N238" s="202"/>
    </row>
    <row r="239" spans="1:14" ht="21.75" customHeight="1" x14ac:dyDescent="0.4">
      <c r="A239" s="55"/>
      <c r="B239" s="155"/>
      <c r="C239" s="56"/>
      <c r="D239" s="75"/>
      <c r="E239" s="75"/>
      <c r="F239" s="75"/>
      <c r="G239" s="76"/>
      <c r="H239" s="60" t="s">
        <v>103</v>
      </c>
      <c r="I239" s="200">
        <v>0</v>
      </c>
      <c r="J239" s="67">
        <f ca="1">IFERROR(__xludf.DUMMYFUNCTION("IMPORTRANGE(""https://docs.google.com/spreadsheets/d/1AGHcLOeeYFL3K4b9R1dSzyJy00PE_ra89DNTVfnxSWM/edit?usp=sharing"",""รวมที่ทำกิน!U24"")"),16.02)</f>
        <v>16.02</v>
      </c>
      <c r="K239" s="201">
        <f t="shared" si="52"/>
        <v>0</v>
      </c>
      <c r="L239" s="61"/>
      <c r="M239" s="61"/>
      <c r="N239" s="202"/>
    </row>
    <row r="240" spans="1:14" ht="21.75" customHeight="1" x14ac:dyDescent="0.4">
      <c r="A240" s="55"/>
      <c r="B240" s="155"/>
      <c r="C240" s="56"/>
      <c r="D240" s="75"/>
      <c r="E240" s="74" t="s">
        <v>106</v>
      </c>
      <c r="F240" s="75"/>
      <c r="G240" s="76"/>
      <c r="H240" s="60" t="s">
        <v>16</v>
      </c>
      <c r="I240" s="67">
        <f ca="1">IFERROR(__xludf.DUMMYFUNCTION("IMPORTRANGE(""https://docs.google.com/spreadsheets/d/1C3CXT74ZlgGe6_JY_1olB1XN4rF0dxEuIIF-xsYjHgg/edit?usp=sharing"",""พรบ!CC35"")"),170)</f>
        <v>170</v>
      </c>
      <c r="J240" s="67">
        <f ca="1">IFERROR(__xludf.DUMMYFUNCTION("IMPORTRANGE(""https://docs.google.com/spreadsheets/d/1AGHcLOeeYFL3K4b9R1dSzyJy00PE_ra89DNTVfnxSWM/edit?usp=sharing"",""รวมที่ทำกิน!W24"")"),24)</f>
        <v>24</v>
      </c>
      <c r="K240" s="201">
        <f t="shared" ca="1" si="52"/>
        <v>14.117647058823529</v>
      </c>
      <c r="L240" s="61"/>
      <c r="M240" s="61"/>
      <c r="N240" s="202"/>
    </row>
    <row r="241" spans="1:14" ht="21.75" customHeight="1" x14ac:dyDescent="0.4">
      <c r="A241" s="105"/>
      <c r="B241" s="203"/>
      <c r="C241" s="106"/>
      <c r="D241" s="203"/>
      <c r="E241" s="204"/>
      <c r="F241" s="204"/>
      <c r="G241" s="205"/>
      <c r="H241" s="206" t="s">
        <v>103</v>
      </c>
      <c r="I241" s="207">
        <v>0</v>
      </c>
      <c r="J241" s="67">
        <f ca="1">IFERROR(__xludf.DUMMYFUNCTION("IMPORTRANGE(""https://docs.google.com/spreadsheets/d/1AGHcLOeeYFL3K4b9R1dSzyJy00PE_ra89DNTVfnxSWM/edit?usp=sharing"",""รวมที่ทำกิน!Y24"")"),293.59)</f>
        <v>293.58999999999997</v>
      </c>
      <c r="K241" s="201">
        <f t="shared" si="52"/>
        <v>0</v>
      </c>
      <c r="L241" s="115"/>
      <c r="M241" s="115"/>
      <c r="N241" s="208"/>
    </row>
    <row r="242" spans="1:14" ht="21.75" customHeight="1" x14ac:dyDescent="0.4">
      <c r="A242" s="209" t="s">
        <v>107</v>
      </c>
      <c r="B242" s="210"/>
      <c r="C242" s="210"/>
      <c r="D242" s="210"/>
      <c r="E242" s="210"/>
      <c r="F242" s="210"/>
      <c r="G242" s="211"/>
      <c r="H242" s="212"/>
      <c r="I242" s="213"/>
      <c r="J242" s="213"/>
      <c r="K242" s="214"/>
      <c r="L242" s="214">
        <f t="shared" ref="L242:M242" ca="1" si="53">SUM(L244,L275,L296,L330,L350,L426,L444,L457,L473,L490)</f>
        <v>2200927</v>
      </c>
      <c r="M242" s="214">
        <f t="shared" si="53"/>
        <v>72738</v>
      </c>
      <c r="N242" s="214">
        <f ca="1">+IF(L242&gt;0,M242*100/L242,0)</f>
        <v>3.3048801709461513</v>
      </c>
    </row>
    <row r="243" spans="1:14" ht="21.75" customHeight="1" x14ac:dyDescent="0.4">
      <c r="A243" s="215" t="s">
        <v>108</v>
      </c>
      <c r="B243" s="216"/>
      <c r="C243" s="216"/>
      <c r="D243" s="216"/>
      <c r="E243" s="216"/>
      <c r="F243" s="216"/>
      <c r="G243" s="217"/>
      <c r="H243" s="218"/>
      <c r="I243" s="219"/>
      <c r="J243" s="219"/>
      <c r="K243" s="220"/>
      <c r="L243" s="220"/>
      <c r="M243" s="220"/>
      <c r="N243" s="221"/>
    </row>
    <row r="244" spans="1:14" ht="21.75" customHeight="1" x14ac:dyDescent="0.4">
      <c r="A244" s="222"/>
      <c r="B244" s="223">
        <v>1</v>
      </c>
      <c r="C244" s="224" t="s">
        <v>109</v>
      </c>
      <c r="D244" s="224"/>
      <c r="E244" s="224"/>
      <c r="F244" s="224"/>
      <c r="G244" s="225"/>
      <c r="H244" s="226" t="s">
        <v>103</v>
      </c>
      <c r="I244" s="227">
        <f t="shared" ref="I244:J244" ca="1" si="54">I270</f>
        <v>30</v>
      </c>
      <c r="J244" s="227">
        <f t="shared" si="54"/>
        <v>0</v>
      </c>
      <c r="K244" s="228">
        <f t="shared" ref="K244:K245" ca="1" si="55">IF(I244&gt;0,J244*100/I244,0)</f>
        <v>0</v>
      </c>
      <c r="L244" s="229">
        <f t="shared" ref="L244:M244" ca="1" si="56">SUM(L246:L247)</f>
        <v>257760</v>
      </c>
      <c r="M244" s="229">
        <f t="shared" si="56"/>
        <v>11840</v>
      </c>
      <c r="N244" s="229">
        <f ca="1">+IF(L244&gt;0,M244*100/L244,0)</f>
        <v>4.5934202358783365</v>
      </c>
    </row>
    <row r="245" spans="1:14" ht="21.75" customHeight="1" x14ac:dyDescent="0.4">
      <c r="A245" s="222"/>
      <c r="B245" s="223"/>
      <c r="C245" s="224"/>
      <c r="D245" s="224"/>
      <c r="E245" s="224"/>
      <c r="F245" s="224"/>
      <c r="G245" s="225"/>
      <c r="H245" s="226" t="s">
        <v>16</v>
      </c>
      <c r="I245" s="227">
        <f ca="1">I263</f>
        <v>30</v>
      </c>
      <c r="J245" s="227">
        <f>+J263</f>
        <v>0</v>
      </c>
      <c r="K245" s="228">
        <f t="shared" ca="1" si="55"/>
        <v>0</v>
      </c>
      <c r="L245" s="229"/>
      <c r="M245" s="229"/>
      <c r="N245" s="229"/>
    </row>
    <row r="246" spans="1:14" ht="21.75" customHeight="1" x14ac:dyDescent="0.4">
      <c r="A246" s="42"/>
      <c r="B246" s="43"/>
      <c r="C246" s="43" t="s">
        <v>17</v>
      </c>
      <c r="D246" s="44" t="s">
        <v>18</v>
      </c>
      <c r="E246" s="45"/>
      <c r="F246" s="45"/>
      <c r="G246" s="46" t="s">
        <v>19</v>
      </c>
      <c r="H246" s="47" t="s">
        <v>20</v>
      </c>
      <c r="I246" s="48" t="s">
        <v>21</v>
      </c>
      <c r="J246" s="48"/>
      <c r="K246" s="49"/>
      <c r="L246" s="50">
        <v>0</v>
      </c>
      <c r="M246" s="50">
        <v>0</v>
      </c>
      <c r="N246" s="50">
        <f t="shared" ref="N246:N249" si="57">+IF(L246&gt;0,M246*100/L246,0)</f>
        <v>0</v>
      </c>
    </row>
    <row r="247" spans="1:14" ht="21.75" customHeight="1" x14ac:dyDescent="0.4">
      <c r="A247" s="42"/>
      <c r="B247" s="43"/>
      <c r="C247" s="43"/>
      <c r="D247" s="51"/>
      <c r="E247" s="45"/>
      <c r="F247" s="45" t="s">
        <v>21</v>
      </c>
      <c r="G247" s="46" t="s">
        <v>22</v>
      </c>
      <c r="H247" s="47" t="s">
        <v>20</v>
      </c>
      <c r="I247" s="48"/>
      <c r="J247" s="48"/>
      <c r="K247" s="49"/>
      <c r="L247" s="50">
        <f t="shared" ref="L247:M247" ca="1" si="58">SUM(L248:L249)</f>
        <v>257760</v>
      </c>
      <c r="M247" s="50">
        <f t="shared" si="58"/>
        <v>11840</v>
      </c>
      <c r="N247" s="50">
        <f t="shared" ca="1" si="57"/>
        <v>4.5934202358783365</v>
      </c>
    </row>
    <row r="248" spans="1:14" ht="21.75" customHeight="1" x14ac:dyDescent="0.4">
      <c r="A248" s="42"/>
      <c r="B248" s="43"/>
      <c r="C248" s="43"/>
      <c r="D248" s="51"/>
      <c r="E248" s="45"/>
      <c r="F248" s="45"/>
      <c r="G248" s="52" t="s">
        <v>110</v>
      </c>
      <c r="H248" s="47" t="s">
        <v>20</v>
      </c>
      <c r="I248" s="48"/>
      <c r="J248" s="48"/>
      <c r="K248" s="49"/>
      <c r="L248" s="53">
        <f ca="1">IFERROR(__xludf.DUMMYFUNCTION("IMPORTRANGE(""https://docs.google.com/spreadsheets/d/1C3CXT74ZlgGe6_JY_1olB1XN4rF0dxEuIIF-xsYjHgg/edit?usp=sharing"",""งบกองทุน!d35"")"),0)</f>
        <v>0</v>
      </c>
      <c r="M248" s="53">
        <v>0</v>
      </c>
      <c r="N248" s="53">
        <f t="shared" ca="1" si="57"/>
        <v>0</v>
      </c>
    </row>
    <row r="249" spans="1:14" ht="21.75" customHeight="1" x14ac:dyDescent="0.4">
      <c r="A249" s="42"/>
      <c r="B249" s="43"/>
      <c r="C249" s="43"/>
      <c r="D249" s="51"/>
      <c r="E249" s="45"/>
      <c r="F249" s="45"/>
      <c r="G249" s="52" t="s">
        <v>111</v>
      </c>
      <c r="H249" s="47" t="s">
        <v>20</v>
      </c>
      <c r="I249" s="48"/>
      <c r="J249" s="48"/>
      <c r="K249" s="49"/>
      <c r="L249" s="53">
        <f ca="1">IFERROR(__xludf.DUMMYFUNCTION("IMPORTRANGE(""https://docs.google.com/spreadsheets/d/1C3CXT74ZlgGe6_JY_1olB1XN4rF0dxEuIIF-xsYjHgg/edit?usp=sharing"",""งบกองทุน!e35"")"),257760)</f>
        <v>257760</v>
      </c>
      <c r="M249" s="53">
        <f>SUM(M250:M253)</f>
        <v>11840</v>
      </c>
      <c r="N249" s="53">
        <f t="shared" ca="1" si="57"/>
        <v>4.5934202358783365</v>
      </c>
    </row>
    <row r="250" spans="1:14" ht="21.75" customHeight="1" x14ac:dyDescent="0.4">
      <c r="A250" s="230"/>
      <c r="B250" s="231"/>
      <c r="C250" s="43"/>
      <c r="D250" s="232"/>
      <c r="E250" s="45"/>
      <c r="F250" s="45"/>
      <c r="G250" s="46" t="s">
        <v>112</v>
      </c>
      <c r="H250" s="47" t="s">
        <v>20</v>
      </c>
      <c r="I250" s="67"/>
      <c r="J250" s="67"/>
      <c r="K250" s="233"/>
      <c r="L250" s="53"/>
      <c r="M250" s="54">
        <v>0</v>
      </c>
      <c r="N250" s="53"/>
    </row>
    <row r="251" spans="1:14" ht="21.75" customHeight="1" x14ac:dyDescent="0.4">
      <c r="A251" s="230"/>
      <c r="B251" s="231"/>
      <c r="C251" s="43"/>
      <c r="D251" s="232"/>
      <c r="E251" s="45"/>
      <c r="F251" s="45"/>
      <c r="G251" s="46" t="s">
        <v>113</v>
      </c>
      <c r="H251" s="47" t="s">
        <v>20</v>
      </c>
      <c r="I251" s="67"/>
      <c r="J251" s="67"/>
      <c r="K251" s="233"/>
      <c r="L251" s="53"/>
      <c r="M251" s="54">
        <v>0</v>
      </c>
      <c r="N251" s="53"/>
    </row>
    <row r="252" spans="1:14" ht="21.75" customHeight="1" x14ac:dyDescent="0.4">
      <c r="A252" s="230"/>
      <c r="B252" s="231"/>
      <c r="C252" s="43"/>
      <c r="D252" s="232"/>
      <c r="E252" s="45"/>
      <c r="F252" s="45"/>
      <c r="G252" s="46" t="s">
        <v>114</v>
      </c>
      <c r="H252" s="47" t="s">
        <v>20</v>
      </c>
      <c r="I252" s="67"/>
      <c r="J252" s="67"/>
      <c r="K252" s="233"/>
      <c r="L252" s="53"/>
      <c r="M252" s="54">
        <v>11000</v>
      </c>
      <c r="N252" s="53"/>
    </row>
    <row r="253" spans="1:14" ht="21.75" customHeight="1" x14ac:dyDescent="0.4">
      <c r="A253" s="230"/>
      <c r="B253" s="231"/>
      <c r="C253" s="43"/>
      <c r="D253" s="232"/>
      <c r="E253" s="45"/>
      <c r="F253" s="45"/>
      <c r="G253" s="46" t="s">
        <v>115</v>
      </c>
      <c r="H253" s="47" t="s">
        <v>20</v>
      </c>
      <c r="I253" s="67"/>
      <c r="J253" s="67"/>
      <c r="K253" s="233"/>
      <c r="L253" s="53"/>
      <c r="M253" s="54">
        <v>840</v>
      </c>
      <c r="N253" s="53"/>
    </row>
    <row r="254" spans="1:14" ht="21.75" customHeight="1" x14ac:dyDescent="0.4">
      <c r="A254" s="55"/>
      <c r="B254" s="56"/>
      <c r="C254" s="43" t="s">
        <v>17</v>
      </c>
      <c r="D254" s="57" t="s">
        <v>25</v>
      </c>
      <c r="E254" s="58"/>
      <c r="F254" s="58"/>
      <c r="G254" s="59"/>
      <c r="H254" s="60"/>
      <c r="I254" s="48"/>
      <c r="J254" s="48"/>
      <c r="K254" s="49"/>
      <c r="L254" s="61"/>
      <c r="M254" s="61"/>
      <c r="N254" s="61"/>
    </row>
    <row r="255" spans="1:14" ht="21.75" customHeight="1" x14ac:dyDescent="0.4">
      <c r="A255" s="55"/>
      <c r="B255" s="56"/>
      <c r="C255" s="56"/>
      <c r="D255" s="62">
        <v>1</v>
      </c>
      <c r="E255" s="63" t="s">
        <v>26</v>
      </c>
      <c r="F255" s="64"/>
      <c r="G255" s="65"/>
      <c r="H255" s="66"/>
      <c r="I255" s="67"/>
      <c r="J255" s="68">
        <v>0</v>
      </c>
      <c r="K255" s="49"/>
      <c r="L255" s="61"/>
      <c r="M255" s="61"/>
      <c r="N255" s="61"/>
    </row>
    <row r="256" spans="1:14" ht="21.75" customHeight="1" x14ac:dyDescent="0.4">
      <c r="A256" s="55"/>
      <c r="B256" s="56"/>
      <c r="C256" s="56"/>
      <c r="D256" s="69">
        <v>2</v>
      </c>
      <c r="E256" s="70" t="s">
        <v>27</v>
      </c>
      <c r="F256" s="71"/>
      <c r="G256" s="72"/>
      <c r="H256" s="66"/>
      <c r="I256" s="67"/>
      <c r="J256" s="68">
        <v>1</v>
      </c>
      <c r="K256" s="49"/>
      <c r="L256" s="61" t="s">
        <v>21</v>
      </c>
      <c r="M256" s="61" t="s">
        <v>21</v>
      </c>
      <c r="N256" s="61"/>
    </row>
    <row r="257" spans="1:14" ht="21.75" customHeight="1" x14ac:dyDescent="0.4">
      <c r="A257" s="55"/>
      <c r="B257" s="56"/>
      <c r="C257" s="56"/>
      <c r="D257" s="73"/>
      <c r="E257" s="74" t="s">
        <v>28</v>
      </c>
      <c r="F257" s="75"/>
      <c r="G257" s="76"/>
      <c r="H257" s="66"/>
      <c r="I257" s="67"/>
      <c r="J257" s="68">
        <v>1</v>
      </c>
      <c r="K257" s="49"/>
      <c r="L257" s="61"/>
      <c r="M257" s="61"/>
      <c r="N257" s="61"/>
    </row>
    <row r="258" spans="1:14" ht="21.75" customHeight="1" x14ac:dyDescent="0.4">
      <c r="A258" s="55"/>
      <c r="B258" s="56"/>
      <c r="C258" s="56"/>
      <c r="D258" s="73"/>
      <c r="E258" s="74" t="s">
        <v>29</v>
      </c>
      <c r="F258" s="75"/>
      <c r="G258" s="76"/>
      <c r="H258" s="66"/>
      <c r="I258" s="67"/>
      <c r="J258" s="68">
        <v>0</v>
      </c>
      <c r="K258" s="49"/>
      <c r="L258" s="61"/>
      <c r="M258" s="61"/>
      <c r="N258" s="61"/>
    </row>
    <row r="259" spans="1:14" ht="21.75" hidden="1" customHeight="1" x14ac:dyDescent="0.4">
      <c r="A259" s="55"/>
      <c r="B259" s="56"/>
      <c r="C259" s="56"/>
      <c r="D259" s="73"/>
      <c r="E259" s="77"/>
      <c r="F259" s="74" t="s">
        <v>50</v>
      </c>
      <c r="G259" s="76"/>
      <c r="H259" s="60"/>
      <c r="I259" s="67"/>
      <c r="J259" s="67">
        <f>+J260+J263+J268</f>
        <v>0</v>
      </c>
      <c r="K259" s="49"/>
      <c r="L259" s="61"/>
      <c r="M259" s="61"/>
      <c r="N259" s="61"/>
    </row>
    <row r="260" spans="1:14" ht="21.75" hidden="1" customHeight="1" x14ac:dyDescent="0.4">
      <c r="A260" s="55"/>
      <c r="B260" s="56"/>
      <c r="C260" s="56"/>
      <c r="D260" s="73"/>
      <c r="E260" s="77"/>
      <c r="F260" s="75"/>
      <c r="G260" s="99" t="s">
        <v>116</v>
      </c>
      <c r="H260" s="60" t="s">
        <v>16</v>
      </c>
      <c r="I260" s="67">
        <f ca="1">IFERROR(__xludf.DUMMYFUNCTION("IMPORTRANGE(""https://docs.google.com/spreadsheets/d/1C3CXT74ZlgGe6_JY_1olB1XN4rF0dxEuIIF-xsYjHgg/edit?usp=sharing"",""งบกองทุน!f35"")"),0)</f>
        <v>0</v>
      </c>
      <c r="J260" s="67">
        <v>0</v>
      </c>
      <c r="K260" s="49">
        <f ca="1">IF(I260&gt;0,J260*100/I260,0)</f>
        <v>0</v>
      </c>
      <c r="L260" s="61"/>
      <c r="M260" s="61"/>
      <c r="N260" s="61"/>
    </row>
    <row r="261" spans="1:14" ht="21.75" hidden="1" customHeight="1" x14ac:dyDescent="0.4">
      <c r="A261" s="55"/>
      <c r="B261" s="56"/>
      <c r="C261" s="56"/>
      <c r="D261" s="73"/>
      <c r="E261" s="77"/>
      <c r="F261" s="75"/>
      <c r="G261" s="76" t="s">
        <v>117</v>
      </c>
      <c r="H261" s="60"/>
      <c r="I261" s="48"/>
      <c r="J261" s="67"/>
      <c r="K261" s="49"/>
      <c r="L261" s="61"/>
      <c r="M261" s="61"/>
      <c r="N261" s="61"/>
    </row>
    <row r="262" spans="1:14" ht="21.75" hidden="1" customHeight="1" x14ac:dyDescent="0.4">
      <c r="A262" s="55"/>
      <c r="B262" s="56"/>
      <c r="C262" s="56"/>
      <c r="D262" s="73"/>
      <c r="E262" s="77"/>
      <c r="F262" s="75"/>
      <c r="G262" s="99" t="s">
        <v>118</v>
      </c>
      <c r="H262" s="66" t="s">
        <v>103</v>
      </c>
      <c r="I262" s="67">
        <f t="shared" ref="I262:J262" ca="1" si="59">SUM(I264,I266)</f>
        <v>30</v>
      </c>
      <c r="J262" s="67">
        <f t="shared" si="59"/>
        <v>0</v>
      </c>
      <c r="K262" s="49">
        <f t="shared" ref="K262:K268" ca="1" si="60">IF(I262&gt;0,J262*100/I262,0)</f>
        <v>0</v>
      </c>
      <c r="L262" s="61"/>
      <c r="M262" s="61"/>
      <c r="N262" s="61"/>
    </row>
    <row r="263" spans="1:14" ht="21.75" customHeight="1" x14ac:dyDescent="0.4">
      <c r="A263" s="55"/>
      <c r="B263" s="56"/>
      <c r="C263" s="56"/>
      <c r="D263" s="73"/>
      <c r="E263" s="77"/>
      <c r="F263" s="99" t="s">
        <v>119</v>
      </c>
      <c r="G263" s="76"/>
      <c r="H263" s="66" t="s">
        <v>16</v>
      </c>
      <c r="I263" s="48">
        <f ca="1">IFERROR(__xludf.DUMMYFUNCTION("IMPORTRANGE(""https://docs.google.com/spreadsheets/d/1C3CXT74ZlgGe6_JY_1olB1XN4rF0dxEuIIF-xsYjHgg/edit?usp=sharing"",""งบกองทุน!H35"")"),30)</f>
        <v>30</v>
      </c>
      <c r="J263" s="67">
        <f>J267</f>
        <v>0</v>
      </c>
      <c r="K263" s="49">
        <f t="shared" ca="1" si="60"/>
        <v>0</v>
      </c>
      <c r="L263" s="61"/>
      <c r="M263" s="61"/>
      <c r="N263" s="61"/>
    </row>
    <row r="264" spans="1:14" ht="21.75" hidden="1" customHeight="1" x14ac:dyDescent="0.4">
      <c r="A264" s="55"/>
      <c r="B264" s="56"/>
      <c r="C264" s="56"/>
      <c r="D264" s="73"/>
      <c r="E264" s="77"/>
      <c r="F264" s="75"/>
      <c r="H264" s="60" t="s">
        <v>103</v>
      </c>
      <c r="I264" s="48">
        <f ca="1">IFERROR(__xludf.DUMMYFUNCTION("IMPORTRANGE(""https://docs.google.com/spreadsheets/d/1C3CXT74ZlgGe6_JY_1olB1XN4rF0dxEuIIF-xsYjHgg/edit?usp=sharing"",""งบกองทุน!i35"")"),10)</f>
        <v>10</v>
      </c>
      <c r="J264" s="68">
        <v>0</v>
      </c>
      <c r="K264" s="49">
        <f t="shared" ca="1" si="60"/>
        <v>0</v>
      </c>
      <c r="L264" s="61"/>
      <c r="M264" s="61"/>
      <c r="N264" s="61"/>
    </row>
    <row r="265" spans="1:14" ht="21.75" customHeight="1" x14ac:dyDescent="0.4">
      <c r="A265" s="55"/>
      <c r="B265" s="56"/>
      <c r="C265" s="56"/>
      <c r="D265" s="73"/>
      <c r="E265" s="77"/>
      <c r="F265" s="75"/>
      <c r="G265" s="99" t="s">
        <v>219</v>
      </c>
      <c r="H265" s="60" t="s">
        <v>16</v>
      </c>
      <c r="I265" s="48">
        <f ca="1">I263</f>
        <v>30</v>
      </c>
      <c r="J265" s="68">
        <v>0</v>
      </c>
      <c r="K265" s="49">
        <f t="shared" ca="1" si="60"/>
        <v>0</v>
      </c>
      <c r="L265" s="61"/>
      <c r="M265" s="61"/>
      <c r="N265" s="61"/>
    </row>
    <row r="266" spans="1:14" ht="21.75" hidden="1" customHeight="1" x14ac:dyDescent="0.4">
      <c r="A266" s="55"/>
      <c r="B266" s="56"/>
      <c r="C266" s="56"/>
      <c r="D266" s="73"/>
      <c r="E266" s="77"/>
      <c r="F266" s="75"/>
      <c r="G266" s="76"/>
      <c r="H266" s="60" t="s">
        <v>103</v>
      </c>
      <c r="I266" s="48">
        <f ca="1">IFERROR(__xludf.DUMMYFUNCTION("IMPORTRANGE(""https://docs.google.com/spreadsheets/d/1C3CXT74ZlgGe6_JY_1olB1XN4rF0dxEuIIF-xsYjHgg/edit?usp=sharing"",""งบกองทุน!k35"")"),20)</f>
        <v>20</v>
      </c>
      <c r="J266" s="68">
        <v>0</v>
      </c>
      <c r="K266" s="49">
        <f t="shared" ca="1" si="60"/>
        <v>0</v>
      </c>
      <c r="L266" s="61"/>
      <c r="M266" s="61"/>
      <c r="N266" s="61"/>
    </row>
    <row r="267" spans="1:14" ht="21.75" customHeight="1" x14ac:dyDescent="0.4">
      <c r="A267" s="55"/>
      <c r="B267" s="56"/>
      <c r="C267" s="56"/>
      <c r="D267" s="73"/>
      <c r="E267" s="77"/>
      <c r="F267" s="75"/>
      <c r="G267" s="76" t="s">
        <v>220</v>
      </c>
      <c r="H267" s="60" t="s">
        <v>16</v>
      </c>
      <c r="I267" s="48">
        <f ca="1">I265</f>
        <v>30</v>
      </c>
      <c r="J267" s="68">
        <v>0</v>
      </c>
      <c r="K267" s="49">
        <f t="shared" ca="1" si="60"/>
        <v>0</v>
      </c>
      <c r="L267" s="61"/>
      <c r="M267" s="61"/>
      <c r="N267" s="61"/>
    </row>
    <row r="268" spans="1:14" ht="21.75" hidden="1" customHeight="1" x14ac:dyDescent="0.4">
      <c r="A268" s="55"/>
      <c r="B268" s="56"/>
      <c r="C268" s="56"/>
      <c r="D268" s="73"/>
      <c r="E268" s="77"/>
      <c r="F268" s="75"/>
      <c r="G268" s="99" t="s">
        <v>122</v>
      </c>
      <c r="H268" s="60" t="s">
        <v>16</v>
      </c>
      <c r="I268" s="67">
        <f ca="1">IFERROR(__xludf.DUMMYFUNCTION("IMPORTRANGE(""https://docs.google.com/spreadsheets/d/1C3CXT74ZlgGe6_JY_1olB1XN4rF0dxEuIIF-xsYjHgg/edit?usp=sharing"",""งบกองทุน!m35"")"),0)</f>
        <v>0</v>
      </c>
      <c r="J268" s="67">
        <v>0</v>
      </c>
      <c r="K268" s="49">
        <f t="shared" ca="1" si="60"/>
        <v>0</v>
      </c>
      <c r="L268" s="61"/>
      <c r="M268" s="61"/>
      <c r="N268" s="61"/>
    </row>
    <row r="269" spans="1:14" ht="21.75" hidden="1" customHeight="1" x14ac:dyDescent="0.4">
      <c r="A269" s="55"/>
      <c r="B269" s="56"/>
      <c r="C269" s="56"/>
      <c r="D269" s="73"/>
      <c r="E269" s="77"/>
      <c r="F269" s="75"/>
      <c r="G269" s="76" t="s">
        <v>123</v>
      </c>
      <c r="H269" s="60"/>
      <c r="I269" s="67"/>
      <c r="J269" s="67"/>
      <c r="K269" s="49"/>
      <c r="L269" s="61"/>
      <c r="M269" s="61"/>
      <c r="N269" s="61"/>
    </row>
    <row r="270" spans="1:14" ht="21.75" customHeight="1" x14ac:dyDescent="0.4">
      <c r="A270" s="55"/>
      <c r="B270" s="56"/>
      <c r="C270" s="56"/>
      <c r="D270" s="73"/>
      <c r="E270" s="75"/>
      <c r="F270" s="74" t="s">
        <v>34</v>
      </c>
      <c r="G270" s="76"/>
      <c r="H270" s="66" t="s">
        <v>103</v>
      </c>
      <c r="I270" s="67">
        <f t="shared" ref="I270:J270" ca="1" si="61">SUM(I271:I272)</f>
        <v>30</v>
      </c>
      <c r="J270" s="67">
        <f t="shared" si="61"/>
        <v>0</v>
      </c>
      <c r="K270" s="49">
        <f t="shared" ref="K270:K272" ca="1" si="62">IF(I270&gt;0,J270*100/I270,0)</f>
        <v>0</v>
      </c>
      <c r="L270" s="61"/>
      <c r="M270" s="61"/>
      <c r="N270" s="61"/>
    </row>
    <row r="271" spans="1:14" ht="21.75" customHeight="1" x14ac:dyDescent="0.4">
      <c r="A271" s="55"/>
      <c r="B271" s="56"/>
      <c r="C271" s="56"/>
      <c r="D271" s="73"/>
      <c r="E271" s="75"/>
      <c r="F271" s="75"/>
      <c r="G271" s="76" t="s">
        <v>124</v>
      </c>
      <c r="H271" s="66" t="s">
        <v>103</v>
      </c>
      <c r="I271" s="67">
        <f ca="1">IFERROR(__xludf.DUMMYFUNCTION("IMPORTRANGE(""https://docs.google.com/spreadsheets/d/1C3CXT74ZlgGe6_JY_1olB1XN4rF0dxEuIIF-xsYjHgg/edit?usp=sharing"",""งบกองทุน!o35"")"),20)</f>
        <v>20</v>
      </c>
      <c r="J271" s="68">
        <v>0</v>
      </c>
      <c r="K271" s="49">
        <f t="shared" ca="1" si="62"/>
        <v>0</v>
      </c>
      <c r="L271" s="61"/>
      <c r="M271" s="61"/>
      <c r="N271" s="61"/>
    </row>
    <row r="272" spans="1:14" ht="21.75" customHeight="1" x14ac:dyDescent="0.4">
      <c r="A272" s="55"/>
      <c r="B272" s="56"/>
      <c r="C272" s="56"/>
      <c r="D272" s="73"/>
      <c r="E272" s="75"/>
      <c r="F272" s="75"/>
      <c r="G272" s="76" t="s">
        <v>125</v>
      </c>
      <c r="H272" s="66" t="s">
        <v>103</v>
      </c>
      <c r="I272" s="67">
        <f ca="1">IFERROR(__xludf.DUMMYFUNCTION("IMPORTRANGE(""https://docs.google.com/spreadsheets/d/1C3CXT74ZlgGe6_JY_1olB1XN4rF0dxEuIIF-xsYjHgg/edit?usp=sharing"",""งบกองทุน!p35"")"),10)</f>
        <v>10</v>
      </c>
      <c r="J272" s="68">
        <v>0</v>
      </c>
      <c r="K272" s="49">
        <f t="shared" ca="1" si="62"/>
        <v>0</v>
      </c>
      <c r="L272" s="61"/>
      <c r="M272" s="61"/>
      <c r="N272" s="61"/>
    </row>
    <row r="273" spans="1:14" ht="21.75" customHeight="1" x14ac:dyDescent="0.4">
      <c r="A273" s="55"/>
      <c r="B273" s="56"/>
      <c r="C273" s="56"/>
      <c r="D273" s="73"/>
      <c r="E273" s="74" t="s">
        <v>35</v>
      </c>
      <c r="F273" s="75"/>
      <c r="G273" s="76"/>
      <c r="H273" s="66"/>
      <c r="I273" s="67"/>
      <c r="J273" s="68">
        <v>0</v>
      </c>
      <c r="K273" s="49"/>
      <c r="L273" s="61"/>
      <c r="M273" s="61"/>
      <c r="N273" s="61"/>
    </row>
    <row r="274" spans="1:14" ht="21.75" customHeight="1" x14ac:dyDescent="0.4">
      <c r="A274" s="55"/>
      <c r="B274" s="56"/>
      <c r="C274" s="56"/>
      <c r="D274" s="81">
        <v>3</v>
      </c>
      <c r="E274" s="82" t="s">
        <v>36</v>
      </c>
      <c r="F274" s="83"/>
      <c r="G274" s="84"/>
      <c r="H274" s="66"/>
      <c r="I274" s="67"/>
      <c r="J274" s="85">
        <v>0</v>
      </c>
      <c r="K274" s="49"/>
      <c r="L274" s="61"/>
      <c r="M274" s="61"/>
      <c r="N274" s="61"/>
    </row>
    <row r="275" spans="1:14" ht="21.75" customHeight="1" x14ac:dyDescent="0.4">
      <c r="A275" s="222"/>
      <c r="B275" s="223">
        <v>2</v>
      </c>
      <c r="C275" s="224" t="s">
        <v>126</v>
      </c>
      <c r="D275" s="224"/>
      <c r="E275" s="234"/>
      <c r="F275" s="234"/>
      <c r="G275" s="235"/>
      <c r="H275" s="226" t="s">
        <v>103</v>
      </c>
      <c r="I275" s="227">
        <f ca="1">I292</f>
        <v>1000</v>
      </c>
      <c r="J275" s="227">
        <f>+J292</f>
        <v>0</v>
      </c>
      <c r="K275" s="228">
        <f t="shared" ref="K275:K276" ca="1" si="63">IF(I275&gt;0,J275*100/I275,0)</f>
        <v>0</v>
      </c>
      <c r="L275" s="229">
        <f t="shared" ref="L275:M275" ca="1" si="64">SUM(L277:L278)</f>
        <v>1028520</v>
      </c>
      <c r="M275" s="229">
        <f t="shared" si="64"/>
        <v>11000</v>
      </c>
      <c r="N275" s="229">
        <f ca="1">+IF(L275&gt;0,M275*100/L275,0)</f>
        <v>1.0694979193404115</v>
      </c>
    </row>
    <row r="276" spans="1:14" ht="21.75" customHeight="1" x14ac:dyDescent="0.4">
      <c r="A276" s="222"/>
      <c r="B276" s="223"/>
      <c r="C276" s="224"/>
      <c r="D276" s="236"/>
      <c r="E276" s="237"/>
      <c r="F276" s="237"/>
      <c r="G276" s="238"/>
      <c r="H276" s="226" t="s">
        <v>16</v>
      </c>
      <c r="I276" s="227">
        <f ca="1">I291</f>
        <v>100</v>
      </c>
      <c r="J276" s="227">
        <f>+J291</f>
        <v>0</v>
      </c>
      <c r="K276" s="228">
        <f t="shared" ca="1" si="63"/>
        <v>0</v>
      </c>
      <c r="L276" s="229"/>
      <c r="M276" s="229"/>
      <c r="N276" s="229"/>
    </row>
    <row r="277" spans="1:14" ht="21.75" customHeight="1" x14ac:dyDescent="0.4">
      <c r="A277" s="42"/>
      <c r="B277" s="43"/>
      <c r="C277" s="43" t="s">
        <v>17</v>
      </c>
      <c r="D277" s="44" t="s">
        <v>18</v>
      </c>
      <c r="E277" s="45"/>
      <c r="F277" s="45"/>
      <c r="G277" s="46" t="s">
        <v>19</v>
      </c>
      <c r="H277" s="47" t="s">
        <v>20</v>
      </c>
      <c r="I277" s="48" t="s">
        <v>21</v>
      </c>
      <c r="J277" s="48"/>
      <c r="K277" s="49"/>
      <c r="L277" s="50">
        <v>0</v>
      </c>
      <c r="M277" s="50">
        <v>0</v>
      </c>
      <c r="N277" s="50">
        <f t="shared" ref="N277:N280" si="65">+IF(L277&gt;0,M277*100/L277,0)</f>
        <v>0</v>
      </c>
    </row>
    <row r="278" spans="1:14" ht="21.75" customHeight="1" x14ac:dyDescent="0.4">
      <c r="A278" s="42"/>
      <c r="B278" s="43"/>
      <c r="C278" s="43"/>
      <c r="D278" s="51"/>
      <c r="E278" s="45"/>
      <c r="F278" s="45" t="s">
        <v>21</v>
      </c>
      <c r="G278" s="46" t="s">
        <v>22</v>
      </c>
      <c r="H278" s="47" t="s">
        <v>20</v>
      </c>
      <c r="I278" s="48"/>
      <c r="J278" s="48"/>
      <c r="K278" s="49"/>
      <c r="L278" s="50">
        <f t="shared" ref="L278:M278" ca="1" si="66">SUM(L279:L280)</f>
        <v>1028520</v>
      </c>
      <c r="M278" s="50">
        <f t="shared" si="66"/>
        <v>11000</v>
      </c>
      <c r="N278" s="50">
        <f t="shared" ca="1" si="65"/>
        <v>1.0694979193404115</v>
      </c>
    </row>
    <row r="279" spans="1:14" ht="21.75" customHeight="1" x14ac:dyDescent="0.4">
      <c r="A279" s="42"/>
      <c r="B279" s="43"/>
      <c r="C279" s="43"/>
      <c r="D279" s="51"/>
      <c r="E279" s="45"/>
      <c r="F279" s="45"/>
      <c r="G279" s="52" t="s">
        <v>110</v>
      </c>
      <c r="H279" s="47" t="s">
        <v>20</v>
      </c>
      <c r="I279" s="48"/>
      <c r="J279" s="48"/>
      <c r="K279" s="49"/>
      <c r="L279" s="53">
        <f ca="1">IFERROR(__xludf.DUMMYFUNCTION("IMPORTRANGE(""https://docs.google.com/spreadsheets/d/1C3CXT74ZlgGe6_JY_1olB1XN4rF0dxEuIIF-xsYjHgg/edit?usp=sharing"",""งบกองทุน!r35"")"),0)</f>
        <v>0</v>
      </c>
      <c r="M279" s="53">
        <v>0</v>
      </c>
      <c r="N279" s="53">
        <f t="shared" ca="1" si="65"/>
        <v>0</v>
      </c>
    </row>
    <row r="280" spans="1:14" ht="21.75" customHeight="1" x14ac:dyDescent="0.4">
      <c r="A280" s="42"/>
      <c r="B280" s="43"/>
      <c r="C280" s="43"/>
      <c r="D280" s="51"/>
      <c r="E280" s="45"/>
      <c r="F280" s="45"/>
      <c r="G280" s="52" t="s">
        <v>111</v>
      </c>
      <c r="H280" s="47" t="s">
        <v>20</v>
      </c>
      <c r="I280" s="48"/>
      <c r="J280" s="48"/>
      <c r="K280" s="49"/>
      <c r="L280" s="53">
        <f ca="1">IFERROR(__xludf.DUMMYFUNCTION("IMPORTRANGE(""https://docs.google.com/spreadsheets/d/1C3CXT74ZlgGe6_JY_1olB1XN4rF0dxEuIIF-xsYjHgg/edit?usp=sharing"",""งบกองทุน!s35"")"),1028520)</f>
        <v>1028520</v>
      </c>
      <c r="M280" s="53">
        <f>SUM(M281:M284)</f>
        <v>11000</v>
      </c>
      <c r="N280" s="53">
        <f t="shared" ca="1" si="65"/>
        <v>1.0694979193404115</v>
      </c>
    </row>
    <row r="281" spans="1:14" ht="21.75" customHeight="1" x14ac:dyDescent="0.4">
      <c r="A281" s="230"/>
      <c r="B281" s="231"/>
      <c r="C281" s="43"/>
      <c r="D281" s="232"/>
      <c r="E281" s="45"/>
      <c r="F281" s="45"/>
      <c r="G281" s="46" t="s">
        <v>112</v>
      </c>
      <c r="H281" s="47" t="s">
        <v>20</v>
      </c>
      <c r="I281" s="67"/>
      <c r="J281" s="67"/>
      <c r="K281" s="233"/>
      <c r="L281" s="53"/>
      <c r="M281" s="54">
        <v>0</v>
      </c>
      <c r="N281" s="53"/>
    </row>
    <row r="282" spans="1:14" ht="21.75" customHeight="1" x14ac:dyDescent="0.4">
      <c r="A282" s="230"/>
      <c r="B282" s="231"/>
      <c r="C282" s="43"/>
      <c r="D282" s="232"/>
      <c r="E282" s="45"/>
      <c r="F282" s="45"/>
      <c r="G282" s="46" t="s">
        <v>113</v>
      </c>
      <c r="H282" s="47" t="s">
        <v>20</v>
      </c>
      <c r="I282" s="67"/>
      <c r="J282" s="67"/>
      <c r="K282" s="233"/>
      <c r="L282" s="53"/>
      <c r="M282" s="54">
        <v>0</v>
      </c>
      <c r="N282" s="53"/>
    </row>
    <row r="283" spans="1:14" ht="21.75" customHeight="1" x14ac:dyDescent="0.4">
      <c r="A283" s="230"/>
      <c r="B283" s="231"/>
      <c r="C283" s="43"/>
      <c r="D283" s="232"/>
      <c r="E283" s="45"/>
      <c r="F283" s="45"/>
      <c r="G283" s="46" t="s">
        <v>114</v>
      </c>
      <c r="H283" s="47" t="s">
        <v>20</v>
      </c>
      <c r="I283" s="67"/>
      <c r="J283" s="67"/>
      <c r="K283" s="233"/>
      <c r="L283" s="53"/>
      <c r="M283" s="54">
        <v>11000</v>
      </c>
      <c r="N283" s="53"/>
    </row>
    <row r="284" spans="1:14" ht="21.75" customHeight="1" x14ac:dyDescent="0.4">
      <c r="A284" s="230"/>
      <c r="B284" s="231"/>
      <c r="C284" s="43"/>
      <c r="D284" s="232"/>
      <c r="E284" s="45"/>
      <c r="F284" s="45"/>
      <c r="G284" s="46" t="s">
        <v>115</v>
      </c>
      <c r="H284" s="47" t="s">
        <v>20</v>
      </c>
      <c r="I284" s="67"/>
      <c r="J284" s="67"/>
      <c r="K284" s="233"/>
      <c r="L284" s="53"/>
      <c r="M284" s="54">
        <v>0</v>
      </c>
      <c r="N284" s="53"/>
    </row>
    <row r="285" spans="1:14" ht="21.75" customHeight="1" x14ac:dyDescent="0.4">
      <c r="A285" s="55"/>
      <c r="B285" s="56"/>
      <c r="C285" s="43" t="s">
        <v>17</v>
      </c>
      <c r="D285" s="57" t="s">
        <v>25</v>
      </c>
      <c r="E285" s="58"/>
      <c r="F285" s="58"/>
      <c r="G285" s="59"/>
      <c r="H285" s="60"/>
      <c r="I285" s="48"/>
      <c r="J285" s="48"/>
      <c r="K285" s="49"/>
      <c r="L285" s="61"/>
      <c r="M285" s="61"/>
      <c r="N285" s="61"/>
    </row>
    <row r="286" spans="1:14" ht="21.75" customHeight="1" x14ac:dyDescent="0.4">
      <c r="A286" s="55"/>
      <c r="B286" s="56"/>
      <c r="C286" s="56"/>
      <c r="D286" s="62">
        <v>1</v>
      </c>
      <c r="E286" s="63" t="s">
        <v>26</v>
      </c>
      <c r="F286" s="64"/>
      <c r="G286" s="65"/>
      <c r="H286" s="66"/>
      <c r="I286" s="67"/>
      <c r="J286" s="68">
        <v>0</v>
      </c>
      <c r="K286" s="49"/>
      <c r="L286" s="61"/>
      <c r="M286" s="61"/>
      <c r="N286" s="61"/>
    </row>
    <row r="287" spans="1:14" ht="21.75" customHeight="1" x14ac:dyDescent="0.4">
      <c r="A287" s="55"/>
      <c r="B287" s="56"/>
      <c r="C287" s="56"/>
      <c r="D287" s="69">
        <v>2</v>
      </c>
      <c r="E287" s="70" t="s">
        <v>27</v>
      </c>
      <c r="F287" s="71"/>
      <c r="G287" s="72"/>
      <c r="H287" s="66"/>
      <c r="I287" s="67"/>
      <c r="J287" s="68">
        <v>1</v>
      </c>
      <c r="K287" s="49"/>
      <c r="L287" s="61" t="s">
        <v>21</v>
      </c>
      <c r="M287" s="61" t="s">
        <v>21</v>
      </c>
      <c r="N287" s="61"/>
    </row>
    <row r="288" spans="1:14" ht="21.75" customHeight="1" x14ac:dyDescent="0.4">
      <c r="A288" s="55"/>
      <c r="B288" s="56"/>
      <c r="C288" s="56"/>
      <c r="D288" s="73"/>
      <c r="E288" s="74" t="s">
        <v>28</v>
      </c>
      <c r="F288" s="75"/>
      <c r="G288" s="76"/>
      <c r="H288" s="66"/>
      <c r="I288" s="67"/>
      <c r="J288" s="68">
        <v>1</v>
      </c>
      <c r="K288" s="49"/>
      <c r="L288" s="61"/>
      <c r="M288" s="61"/>
      <c r="N288" s="61"/>
    </row>
    <row r="289" spans="1:14" ht="21.75" customHeight="1" x14ac:dyDescent="0.4">
      <c r="A289" s="55"/>
      <c r="B289" s="56"/>
      <c r="C289" s="56"/>
      <c r="D289" s="73"/>
      <c r="E289" s="74" t="s">
        <v>29</v>
      </c>
      <c r="F289" s="75"/>
      <c r="G289" s="76"/>
      <c r="H289" s="66"/>
      <c r="I289" s="67"/>
      <c r="J289" s="68">
        <v>0</v>
      </c>
      <c r="K289" s="49"/>
      <c r="L289" s="61"/>
      <c r="M289" s="61"/>
      <c r="N289" s="61"/>
    </row>
    <row r="290" spans="1:14" ht="21.75" customHeight="1" x14ac:dyDescent="0.4">
      <c r="A290" s="55"/>
      <c r="B290" s="56"/>
      <c r="C290" s="56"/>
      <c r="D290" s="73"/>
      <c r="E290" s="77"/>
      <c r="F290" s="74" t="s">
        <v>127</v>
      </c>
      <c r="G290" s="75"/>
      <c r="H290" s="66"/>
      <c r="I290" s="67"/>
      <c r="J290" s="67"/>
      <c r="K290" s="49"/>
      <c r="L290" s="61"/>
      <c r="M290" s="61"/>
      <c r="N290" s="61"/>
    </row>
    <row r="291" spans="1:14" ht="21.75" customHeight="1" x14ac:dyDescent="0.4">
      <c r="A291" s="55"/>
      <c r="B291" s="56"/>
      <c r="C291" s="56"/>
      <c r="D291" s="73"/>
      <c r="E291" s="77"/>
      <c r="F291" s="75"/>
      <c r="G291" s="99" t="s">
        <v>50</v>
      </c>
      <c r="H291" s="66" t="s">
        <v>16</v>
      </c>
      <c r="I291" s="67">
        <f ca="1">IFERROR(__xludf.DUMMYFUNCTION("IMPORTRANGE(""https://docs.google.com/spreadsheets/d/1C3CXT74ZlgGe6_JY_1olB1XN4rF0dxEuIIF-xsYjHgg/edit?usp=sharing"",""งบกองทุน!v35"")"),100)</f>
        <v>100</v>
      </c>
      <c r="J291" s="68">
        <v>0</v>
      </c>
      <c r="K291" s="49">
        <f t="shared" ref="K291:K293" ca="1" si="67">IF(I291&gt;0,J291*100/I291,0)</f>
        <v>0</v>
      </c>
      <c r="L291" s="61"/>
      <c r="M291" s="61"/>
      <c r="N291" s="61"/>
    </row>
    <row r="292" spans="1:14" ht="21.75" customHeight="1" x14ac:dyDescent="0.4">
      <c r="A292" s="55"/>
      <c r="B292" s="56"/>
      <c r="C292" s="56"/>
      <c r="D292" s="73"/>
      <c r="E292" s="77"/>
      <c r="F292" s="75"/>
      <c r="G292" s="76" t="s">
        <v>34</v>
      </c>
      <c r="H292" s="66" t="s">
        <v>103</v>
      </c>
      <c r="I292" s="67">
        <f ca="1">IFERROR(__xludf.DUMMYFUNCTION("IMPORTRANGE(""https://docs.google.com/spreadsheets/d/1C3CXT74ZlgGe6_JY_1olB1XN4rF0dxEuIIF-xsYjHgg/edit?usp=sharing"",""งบกองทุน!w35"")"),1000)</f>
        <v>1000</v>
      </c>
      <c r="J292" s="68">
        <v>0</v>
      </c>
      <c r="K292" s="49">
        <f t="shared" ca="1" si="67"/>
        <v>0</v>
      </c>
      <c r="L292" s="61"/>
      <c r="M292" s="61"/>
      <c r="N292" s="61"/>
    </row>
    <row r="293" spans="1:14" ht="21.75" customHeight="1" x14ac:dyDescent="0.4">
      <c r="A293" s="55"/>
      <c r="B293" s="56"/>
      <c r="C293" s="56"/>
      <c r="D293" s="73"/>
      <c r="E293" s="77"/>
      <c r="F293" s="75"/>
      <c r="G293" s="76"/>
      <c r="H293" s="66" t="s">
        <v>16</v>
      </c>
      <c r="I293" s="67">
        <f ca="1">IFERROR(__xludf.DUMMYFUNCTION("IMPORTRANGE(""https://docs.google.com/spreadsheets/d/1C3CXT74ZlgGe6_JY_1olB1XN4rF0dxEuIIF-xsYjHgg/edit?usp=sharing"",""งบกองทุน!x35"")"),100)</f>
        <v>100</v>
      </c>
      <c r="J293" s="68">
        <v>0</v>
      </c>
      <c r="K293" s="49">
        <f t="shared" ca="1" si="67"/>
        <v>0</v>
      </c>
      <c r="L293" s="61"/>
      <c r="M293" s="61"/>
      <c r="N293" s="61"/>
    </row>
    <row r="294" spans="1:14" ht="21.75" customHeight="1" x14ac:dyDescent="0.4">
      <c r="A294" s="55"/>
      <c r="B294" s="56"/>
      <c r="C294" s="56"/>
      <c r="D294" s="73"/>
      <c r="E294" s="74" t="s">
        <v>35</v>
      </c>
      <c r="F294" s="75"/>
      <c r="G294" s="76"/>
      <c r="H294" s="66"/>
      <c r="I294" s="67"/>
      <c r="J294" s="68">
        <v>0</v>
      </c>
      <c r="K294" s="49"/>
      <c r="L294" s="61"/>
      <c r="M294" s="61"/>
      <c r="N294" s="61"/>
    </row>
    <row r="295" spans="1:14" ht="21.75" customHeight="1" x14ac:dyDescent="0.4">
      <c r="A295" s="55"/>
      <c r="B295" s="56"/>
      <c r="C295" s="56"/>
      <c r="D295" s="81">
        <v>3</v>
      </c>
      <c r="E295" s="82" t="s">
        <v>36</v>
      </c>
      <c r="F295" s="83"/>
      <c r="G295" s="84"/>
      <c r="H295" s="66"/>
      <c r="I295" s="67"/>
      <c r="J295" s="85">
        <v>0</v>
      </c>
      <c r="K295" s="49"/>
      <c r="L295" s="61"/>
      <c r="M295" s="61"/>
      <c r="N295" s="61"/>
    </row>
    <row r="296" spans="1:14" ht="21.75" customHeight="1" x14ac:dyDescent="0.4">
      <c r="A296" s="222"/>
      <c r="B296" s="223">
        <v>3</v>
      </c>
      <c r="C296" s="223" t="s">
        <v>128</v>
      </c>
      <c r="D296" s="224"/>
      <c r="E296" s="224"/>
      <c r="F296" s="224"/>
      <c r="G296" s="225"/>
      <c r="H296" s="226" t="s">
        <v>103</v>
      </c>
      <c r="I296" s="227">
        <f ca="1">SUM(I313,I317,I322)</f>
        <v>135</v>
      </c>
      <c r="J296" s="227">
        <f>J313+J317+J322</f>
        <v>0</v>
      </c>
      <c r="K296" s="228">
        <f t="shared" ref="K296:K297" ca="1" si="68">IF(I296&gt;0,J296*100/I296,0)</f>
        <v>0</v>
      </c>
      <c r="L296" s="229">
        <f t="shared" ref="L296:M296" ca="1" si="69">SUM(L298:L299)</f>
        <v>159950</v>
      </c>
      <c r="M296" s="229">
        <f t="shared" si="69"/>
        <v>0</v>
      </c>
      <c r="N296" s="229">
        <f ca="1">+IF(L296&gt;0,M296*100/L296,0)</f>
        <v>0</v>
      </c>
    </row>
    <row r="297" spans="1:14" ht="21.75" customHeight="1" x14ac:dyDescent="0.4">
      <c r="A297" s="222"/>
      <c r="B297" s="223"/>
      <c r="C297" s="223"/>
      <c r="D297" s="236"/>
      <c r="E297" s="236"/>
      <c r="F297" s="236"/>
      <c r="G297" s="239"/>
      <c r="H297" s="226" t="s">
        <v>16</v>
      </c>
      <c r="I297" s="227">
        <f ca="1">SUM(I312,I316,I321)</f>
        <v>45</v>
      </c>
      <c r="J297" s="227">
        <f ca="1">J311</f>
        <v>0</v>
      </c>
      <c r="K297" s="228">
        <f t="shared" ca="1" si="68"/>
        <v>0</v>
      </c>
      <c r="L297" s="229"/>
      <c r="M297" s="229"/>
      <c r="N297" s="229"/>
    </row>
    <row r="298" spans="1:14" ht="21.75" customHeight="1" x14ac:dyDescent="0.4">
      <c r="A298" s="42"/>
      <c r="B298" s="43"/>
      <c r="C298" s="43" t="s">
        <v>17</v>
      </c>
      <c r="D298" s="44" t="s">
        <v>18</v>
      </c>
      <c r="E298" s="45"/>
      <c r="F298" s="45"/>
      <c r="G298" s="46" t="s">
        <v>19</v>
      </c>
      <c r="H298" s="47" t="s">
        <v>20</v>
      </c>
      <c r="I298" s="48" t="s">
        <v>21</v>
      </c>
      <c r="J298" s="48"/>
      <c r="K298" s="49"/>
      <c r="L298" s="50">
        <v>0</v>
      </c>
      <c r="M298" s="53">
        <v>0</v>
      </c>
      <c r="N298" s="53">
        <f t="shared" ref="N298:N301" si="70">+IF(L298&gt;0,M298*100/L298,0)</f>
        <v>0</v>
      </c>
    </row>
    <row r="299" spans="1:14" ht="21.75" customHeight="1" x14ac:dyDescent="0.4">
      <c r="A299" s="42"/>
      <c r="B299" s="43"/>
      <c r="C299" s="43"/>
      <c r="D299" s="51"/>
      <c r="E299" s="45"/>
      <c r="F299" s="45" t="s">
        <v>21</v>
      </c>
      <c r="G299" s="46" t="s">
        <v>22</v>
      </c>
      <c r="H299" s="47" t="s">
        <v>20</v>
      </c>
      <c r="I299" s="48"/>
      <c r="J299" s="48"/>
      <c r="K299" s="49"/>
      <c r="L299" s="50">
        <f t="shared" ref="L299:M299" ca="1" si="71">SUM(L300:L301)</f>
        <v>159950</v>
      </c>
      <c r="M299" s="53">
        <f t="shared" si="71"/>
        <v>0</v>
      </c>
      <c r="N299" s="53">
        <f t="shared" ca="1" si="70"/>
        <v>0</v>
      </c>
    </row>
    <row r="300" spans="1:14" ht="21.75" customHeight="1" x14ac:dyDescent="0.4">
      <c r="A300" s="42"/>
      <c r="B300" s="43"/>
      <c r="C300" s="43"/>
      <c r="D300" s="51"/>
      <c r="E300" s="45"/>
      <c r="F300" s="45"/>
      <c r="G300" s="52" t="s">
        <v>110</v>
      </c>
      <c r="H300" s="47" t="s">
        <v>20</v>
      </c>
      <c r="I300" s="48"/>
      <c r="J300" s="48"/>
      <c r="K300" s="49"/>
      <c r="L300" s="53">
        <f ca="1">IFERROR(__xludf.DUMMYFUNCTION("IMPORTRANGE(""https://docs.google.com/spreadsheets/d/1C3CXT74ZlgGe6_JY_1olB1XN4rF0dxEuIIF-xsYjHgg/edit?usp=sharing"",""งบกองทุน!z35"")"),0)</f>
        <v>0</v>
      </c>
      <c r="M300" s="53">
        <v>0</v>
      </c>
      <c r="N300" s="53">
        <f t="shared" ca="1" si="70"/>
        <v>0</v>
      </c>
    </row>
    <row r="301" spans="1:14" ht="21.75" customHeight="1" x14ac:dyDescent="0.4">
      <c r="A301" s="42"/>
      <c r="B301" s="43"/>
      <c r="C301" s="43"/>
      <c r="D301" s="51"/>
      <c r="E301" s="45"/>
      <c r="F301" s="45"/>
      <c r="G301" s="52" t="s">
        <v>111</v>
      </c>
      <c r="H301" s="47" t="s">
        <v>20</v>
      </c>
      <c r="I301" s="48"/>
      <c r="J301" s="48"/>
      <c r="K301" s="49"/>
      <c r="L301" s="53">
        <f ca="1">IFERROR(__xludf.DUMMYFUNCTION("IMPORTRANGE(""https://docs.google.com/spreadsheets/d/1C3CXT74ZlgGe6_JY_1olB1XN4rF0dxEuIIF-xsYjHgg/edit?usp=sharing"",""งบกองทุน!aa35"")"),159950)</f>
        <v>159950</v>
      </c>
      <c r="M301" s="53">
        <f>SUM(M302:M305)</f>
        <v>0</v>
      </c>
      <c r="N301" s="53">
        <f t="shared" ca="1" si="70"/>
        <v>0</v>
      </c>
    </row>
    <row r="302" spans="1:14" ht="21.75" customHeight="1" x14ac:dyDescent="0.4">
      <c r="A302" s="230"/>
      <c r="B302" s="231"/>
      <c r="C302" s="43"/>
      <c r="D302" s="232"/>
      <c r="E302" s="45"/>
      <c r="F302" s="45"/>
      <c r="G302" s="46" t="s">
        <v>112</v>
      </c>
      <c r="H302" s="47" t="s">
        <v>20</v>
      </c>
      <c r="I302" s="67"/>
      <c r="J302" s="67"/>
      <c r="K302" s="233"/>
      <c r="L302" s="53"/>
      <c r="M302" s="54">
        <v>0</v>
      </c>
      <c r="N302" s="53"/>
    </row>
    <row r="303" spans="1:14" ht="21.75" customHeight="1" x14ac:dyDescent="0.4">
      <c r="A303" s="230"/>
      <c r="B303" s="231"/>
      <c r="C303" s="43"/>
      <c r="D303" s="232"/>
      <c r="E303" s="45"/>
      <c r="F303" s="45"/>
      <c r="G303" s="46" t="s">
        <v>113</v>
      </c>
      <c r="H303" s="47" t="s">
        <v>20</v>
      </c>
      <c r="I303" s="67"/>
      <c r="J303" s="67"/>
      <c r="K303" s="233"/>
      <c r="L303" s="53"/>
      <c r="M303" s="54">
        <v>0</v>
      </c>
      <c r="N303" s="53"/>
    </row>
    <row r="304" spans="1:14" ht="21.75" customHeight="1" x14ac:dyDescent="0.4">
      <c r="A304" s="230"/>
      <c r="B304" s="231"/>
      <c r="C304" s="43"/>
      <c r="D304" s="232"/>
      <c r="E304" s="45"/>
      <c r="F304" s="45"/>
      <c r="G304" s="46" t="s">
        <v>114</v>
      </c>
      <c r="H304" s="47" t="s">
        <v>20</v>
      </c>
      <c r="I304" s="67"/>
      <c r="J304" s="67"/>
      <c r="K304" s="233"/>
      <c r="L304" s="53"/>
      <c r="M304" s="54">
        <v>0</v>
      </c>
      <c r="N304" s="53"/>
    </row>
    <row r="305" spans="1:14" ht="21.75" customHeight="1" x14ac:dyDescent="0.4">
      <c r="A305" s="230"/>
      <c r="B305" s="231"/>
      <c r="C305" s="43"/>
      <c r="D305" s="232"/>
      <c r="E305" s="45"/>
      <c r="F305" s="45"/>
      <c r="G305" s="46" t="s">
        <v>115</v>
      </c>
      <c r="H305" s="47" t="s">
        <v>20</v>
      </c>
      <c r="I305" s="67"/>
      <c r="J305" s="67"/>
      <c r="K305" s="233"/>
      <c r="L305" s="53"/>
      <c r="M305" s="54">
        <v>0</v>
      </c>
      <c r="N305" s="53"/>
    </row>
    <row r="306" spans="1:14" ht="21.75" customHeight="1" x14ac:dyDescent="0.4">
      <c r="A306" s="55"/>
      <c r="B306" s="56"/>
      <c r="C306" s="43" t="s">
        <v>17</v>
      </c>
      <c r="D306" s="57" t="s">
        <v>25</v>
      </c>
      <c r="E306" s="58"/>
      <c r="F306" s="58"/>
      <c r="G306" s="59"/>
      <c r="H306" s="60"/>
      <c r="I306" s="48"/>
      <c r="J306" s="48"/>
      <c r="K306" s="49"/>
      <c r="L306" s="61"/>
      <c r="M306" s="61"/>
      <c r="N306" s="61"/>
    </row>
    <row r="307" spans="1:14" ht="21.75" customHeight="1" x14ac:dyDescent="0.4">
      <c r="A307" s="55"/>
      <c r="B307" s="56"/>
      <c r="C307" s="56"/>
      <c r="D307" s="62">
        <v>1</v>
      </c>
      <c r="E307" s="63" t="s">
        <v>26</v>
      </c>
      <c r="F307" s="64"/>
      <c r="G307" s="65"/>
      <c r="H307" s="66"/>
      <c r="I307" s="67"/>
      <c r="J307" s="68">
        <v>0</v>
      </c>
      <c r="K307" s="49"/>
      <c r="L307" s="61"/>
      <c r="M307" s="61"/>
      <c r="N307" s="61"/>
    </row>
    <row r="308" spans="1:14" ht="21.75" customHeight="1" x14ac:dyDescent="0.4">
      <c r="A308" s="55"/>
      <c r="B308" s="56"/>
      <c r="C308" s="56"/>
      <c r="D308" s="69">
        <v>2</v>
      </c>
      <c r="E308" s="70" t="s">
        <v>27</v>
      </c>
      <c r="F308" s="71"/>
      <c r="G308" s="72"/>
      <c r="H308" s="66"/>
      <c r="I308" s="67"/>
      <c r="J308" s="68">
        <v>1</v>
      </c>
      <c r="K308" s="49"/>
      <c r="L308" s="61" t="s">
        <v>21</v>
      </c>
      <c r="M308" s="61" t="s">
        <v>21</v>
      </c>
      <c r="N308" s="61"/>
    </row>
    <row r="309" spans="1:14" ht="21.75" customHeight="1" x14ac:dyDescent="0.4">
      <c r="A309" s="55"/>
      <c r="B309" s="56"/>
      <c r="C309" s="56"/>
      <c r="D309" s="73"/>
      <c r="E309" s="74" t="s">
        <v>28</v>
      </c>
      <c r="F309" s="75"/>
      <c r="G309" s="76"/>
      <c r="H309" s="66"/>
      <c r="I309" s="67"/>
      <c r="J309" s="68">
        <v>1</v>
      </c>
      <c r="K309" s="49"/>
      <c r="L309" s="61"/>
      <c r="M309" s="61"/>
      <c r="N309" s="61"/>
    </row>
    <row r="310" spans="1:14" ht="21.75" customHeight="1" x14ac:dyDescent="0.4">
      <c r="A310" s="55"/>
      <c r="B310" s="56"/>
      <c r="C310" s="56"/>
      <c r="D310" s="73"/>
      <c r="E310" s="74" t="s">
        <v>29</v>
      </c>
      <c r="F310" s="75"/>
      <c r="G310" s="76"/>
      <c r="H310" s="66"/>
      <c r="I310" s="67"/>
      <c r="J310" s="68">
        <v>0</v>
      </c>
      <c r="K310" s="49"/>
      <c r="L310" s="61"/>
      <c r="M310" s="61"/>
      <c r="N310" s="61"/>
    </row>
    <row r="311" spans="1:14" ht="21.75" customHeight="1" x14ac:dyDescent="0.4">
      <c r="A311" s="55"/>
      <c r="B311" s="56"/>
      <c r="C311" s="56"/>
      <c r="D311" s="73"/>
      <c r="E311" s="77"/>
      <c r="F311" s="74" t="s">
        <v>50</v>
      </c>
      <c r="G311" s="240"/>
      <c r="H311" s="241" t="s">
        <v>16</v>
      </c>
      <c r="I311" s="79">
        <f t="shared" ref="I311:J311" ca="1" si="72">+I312+I316+I321</f>
        <v>45</v>
      </c>
      <c r="J311" s="79">
        <f t="shared" ca="1" si="72"/>
        <v>0</v>
      </c>
      <c r="K311" s="80">
        <f t="shared" ref="K311:K327" ca="1" si="73">IF(I311&gt;0,J311*100/I311,0)</f>
        <v>0</v>
      </c>
      <c r="L311" s="61"/>
      <c r="M311" s="61"/>
      <c r="N311" s="61"/>
    </row>
    <row r="312" spans="1:14" ht="21.75" customHeight="1" x14ac:dyDescent="0.4">
      <c r="A312" s="55"/>
      <c r="B312" s="56"/>
      <c r="C312" s="56"/>
      <c r="D312" s="73"/>
      <c r="E312" s="77"/>
      <c r="F312" s="242" t="s">
        <v>129</v>
      </c>
      <c r="G312" s="76"/>
      <c r="H312" s="78" t="s">
        <v>16</v>
      </c>
      <c r="I312" s="243">
        <f ca="1">IFERROR(__xludf.DUMMYFUNCTION("IMPORTRANGE(""https://docs.google.com/spreadsheets/d/1C3CXT74ZlgGe6_JY_1olB1XN4rF0dxEuIIF-xsYjHgg/edit?usp=sharing"",""งบกองทุน!ae35"")"),10)</f>
        <v>10</v>
      </c>
      <c r="J312" s="79">
        <f ca="1">IF(AND(J314=I314,J315=I315),I314,0)</f>
        <v>0</v>
      </c>
      <c r="K312" s="80">
        <f t="shared" ca="1" si="73"/>
        <v>0</v>
      </c>
      <c r="L312" s="61"/>
      <c r="M312" s="61"/>
      <c r="N312" s="61"/>
    </row>
    <row r="313" spans="1:14" ht="21.75" customHeight="1" x14ac:dyDescent="0.4">
      <c r="A313" s="55"/>
      <c r="B313" s="56"/>
      <c r="C313" s="56"/>
      <c r="D313" s="73"/>
      <c r="E313" s="77"/>
      <c r="F313" s="75"/>
      <c r="G313" s="76"/>
      <c r="H313" s="78" t="s">
        <v>103</v>
      </c>
      <c r="I313" s="243">
        <f ca="1">IFERROR(__xludf.DUMMYFUNCTION("IMPORTRANGE(""https://docs.google.com/spreadsheets/d/1C3CXT74ZlgGe6_JY_1olB1XN4rF0dxEuIIF-xsYjHgg/edit?usp=sharing"",""งบกองทุน!ad35"")"),30)</f>
        <v>30</v>
      </c>
      <c r="J313" s="154">
        <v>0</v>
      </c>
      <c r="K313" s="80">
        <f t="shared" ca="1" si="73"/>
        <v>0</v>
      </c>
      <c r="L313" s="61"/>
      <c r="M313" s="61"/>
      <c r="N313" s="61"/>
    </row>
    <row r="314" spans="1:14" ht="21.75" customHeight="1" x14ac:dyDescent="0.4">
      <c r="A314" s="55"/>
      <c r="B314" s="56"/>
      <c r="C314" s="56"/>
      <c r="D314" s="73"/>
      <c r="E314" s="77"/>
      <c r="F314" s="75"/>
      <c r="G314" s="99" t="s">
        <v>130</v>
      </c>
      <c r="H314" s="60" t="s">
        <v>16</v>
      </c>
      <c r="I314" s="200">
        <f ca="1">IFERROR(__xludf.DUMMYFUNCTION("IMPORTRANGE(""https://docs.google.com/spreadsheets/d/1C3CXT74ZlgGe6_JY_1olB1XN4rF0dxEuIIF-xsYjHgg/edit?usp=sharing"",""งบกองทุน!af35"")"),10)</f>
        <v>10</v>
      </c>
      <c r="J314" s="68">
        <v>0</v>
      </c>
      <c r="K314" s="49">
        <f t="shared" ca="1" si="73"/>
        <v>0</v>
      </c>
      <c r="L314" s="61"/>
      <c r="M314" s="61"/>
      <c r="N314" s="61"/>
    </row>
    <row r="315" spans="1:14" ht="21.75" customHeight="1" x14ac:dyDescent="0.4">
      <c r="A315" s="105"/>
      <c r="B315" s="106"/>
      <c r="C315" s="106"/>
      <c r="D315" s="244"/>
      <c r="E315" s="245"/>
      <c r="F315" s="204"/>
      <c r="G315" s="246" t="s">
        <v>131</v>
      </c>
      <c r="H315" s="206" t="s">
        <v>16</v>
      </c>
      <c r="I315" s="207">
        <f ca="1">IFERROR(__xludf.DUMMYFUNCTION("IMPORTRANGE(""https://docs.google.com/spreadsheets/d/1C3CXT74ZlgGe6_JY_1olB1XN4rF0dxEuIIF-xsYjHgg/edit?usp=sharing"",""งบกองทุน!ag35"")"),10)</f>
        <v>10</v>
      </c>
      <c r="J315" s="247">
        <v>0</v>
      </c>
      <c r="K315" s="114">
        <f t="shared" ca="1" si="73"/>
        <v>0</v>
      </c>
      <c r="L315" s="115"/>
      <c r="M315" s="115"/>
      <c r="N315" s="115"/>
    </row>
    <row r="316" spans="1:14" ht="21.75" customHeight="1" x14ac:dyDescent="0.4">
      <c r="A316" s="55"/>
      <c r="B316" s="56"/>
      <c r="C316" s="56"/>
      <c r="D316" s="73"/>
      <c r="E316" s="77"/>
      <c r="F316" s="242" t="s">
        <v>132</v>
      </c>
      <c r="G316" s="76"/>
      <c r="H316" s="78" t="s">
        <v>16</v>
      </c>
      <c r="I316" s="243">
        <f ca="1">IFERROR(__xludf.DUMMYFUNCTION("IMPORTRANGE(""https://docs.google.com/spreadsheets/d/1C3CXT74ZlgGe6_JY_1olB1XN4rF0dxEuIIF-xsYjHgg/edit?usp=sharing"",""งบกองทุน!ai35"")"),25)</f>
        <v>25</v>
      </c>
      <c r="J316" s="79">
        <f ca="1">IF(AND(J318=I318,J319=I319,J320=I320),I318,0)</f>
        <v>0</v>
      </c>
      <c r="K316" s="80">
        <f t="shared" ca="1" si="73"/>
        <v>0</v>
      </c>
      <c r="L316" s="61"/>
      <c r="M316" s="61"/>
      <c r="N316" s="61"/>
    </row>
    <row r="317" spans="1:14" ht="21.75" customHeight="1" x14ac:dyDescent="0.4">
      <c r="A317" s="55"/>
      <c r="B317" s="56"/>
      <c r="C317" s="56"/>
      <c r="D317" s="73"/>
      <c r="E317" s="77"/>
      <c r="F317" s="75"/>
      <c r="G317" s="76"/>
      <c r="H317" s="78" t="s">
        <v>103</v>
      </c>
      <c r="I317" s="243">
        <f ca="1">IFERROR(__xludf.DUMMYFUNCTION("IMPORTRANGE(""https://docs.google.com/spreadsheets/d/1C3CXT74ZlgGe6_JY_1olB1XN4rF0dxEuIIF-xsYjHgg/edit?usp=sharing"",""งบกองทุน!ah35"")"),75)</f>
        <v>75</v>
      </c>
      <c r="J317" s="154">
        <v>0</v>
      </c>
      <c r="K317" s="80">
        <f t="shared" ca="1" si="73"/>
        <v>0</v>
      </c>
      <c r="L317" s="61"/>
      <c r="M317" s="61"/>
      <c r="N317" s="61"/>
    </row>
    <row r="318" spans="1:14" ht="21.75" customHeight="1" x14ac:dyDescent="0.4">
      <c r="A318" s="55"/>
      <c r="B318" s="56"/>
      <c r="C318" s="56"/>
      <c r="D318" s="73"/>
      <c r="E318" s="77"/>
      <c r="F318" s="75"/>
      <c r="G318" s="99" t="s">
        <v>133</v>
      </c>
      <c r="H318" s="60" t="s">
        <v>16</v>
      </c>
      <c r="I318" s="200">
        <f ca="1">IFERROR(__xludf.DUMMYFUNCTION("IMPORTRANGE(""https://docs.google.com/spreadsheets/d/1C3CXT74ZlgGe6_JY_1olB1XN4rF0dxEuIIF-xsYjHgg/edit?usp=sharing"",""งบกองทุน!aj35"")"),25)</f>
        <v>25</v>
      </c>
      <c r="J318" s="68">
        <v>0</v>
      </c>
      <c r="K318" s="49">
        <f t="shared" ca="1" si="73"/>
        <v>0</v>
      </c>
      <c r="L318" s="61"/>
      <c r="M318" s="61"/>
      <c r="N318" s="61"/>
    </row>
    <row r="319" spans="1:14" ht="21.75" customHeight="1" x14ac:dyDescent="0.4">
      <c r="A319" s="55"/>
      <c r="B319" s="56"/>
      <c r="C319" s="56"/>
      <c r="D319" s="73"/>
      <c r="E319" s="77"/>
      <c r="F319" s="75"/>
      <c r="G319" s="99" t="s">
        <v>134</v>
      </c>
      <c r="H319" s="60" t="s">
        <v>16</v>
      </c>
      <c r="I319" s="200">
        <f ca="1">IFERROR(__xludf.DUMMYFUNCTION("IMPORTRANGE(""https://docs.google.com/spreadsheets/d/1C3CXT74ZlgGe6_JY_1olB1XN4rF0dxEuIIF-xsYjHgg/edit?usp=sharing"",""งบกองทุน!ak35"")"),25)</f>
        <v>25</v>
      </c>
      <c r="J319" s="68">
        <v>0</v>
      </c>
      <c r="K319" s="49">
        <f t="shared" ca="1" si="73"/>
        <v>0</v>
      </c>
      <c r="L319" s="61"/>
      <c r="M319" s="61"/>
      <c r="N319" s="61"/>
    </row>
    <row r="320" spans="1:14" ht="21.75" customHeight="1" x14ac:dyDescent="0.4">
      <c r="A320" s="55"/>
      <c r="B320" s="56"/>
      <c r="C320" s="56"/>
      <c r="D320" s="73"/>
      <c r="E320" s="77"/>
      <c r="F320" s="75"/>
      <c r="G320" s="99" t="s">
        <v>135</v>
      </c>
      <c r="H320" s="60" t="s">
        <v>16</v>
      </c>
      <c r="I320" s="200">
        <f ca="1">IFERROR(__xludf.DUMMYFUNCTION("IMPORTRANGE(""https://docs.google.com/spreadsheets/d/1C3CXT74ZlgGe6_JY_1olB1XN4rF0dxEuIIF-xsYjHgg/edit?usp=sharing"",""งบกองทุน!al35"")"),25)</f>
        <v>25</v>
      </c>
      <c r="J320" s="68">
        <v>0</v>
      </c>
      <c r="K320" s="49">
        <f t="shared" ca="1" si="73"/>
        <v>0</v>
      </c>
      <c r="L320" s="61"/>
      <c r="M320" s="61"/>
      <c r="N320" s="61"/>
    </row>
    <row r="321" spans="1:14" ht="21.75" customHeight="1" x14ac:dyDescent="0.4">
      <c r="A321" s="55"/>
      <c r="B321" s="56"/>
      <c r="C321" s="56"/>
      <c r="D321" s="73"/>
      <c r="E321" s="77"/>
      <c r="F321" s="242" t="s">
        <v>136</v>
      </c>
      <c r="G321" s="76"/>
      <c r="H321" s="78" t="s">
        <v>16</v>
      </c>
      <c r="I321" s="243">
        <f ca="1">IFERROR(__xludf.DUMMYFUNCTION("IMPORTRANGE(""https://docs.google.com/spreadsheets/d/1C3CXT74ZlgGe6_JY_1olB1XN4rF0dxEuIIF-xsYjHgg/edit?usp=sharing"",""งบกองทุน!an35"")"),10)</f>
        <v>10</v>
      </c>
      <c r="J321" s="79">
        <f ca="1">IF(AND(J323=I323,J324=I324),I323,0)</f>
        <v>0</v>
      </c>
      <c r="K321" s="80">
        <f t="shared" ca="1" si="73"/>
        <v>0</v>
      </c>
      <c r="L321" s="61"/>
      <c r="M321" s="61"/>
      <c r="N321" s="61"/>
    </row>
    <row r="322" spans="1:14" ht="21.75" customHeight="1" x14ac:dyDescent="0.4">
      <c r="A322" s="55"/>
      <c r="B322" s="56"/>
      <c r="C322" s="56"/>
      <c r="D322" s="73"/>
      <c r="E322" s="77"/>
      <c r="F322" s="75"/>
      <c r="G322" s="76"/>
      <c r="H322" s="78" t="s">
        <v>103</v>
      </c>
      <c r="I322" s="243">
        <f ca="1">IFERROR(__xludf.DUMMYFUNCTION("IMPORTRANGE(""https://docs.google.com/spreadsheets/d/1C3CXT74ZlgGe6_JY_1olB1XN4rF0dxEuIIF-xsYjHgg/edit?usp=sharing"",""งบกองทุน!am35"")"),30)</f>
        <v>30</v>
      </c>
      <c r="J322" s="154">
        <v>0</v>
      </c>
      <c r="K322" s="80">
        <f t="shared" ca="1" si="73"/>
        <v>0</v>
      </c>
      <c r="L322" s="61"/>
      <c r="M322" s="61"/>
      <c r="N322" s="61"/>
    </row>
    <row r="323" spans="1:14" ht="21.75" customHeight="1" x14ac:dyDescent="0.4">
      <c r="A323" s="55"/>
      <c r="B323" s="56"/>
      <c r="C323" s="56"/>
      <c r="D323" s="73"/>
      <c r="E323" s="77"/>
      <c r="F323" s="75"/>
      <c r="G323" s="99" t="s">
        <v>137</v>
      </c>
      <c r="H323" s="60" t="s">
        <v>16</v>
      </c>
      <c r="I323" s="248">
        <f ca="1">IFERROR(__xludf.DUMMYFUNCTION("IMPORTRANGE(""https://docs.google.com/spreadsheets/d/1C3CXT74ZlgGe6_JY_1olB1XN4rF0dxEuIIF-xsYjHgg/edit?usp=sharing"",""งบกองทุน!ao35"")"),10)</f>
        <v>10</v>
      </c>
      <c r="J323" s="68">
        <v>0</v>
      </c>
      <c r="K323" s="49">
        <f t="shared" ca="1" si="73"/>
        <v>0</v>
      </c>
      <c r="L323" s="61"/>
      <c r="M323" s="61"/>
      <c r="N323" s="61"/>
    </row>
    <row r="324" spans="1:14" ht="21.75" customHeight="1" x14ac:dyDescent="0.4">
      <c r="A324" s="55"/>
      <c r="B324" s="56"/>
      <c r="C324" s="56"/>
      <c r="D324" s="73"/>
      <c r="E324" s="77"/>
      <c r="F324" s="75"/>
      <c r="G324" s="99" t="s">
        <v>138</v>
      </c>
      <c r="H324" s="60" t="s">
        <v>16</v>
      </c>
      <c r="I324" s="248">
        <f ca="1">IFERROR(__xludf.DUMMYFUNCTION("IMPORTRANGE(""https://docs.google.com/spreadsheets/d/1C3CXT74ZlgGe6_JY_1olB1XN4rF0dxEuIIF-xsYjHgg/edit?usp=sharing"",""งบกองทุน!ap35"")"),10)</f>
        <v>10</v>
      </c>
      <c r="J324" s="68">
        <v>0</v>
      </c>
      <c r="K324" s="49">
        <f t="shared" ca="1" si="73"/>
        <v>0</v>
      </c>
      <c r="L324" s="61"/>
      <c r="M324" s="61"/>
      <c r="N324" s="61"/>
    </row>
    <row r="325" spans="1:14" ht="21.75" customHeight="1" x14ac:dyDescent="0.4">
      <c r="A325" s="55"/>
      <c r="B325" s="56"/>
      <c r="C325" s="56"/>
      <c r="D325" s="73"/>
      <c r="E325" s="77"/>
      <c r="F325" s="74" t="s">
        <v>34</v>
      </c>
      <c r="G325" s="240"/>
      <c r="H325" s="241" t="s">
        <v>16</v>
      </c>
      <c r="I325" s="79">
        <f ca="1">SUM(I326,I327)</f>
        <v>35</v>
      </c>
      <c r="J325" s="79">
        <f ca="1">IF(AND(J326=I326,J327=I327),I325,0)</f>
        <v>0</v>
      </c>
      <c r="K325" s="80">
        <f t="shared" ca="1" si="73"/>
        <v>0</v>
      </c>
      <c r="L325" s="61"/>
      <c r="M325" s="61"/>
      <c r="N325" s="61"/>
    </row>
    <row r="326" spans="1:14" ht="21.75" customHeight="1" x14ac:dyDescent="0.4">
      <c r="A326" s="249"/>
      <c r="B326" s="250"/>
      <c r="C326" s="250"/>
      <c r="D326" s="251"/>
      <c r="E326" s="77"/>
      <c r="F326" s="75"/>
      <c r="G326" s="99" t="s">
        <v>139</v>
      </c>
      <c r="H326" s="60" t="s">
        <v>16</v>
      </c>
      <c r="I326" s="248">
        <f ca="1">IFERROR(__xludf.DUMMYFUNCTION("IMPORTRANGE(""https://docs.google.com/spreadsheets/d/1C3CXT74ZlgGe6_JY_1olB1XN4rF0dxEuIIF-xsYjHgg/edit?usp=sharing"",""งบกองทุน!ar35"")"),10)</f>
        <v>10</v>
      </c>
      <c r="J326" s="68">
        <v>0</v>
      </c>
      <c r="K326" s="49">
        <f t="shared" ca="1" si="73"/>
        <v>0</v>
      </c>
      <c r="L326" s="61"/>
      <c r="M326" s="61"/>
      <c r="N326" s="61"/>
    </row>
    <row r="327" spans="1:14" ht="21.75" customHeight="1" x14ac:dyDescent="0.4">
      <c r="A327" s="249"/>
      <c r="B327" s="250"/>
      <c r="C327" s="250"/>
      <c r="D327" s="251"/>
      <c r="E327" s="77"/>
      <c r="F327" s="75"/>
      <c r="G327" s="99" t="s">
        <v>140</v>
      </c>
      <c r="H327" s="60" t="s">
        <v>16</v>
      </c>
      <c r="I327" s="248">
        <f ca="1">IFERROR(__xludf.DUMMYFUNCTION("IMPORTRANGE(""https://docs.google.com/spreadsheets/d/1C3CXT74ZlgGe6_JY_1olB1XN4rF0dxEuIIF-xsYjHgg/edit?usp=sharing"",""งบกองทุน!as35"")"),25)</f>
        <v>25</v>
      </c>
      <c r="J327" s="68">
        <v>0</v>
      </c>
      <c r="K327" s="49">
        <f t="shared" ca="1" si="73"/>
        <v>0</v>
      </c>
      <c r="L327" s="61"/>
      <c r="M327" s="61"/>
      <c r="N327" s="61"/>
    </row>
    <row r="328" spans="1:14" ht="21.75" customHeight="1" x14ac:dyDescent="0.4">
      <c r="A328" s="55"/>
      <c r="B328" s="56"/>
      <c r="C328" s="56"/>
      <c r="D328" s="73"/>
      <c r="E328" s="74" t="s">
        <v>35</v>
      </c>
      <c r="F328" s="75"/>
      <c r="G328" s="76"/>
      <c r="H328" s="66"/>
      <c r="I328" s="67"/>
      <c r="J328" s="68">
        <v>0</v>
      </c>
      <c r="K328" s="49"/>
      <c r="L328" s="61"/>
      <c r="M328" s="61"/>
      <c r="N328" s="61"/>
    </row>
    <row r="329" spans="1:14" ht="21.75" customHeight="1" x14ac:dyDescent="0.4">
      <c r="A329" s="55"/>
      <c r="B329" s="56"/>
      <c r="C329" s="56"/>
      <c r="D329" s="81">
        <v>3</v>
      </c>
      <c r="E329" s="82" t="s">
        <v>36</v>
      </c>
      <c r="F329" s="83"/>
      <c r="G329" s="84"/>
      <c r="H329" s="66"/>
      <c r="I329" s="67"/>
      <c r="J329" s="85">
        <v>0</v>
      </c>
      <c r="K329" s="49"/>
      <c r="L329" s="61"/>
      <c r="M329" s="61"/>
      <c r="N329" s="61"/>
    </row>
    <row r="330" spans="1:14" ht="21.75" customHeight="1" x14ac:dyDescent="0.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20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95000</v>
      </c>
      <c r="M330" s="259">
        <f t="shared" si="74"/>
        <v>15976</v>
      </c>
      <c r="N330" s="259">
        <f t="shared" ref="N330:N334" ca="1" si="75">+IF(L330&gt;0,M330*100/L330,0)</f>
        <v>16.816842105263159</v>
      </c>
    </row>
    <row r="331" spans="1:14" ht="21.75" customHeight="1" x14ac:dyDescent="0.4">
      <c r="A331" s="42"/>
      <c r="B331" s="43"/>
      <c r="C331" s="43" t="s">
        <v>17</v>
      </c>
      <c r="D331" s="44" t="s">
        <v>18</v>
      </c>
      <c r="E331" s="45"/>
      <c r="F331" s="45"/>
      <c r="G331" s="46" t="s">
        <v>19</v>
      </c>
      <c r="H331" s="47" t="s">
        <v>20</v>
      </c>
      <c r="I331" s="48" t="s">
        <v>21</v>
      </c>
      <c r="J331" s="48"/>
      <c r="K331" s="49"/>
      <c r="L331" s="50">
        <v>0</v>
      </c>
      <c r="M331" s="53">
        <v>0</v>
      </c>
      <c r="N331" s="53">
        <f t="shared" si="75"/>
        <v>0</v>
      </c>
    </row>
    <row r="332" spans="1:14" ht="21.75" customHeight="1" x14ac:dyDescent="0.4">
      <c r="A332" s="42"/>
      <c r="B332" s="43"/>
      <c r="C332" s="43"/>
      <c r="D332" s="51"/>
      <c r="E332" s="45"/>
      <c r="F332" s="45" t="s">
        <v>21</v>
      </c>
      <c r="G332" s="46" t="s">
        <v>22</v>
      </c>
      <c r="H332" s="47" t="s">
        <v>20</v>
      </c>
      <c r="I332" s="48"/>
      <c r="J332" s="48"/>
      <c r="K332" s="49"/>
      <c r="L332" s="50">
        <f t="shared" ref="L332:M332" ca="1" si="76">SUM(L333:L334)</f>
        <v>95000</v>
      </c>
      <c r="M332" s="53">
        <f t="shared" si="76"/>
        <v>15976</v>
      </c>
      <c r="N332" s="53">
        <f t="shared" ca="1" si="75"/>
        <v>16.816842105263159</v>
      </c>
    </row>
    <row r="333" spans="1:14" ht="21.75" customHeight="1" x14ac:dyDescent="0.4">
      <c r="A333" s="42"/>
      <c r="B333" s="43"/>
      <c r="C333" s="43"/>
      <c r="D333" s="51"/>
      <c r="E333" s="45"/>
      <c r="F333" s="45"/>
      <c r="G333" s="52" t="s">
        <v>110</v>
      </c>
      <c r="H333" s="47" t="s">
        <v>20</v>
      </c>
      <c r="I333" s="48"/>
      <c r="J333" s="48"/>
      <c r="K333" s="49"/>
      <c r="L333" s="53">
        <f ca="1">IFERROR(__xludf.DUMMYFUNCTION("IMPORTRANGE(""https://docs.google.com/spreadsheets/d/1C3CXT74ZlgGe6_JY_1olB1XN4rF0dxEuIIF-xsYjHgg/edit?usp=sharing"",""งบกองทุน!au35"")"),0)</f>
        <v>0</v>
      </c>
      <c r="M333" s="53">
        <v>0</v>
      </c>
      <c r="N333" s="53">
        <f t="shared" ca="1" si="75"/>
        <v>0</v>
      </c>
    </row>
    <row r="334" spans="1:14" ht="21.75" customHeight="1" x14ac:dyDescent="0.4">
      <c r="A334" s="42"/>
      <c r="B334" s="43"/>
      <c r="C334" s="43"/>
      <c r="D334" s="51"/>
      <c r="E334" s="45"/>
      <c r="F334" s="45"/>
      <c r="G334" s="52" t="s">
        <v>111</v>
      </c>
      <c r="H334" s="47" t="s">
        <v>20</v>
      </c>
      <c r="I334" s="48"/>
      <c r="J334" s="48"/>
      <c r="K334" s="49"/>
      <c r="L334" s="53">
        <f ca="1">IFERROR(__xludf.DUMMYFUNCTION("IMPORTRANGE(""https://docs.google.com/spreadsheets/d/1C3CXT74ZlgGe6_JY_1olB1XN4rF0dxEuIIF-xsYjHgg/edit?usp=sharing"",""งบกองทุน!av35"")"),95000)</f>
        <v>95000</v>
      </c>
      <c r="M334" s="53">
        <f>SUM(M335:M338)</f>
        <v>15976</v>
      </c>
      <c r="N334" s="53">
        <f t="shared" ca="1" si="75"/>
        <v>16.816842105263159</v>
      </c>
    </row>
    <row r="335" spans="1:14" ht="21.75" customHeight="1" x14ac:dyDescent="0.4">
      <c r="A335" s="230"/>
      <c r="B335" s="231"/>
      <c r="C335" s="43"/>
      <c r="D335" s="232"/>
      <c r="E335" s="45"/>
      <c r="F335" s="45"/>
      <c r="G335" s="46" t="s">
        <v>112</v>
      </c>
      <c r="H335" s="47" t="s">
        <v>20</v>
      </c>
      <c r="I335" s="67"/>
      <c r="J335" s="67"/>
      <c r="K335" s="233"/>
      <c r="L335" s="53"/>
      <c r="M335" s="54">
        <v>14176</v>
      </c>
      <c r="N335" s="53"/>
    </row>
    <row r="336" spans="1:14" ht="21.75" customHeight="1" x14ac:dyDescent="0.4">
      <c r="A336" s="230"/>
      <c r="B336" s="231"/>
      <c r="C336" s="43"/>
      <c r="D336" s="232"/>
      <c r="E336" s="45"/>
      <c r="F336" s="45"/>
      <c r="G336" s="46" t="s">
        <v>113</v>
      </c>
      <c r="H336" s="47" t="s">
        <v>20</v>
      </c>
      <c r="I336" s="67"/>
      <c r="J336" s="67"/>
      <c r="K336" s="233"/>
      <c r="L336" s="53"/>
      <c r="M336" s="54">
        <v>0</v>
      </c>
      <c r="N336" s="53"/>
    </row>
    <row r="337" spans="1:14" ht="21.75" customHeight="1" x14ac:dyDescent="0.4">
      <c r="A337" s="230"/>
      <c r="B337" s="231"/>
      <c r="C337" s="43"/>
      <c r="D337" s="232"/>
      <c r="E337" s="45"/>
      <c r="F337" s="45"/>
      <c r="G337" s="46" t="s">
        <v>114</v>
      </c>
      <c r="H337" s="47" t="s">
        <v>20</v>
      </c>
      <c r="I337" s="67"/>
      <c r="J337" s="67"/>
      <c r="K337" s="233"/>
      <c r="L337" s="53"/>
      <c r="M337" s="54">
        <v>0</v>
      </c>
      <c r="N337" s="53"/>
    </row>
    <row r="338" spans="1:14" ht="21.75" customHeight="1" x14ac:dyDescent="0.4">
      <c r="A338" s="230"/>
      <c r="B338" s="231"/>
      <c r="C338" s="43"/>
      <c r="D338" s="232"/>
      <c r="E338" s="45"/>
      <c r="F338" s="45"/>
      <c r="G338" s="46" t="s">
        <v>115</v>
      </c>
      <c r="H338" s="47" t="s">
        <v>20</v>
      </c>
      <c r="I338" s="67"/>
      <c r="J338" s="67"/>
      <c r="K338" s="233"/>
      <c r="L338" s="53"/>
      <c r="M338" s="54">
        <v>1800</v>
      </c>
      <c r="N338" s="53"/>
    </row>
    <row r="339" spans="1:14" ht="21.75" customHeight="1" x14ac:dyDescent="0.4">
      <c r="A339" s="55"/>
      <c r="B339" s="56"/>
      <c r="C339" s="43" t="s">
        <v>17</v>
      </c>
      <c r="D339" s="57" t="s">
        <v>25</v>
      </c>
      <c r="E339" s="58"/>
      <c r="F339" s="58"/>
      <c r="G339" s="59"/>
      <c r="H339" s="60"/>
      <c r="I339" s="48"/>
      <c r="J339" s="48"/>
      <c r="K339" s="49"/>
      <c r="L339" s="61"/>
      <c r="M339" s="61"/>
      <c r="N339" s="61"/>
    </row>
    <row r="340" spans="1:14" ht="21.75" customHeight="1" x14ac:dyDescent="0.4">
      <c r="A340" s="55"/>
      <c r="B340" s="56"/>
      <c r="C340" s="56"/>
      <c r="D340" s="62">
        <v>1</v>
      </c>
      <c r="E340" s="63" t="s">
        <v>26</v>
      </c>
      <c r="F340" s="64"/>
      <c r="G340" s="65"/>
      <c r="H340" s="66"/>
      <c r="I340" s="67"/>
      <c r="J340" s="85">
        <v>0</v>
      </c>
      <c r="K340" s="49"/>
      <c r="L340" s="61"/>
      <c r="M340" s="61"/>
      <c r="N340" s="61"/>
    </row>
    <row r="341" spans="1:14" ht="21.75" customHeight="1" x14ac:dyDescent="0.4">
      <c r="A341" s="55"/>
      <c r="B341" s="56"/>
      <c r="C341" s="56"/>
      <c r="D341" s="69">
        <v>2</v>
      </c>
      <c r="E341" s="70" t="s">
        <v>27</v>
      </c>
      <c r="F341" s="71"/>
      <c r="G341" s="72"/>
      <c r="H341" s="66"/>
      <c r="I341" s="67"/>
      <c r="J341" s="85">
        <v>1</v>
      </c>
      <c r="K341" s="49"/>
      <c r="L341" s="61" t="s">
        <v>21</v>
      </c>
      <c r="M341" s="61" t="s">
        <v>21</v>
      </c>
      <c r="N341" s="61"/>
    </row>
    <row r="342" spans="1:14" ht="21.75" customHeight="1" x14ac:dyDescent="0.4">
      <c r="A342" s="55"/>
      <c r="B342" s="56"/>
      <c r="C342" s="56"/>
      <c r="D342" s="73"/>
      <c r="E342" s="74" t="s">
        <v>142</v>
      </c>
      <c r="F342" s="75"/>
      <c r="G342" s="76"/>
      <c r="H342" s="66"/>
      <c r="I342" s="67"/>
      <c r="J342" s="68">
        <v>1</v>
      </c>
      <c r="K342" s="49"/>
      <c r="L342" s="61"/>
      <c r="M342" s="61"/>
      <c r="N342" s="61"/>
    </row>
    <row r="343" spans="1:14" ht="21.75" customHeight="1" x14ac:dyDescent="0.4">
      <c r="A343" s="55"/>
      <c r="B343" s="56"/>
      <c r="C343" s="56"/>
      <c r="D343" s="73"/>
      <c r="E343" s="74" t="s">
        <v>29</v>
      </c>
      <c r="F343" s="75"/>
      <c r="G343" s="76"/>
      <c r="H343" s="66"/>
      <c r="I343" s="67"/>
      <c r="J343" s="68">
        <v>1</v>
      </c>
      <c r="K343" s="49"/>
      <c r="L343" s="61"/>
      <c r="M343" s="61"/>
      <c r="N343" s="61"/>
    </row>
    <row r="344" spans="1:14" ht="21.75" customHeight="1" x14ac:dyDescent="0.4">
      <c r="A344" s="55"/>
      <c r="B344" s="56"/>
      <c r="C344" s="56"/>
      <c r="D344" s="73"/>
      <c r="E344" s="77"/>
      <c r="F344" s="260" t="s">
        <v>82</v>
      </c>
      <c r="G344" s="76"/>
      <c r="H344" s="66" t="s">
        <v>16</v>
      </c>
      <c r="I344" s="243">
        <f t="shared" ref="I344:J344" ca="1" si="77">+I345+I346+I347</f>
        <v>20</v>
      </c>
      <c r="J344" s="79">
        <f t="shared" si="77"/>
        <v>0</v>
      </c>
      <c r="K344" s="49">
        <f t="shared" ref="K344:K347" ca="1" si="78">IF(I344&gt;0,J344*100/I344,0)</f>
        <v>0</v>
      </c>
      <c r="L344" s="61"/>
      <c r="M344" s="61"/>
      <c r="N344" s="61"/>
    </row>
    <row r="345" spans="1:14" ht="21.75" customHeight="1" x14ac:dyDescent="0.4">
      <c r="A345" s="55"/>
      <c r="B345" s="56"/>
      <c r="C345" s="56"/>
      <c r="D345" s="73"/>
      <c r="E345" s="77"/>
      <c r="F345" s="75"/>
      <c r="G345" s="99" t="s">
        <v>143</v>
      </c>
      <c r="H345" s="66" t="s">
        <v>16</v>
      </c>
      <c r="I345" s="200">
        <f ca="1">IFERROR(__xludf.DUMMYFUNCTION("IMPORTRANGE(""https://docs.google.com/spreadsheets/d/1C3CXT74ZlgGe6_JY_1olB1XN4rF0dxEuIIF-xsYjHgg/edit?usp=sharing"",""งบกองทุน!ay35"")"),20)</f>
        <v>20</v>
      </c>
      <c r="J345" s="68">
        <v>0</v>
      </c>
      <c r="K345" s="49">
        <f t="shared" ca="1" si="78"/>
        <v>0</v>
      </c>
      <c r="L345" s="61"/>
      <c r="M345" s="61"/>
      <c r="N345" s="61"/>
    </row>
    <row r="346" spans="1:14" ht="21.75" customHeight="1" x14ac:dyDescent="0.4">
      <c r="A346" s="55"/>
      <c r="B346" s="56"/>
      <c r="C346" s="56"/>
      <c r="D346" s="73"/>
      <c r="E346" s="77"/>
      <c r="F346" s="75"/>
      <c r="G346" s="76" t="s">
        <v>144</v>
      </c>
      <c r="H346" s="66" t="s">
        <v>16</v>
      </c>
      <c r="I346" s="200">
        <f ca="1">IFERROR(__xludf.DUMMYFUNCTION("IMPORTRANGE(""https://docs.google.com/spreadsheets/d/1C3CXT74ZlgGe6_JY_1olB1XN4rF0dxEuIIF-xsYjHgg/edit?usp=sharing"",""งบกองทุน!az35"")"),0)</f>
        <v>0</v>
      </c>
      <c r="J346" s="68">
        <v>0</v>
      </c>
      <c r="K346" s="49">
        <f t="shared" ca="1" si="78"/>
        <v>0</v>
      </c>
      <c r="L346" s="61"/>
      <c r="M346" s="61"/>
      <c r="N346" s="61"/>
    </row>
    <row r="347" spans="1:14" ht="21.75" customHeight="1" x14ac:dyDescent="0.4">
      <c r="A347" s="55"/>
      <c r="B347" s="56"/>
      <c r="C347" s="56"/>
      <c r="D347" s="73"/>
      <c r="E347" s="77"/>
      <c r="F347" s="75"/>
      <c r="G347" s="76" t="s">
        <v>145</v>
      </c>
      <c r="H347" s="66" t="s">
        <v>16</v>
      </c>
      <c r="I347" s="67">
        <f ca="1">IFERROR(__xludf.DUMMYFUNCTION("IMPORTRANGE(""https://docs.google.com/spreadsheets/d/1C3CXT74ZlgGe6_JY_1olB1XN4rF0dxEuIIF-xsYjHgg/edit?usp=sharing"",""งบกองทุน!Ba35"")"),0)</f>
        <v>0</v>
      </c>
      <c r="J347" s="68">
        <v>0</v>
      </c>
      <c r="K347" s="49">
        <f t="shared" ca="1" si="78"/>
        <v>0</v>
      </c>
      <c r="L347" s="61"/>
      <c r="M347" s="61"/>
      <c r="N347" s="61"/>
    </row>
    <row r="348" spans="1:14" ht="21.75" customHeight="1" x14ac:dyDescent="0.4">
      <c r="A348" s="55"/>
      <c r="B348" s="56"/>
      <c r="C348" s="56"/>
      <c r="D348" s="73"/>
      <c r="E348" s="74" t="s">
        <v>35</v>
      </c>
      <c r="F348" s="75"/>
      <c r="G348" s="76"/>
      <c r="H348" s="66"/>
      <c r="I348" s="67"/>
      <c r="J348" s="68">
        <v>0</v>
      </c>
      <c r="K348" s="49"/>
      <c r="L348" s="61"/>
      <c r="M348" s="61"/>
      <c r="N348" s="61"/>
    </row>
    <row r="349" spans="1:14" ht="21.75" customHeight="1" x14ac:dyDescent="0.4">
      <c r="A349" s="55"/>
      <c r="B349" s="56"/>
      <c r="C349" s="56"/>
      <c r="D349" s="81">
        <v>3</v>
      </c>
      <c r="E349" s="82" t="s">
        <v>36</v>
      </c>
      <c r="F349" s="83"/>
      <c r="G349" s="84"/>
      <c r="H349" s="66"/>
      <c r="I349" s="67"/>
      <c r="J349" s="85">
        <v>0</v>
      </c>
      <c r="K349" s="49"/>
      <c r="L349" s="61"/>
      <c r="M349" s="61"/>
      <c r="N349" s="61"/>
    </row>
    <row r="350" spans="1:14" ht="21.75" customHeight="1" x14ac:dyDescent="0.4">
      <c r="A350" s="222"/>
      <c r="B350" s="223">
        <v>5</v>
      </c>
      <c r="C350" s="224" t="s">
        <v>146</v>
      </c>
      <c r="D350" s="224"/>
      <c r="E350" s="224"/>
      <c r="F350" s="224"/>
      <c r="G350" s="225"/>
      <c r="H350" s="226" t="s">
        <v>103</v>
      </c>
      <c r="I350" s="227">
        <f ca="1">I359</f>
        <v>25853</v>
      </c>
      <c r="J350" s="227">
        <f>+J359</f>
        <v>0</v>
      </c>
      <c r="K350" s="228">
        <f ca="1">IF(I350&gt;0,J350*100/I350,0)</f>
        <v>0</v>
      </c>
      <c r="L350" s="229">
        <f t="shared" ref="L350:M350" ca="1" si="79">SUM(L351:L352)</f>
        <v>191927</v>
      </c>
      <c r="M350" s="229">
        <f t="shared" si="79"/>
        <v>0</v>
      </c>
      <c r="N350" s="229">
        <f t="shared" ref="N350:N354" ca="1" si="80">+IF(L350&gt;0,M350*100/L350,0)</f>
        <v>0</v>
      </c>
    </row>
    <row r="351" spans="1:14" ht="21.75" customHeight="1" x14ac:dyDescent="0.4">
      <c r="A351" s="42"/>
      <c r="B351" s="43"/>
      <c r="C351" s="43" t="s">
        <v>17</v>
      </c>
      <c r="D351" s="44" t="s">
        <v>18</v>
      </c>
      <c r="E351" s="45"/>
      <c r="F351" s="45"/>
      <c r="G351" s="46" t="s">
        <v>19</v>
      </c>
      <c r="H351" s="47" t="s">
        <v>20</v>
      </c>
      <c r="I351" s="48" t="s">
        <v>21</v>
      </c>
      <c r="J351" s="48"/>
      <c r="K351" s="49"/>
      <c r="L351" s="50">
        <v>0</v>
      </c>
      <c r="M351" s="53">
        <v>0</v>
      </c>
      <c r="N351" s="53">
        <f t="shared" si="80"/>
        <v>0</v>
      </c>
    </row>
    <row r="352" spans="1:14" ht="21.75" customHeight="1" x14ac:dyDescent="0.4">
      <c r="A352" s="42"/>
      <c r="B352" s="43"/>
      <c r="C352" s="43"/>
      <c r="D352" s="51"/>
      <c r="E352" s="45"/>
      <c r="F352" s="45" t="s">
        <v>21</v>
      </c>
      <c r="G352" s="46" t="s">
        <v>22</v>
      </c>
      <c r="H352" s="47" t="s">
        <v>20</v>
      </c>
      <c r="I352" s="48"/>
      <c r="J352" s="48"/>
      <c r="K352" s="49"/>
      <c r="L352" s="50">
        <f t="shared" ref="L352:M352" ca="1" si="81">SUM(L353:L354)</f>
        <v>191927</v>
      </c>
      <c r="M352" s="53">
        <f t="shared" si="81"/>
        <v>0</v>
      </c>
      <c r="N352" s="53">
        <f t="shared" ca="1" si="80"/>
        <v>0</v>
      </c>
    </row>
    <row r="353" spans="1:14" ht="21.75" customHeight="1" x14ac:dyDescent="0.4">
      <c r="A353" s="42"/>
      <c r="B353" s="43"/>
      <c r="C353" s="43"/>
      <c r="D353" s="51"/>
      <c r="E353" s="45"/>
      <c r="F353" s="45"/>
      <c r="G353" s="52" t="s">
        <v>110</v>
      </c>
      <c r="H353" s="47" t="s">
        <v>20</v>
      </c>
      <c r="I353" s="48"/>
      <c r="J353" s="48"/>
      <c r="K353" s="49"/>
      <c r="L353" s="53">
        <f ca="1">IFERROR(__xludf.DUMMYFUNCTION("IMPORTRANGE(""https://docs.google.com/spreadsheets/d/1C3CXT74ZlgGe6_JY_1olB1XN4rF0dxEuIIF-xsYjHgg/edit?usp=sharing"",""งบกองทุน!Bc35"")"),0)</f>
        <v>0</v>
      </c>
      <c r="M353" s="53">
        <v>0</v>
      </c>
      <c r="N353" s="53">
        <f t="shared" ca="1" si="80"/>
        <v>0</v>
      </c>
    </row>
    <row r="354" spans="1:14" ht="21.75" customHeight="1" x14ac:dyDescent="0.4">
      <c r="A354" s="42"/>
      <c r="B354" s="43"/>
      <c r="C354" s="43"/>
      <c r="D354" s="51"/>
      <c r="E354" s="45"/>
      <c r="F354" s="45"/>
      <c r="G354" s="52" t="s">
        <v>111</v>
      </c>
      <c r="H354" s="47" t="s">
        <v>20</v>
      </c>
      <c r="I354" s="48"/>
      <c r="J354" s="48"/>
      <c r="K354" s="49"/>
      <c r="L354" s="53">
        <f ca="1">IFERROR(__xludf.DUMMYFUNCTION("IMPORTRANGE(""https://docs.google.com/spreadsheets/d/1C3CXT74ZlgGe6_JY_1olB1XN4rF0dxEuIIF-xsYjHgg/edit?usp=sharing"",""งบกองทุน!Bd35"")"),191927)</f>
        <v>191927</v>
      </c>
      <c r="M354" s="53">
        <f>SUM(M355:M358)</f>
        <v>0</v>
      </c>
      <c r="N354" s="53">
        <f t="shared" ca="1" si="80"/>
        <v>0</v>
      </c>
    </row>
    <row r="355" spans="1:14" ht="21.75" customHeight="1" x14ac:dyDescent="0.4">
      <c r="A355" s="230"/>
      <c r="B355" s="231"/>
      <c r="C355" s="43"/>
      <c r="D355" s="232"/>
      <c r="E355" s="45"/>
      <c r="F355" s="45"/>
      <c r="G355" s="46" t="s">
        <v>112</v>
      </c>
      <c r="H355" s="47" t="s">
        <v>20</v>
      </c>
      <c r="I355" s="67"/>
      <c r="J355" s="67"/>
      <c r="K355" s="233"/>
      <c r="L355" s="53"/>
      <c r="M355" s="53">
        <v>0</v>
      </c>
      <c r="N355" s="53"/>
    </row>
    <row r="356" spans="1:14" ht="21.75" customHeight="1" x14ac:dyDescent="0.4">
      <c r="A356" s="230"/>
      <c r="B356" s="231"/>
      <c r="C356" s="43"/>
      <c r="D356" s="232"/>
      <c r="E356" s="45"/>
      <c r="F356" s="45"/>
      <c r="G356" s="46" t="s">
        <v>113</v>
      </c>
      <c r="H356" s="47" t="s">
        <v>20</v>
      </c>
      <c r="I356" s="67"/>
      <c r="J356" s="67"/>
      <c r="K356" s="233"/>
      <c r="L356" s="53"/>
      <c r="M356" s="53">
        <v>0</v>
      </c>
      <c r="N356" s="53"/>
    </row>
    <row r="357" spans="1:14" ht="21.75" customHeight="1" x14ac:dyDescent="0.4">
      <c r="A357" s="230"/>
      <c r="B357" s="231"/>
      <c r="C357" s="43"/>
      <c r="D357" s="232"/>
      <c r="E357" s="45"/>
      <c r="F357" s="45"/>
      <c r="G357" s="46" t="s">
        <v>114</v>
      </c>
      <c r="H357" s="47" t="s">
        <v>20</v>
      </c>
      <c r="I357" s="67"/>
      <c r="J357" s="67"/>
      <c r="K357" s="233"/>
      <c r="L357" s="53"/>
      <c r="M357" s="54">
        <v>0</v>
      </c>
      <c r="N357" s="53"/>
    </row>
    <row r="358" spans="1:14" ht="21.75" customHeight="1" x14ac:dyDescent="0.4">
      <c r="A358" s="230"/>
      <c r="B358" s="231"/>
      <c r="C358" s="43"/>
      <c r="D358" s="232"/>
      <c r="E358" s="45"/>
      <c r="F358" s="45"/>
      <c r="G358" s="46" t="s">
        <v>115</v>
      </c>
      <c r="H358" s="47" t="s">
        <v>20</v>
      </c>
      <c r="I358" s="67"/>
      <c r="J358" s="67"/>
      <c r="K358" s="233"/>
      <c r="L358" s="53"/>
      <c r="M358" s="54">
        <v>0</v>
      </c>
      <c r="N358" s="53"/>
    </row>
    <row r="359" spans="1:14" ht="21.75" customHeight="1" x14ac:dyDescent="0.4">
      <c r="A359" s="55"/>
      <c r="B359" s="56"/>
      <c r="C359" s="261" t="s">
        <v>147</v>
      </c>
      <c r="D359" s="261"/>
      <c r="E359" s="262"/>
      <c r="F359" s="262"/>
      <c r="G359" s="263"/>
      <c r="H359" s="136" t="s">
        <v>103</v>
      </c>
      <c r="I359" s="137">
        <f ca="1">IFERROR(__xludf.DUMMYFUNCTION("IMPORTRANGE(""https://docs.google.com/spreadsheets/d/1C3CXT74ZlgGe6_JY_1olB1XN4rF0dxEuIIF-xsYjHgg/edit?usp=sharing"",""งบกองทุน!BE35"")"),25853)</f>
        <v>25853</v>
      </c>
      <c r="J359" s="137">
        <f>+J376</f>
        <v>0</v>
      </c>
      <c r="K359" s="138">
        <f t="shared" ref="K359:K425" ca="1" si="82">IF(I359&gt;0,J359*100/I359,0)</f>
        <v>0</v>
      </c>
      <c r="L359" s="140"/>
      <c r="M359" s="140"/>
      <c r="N359" s="140"/>
    </row>
    <row r="360" spans="1:14" ht="21.75" customHeight="1" x14ac:dyDescent="0.4">
      <c r="A360" s="249"/>
      <c r="B360" s="250"/>
      <c r="C360" s="250"/>
      <c r="D360" s="251"/>
      <c r="E360" s="73" t="s">
        <v>148</v>
      </c>
      <c r="F360" s="75"/>
      <c r="G360" s="76"/>
      <c r="H360" s="264" t="s">
        <v>103</v>
      </c>
      <c r="I360" s="265">
        <f ca="1">I359</f>
        <v>25853</v>
      </c>
      <c r="J360" s="265">
        <f t="shared" ref="J360:J361" si="83">+J362+J364+J366</f>
        <v>0</v>
      </c>
      <c r="K360" s="80">
        <f t="shared" ca="1" si="82"/>
        <v>0</v>
      </c>
      <c r="L360" s="61"/>
      <c r="M360" s="61"/>
      <c r="N360" s="61"/>
    </row>
    <row r="361" spans="1:14" ht="21.75" customHeight="1" x14ac:dyDescent="0.4">
      <c r="A361" s="249"/>
      <c r="B361" s="250"/>
      <c r="C361" s="250"/>
      <c r="D361" s="251"/>
      <c r="E361" s="75"/>
      <c r="F361" s="75"/>
      <c r="G361" s="76"/>
      <c r="H361" s="264" t="s">
        <v>15</v>
      </c>
      <c r="I361" s="79">
        <f ca="1">IFERROR(__xludf.DUMMYFUNCTION("IMPORTRANGE(""https://docs.google.com/spreadsheets/d/1C3CXT74ZlgGe6_JY_1olB1XN4rF0dxEuIIF-xsYjHgg/edit?usp=sharing"",""งบกองทุน!BF35"")"),2764)</f>
        <v>2764</v>
      </c>
      <c r="J361" s="265">
        <f t="shared" si="83"/>
        <v>0</v>
      </c>
      <c r="K361" s="80">
        <f t="shared" ca="1" si="82"/>
        <v>0</v>
      </c>
      <c r="L361" s="61"/>
      <c r="M361" s="61"/>
      <c r="N361" s="61"/>
    </row>
    <row r="362" spans="1:14" ht="21.75" customHeight="1" x14ac:dyDescent="0.4">
      <c r="A362" s="249"/>
      <c r="B362" s="250"/>
      <c r="C362" s="250"/>
      <c r="D362" s="251"/>
      <c r="E362" s="75"/>
      <c r="F362" s="242" t="s">
        <v>149</v>
      </c>
      <c r="G362" s="266"/>
      <c r="H362" s="267" t="s">
        <v>103</v>
      </c>
      <c r="I362" s="48">
        <v>0</v>
      </c>
      <c r="J362" s="68">
        <v>0</v>
      </c>
      <c r="K362" s="49">
        <f t="shared" si="82"/>
        <v>0</v>
      </c>
      <c r="L362" s="61"/>
      <c r="M362" s="61"/>
      <c r="N362" s="61"/>
    </row>
    <row r="363" spans="1:14" ht="21.75" customHeight="1" x14ac:dyDescent="0.4">
      <c r="A363" s="249"/>
      <c r="B363" s="250"/>
      <c r="C363" s="250"/>
      <c r="D363" s="251"/>
      <c r="E363" s="75"/>
      <c r="F363" s="75"/>
      <c r="G363" s="266"/>
      <c r="H363" s="267" t="s">
        <v>15</v>
      </c>
      <c r="I363" s="48">
        <v>0</v>
      </c>
      <c r="J363" s="68">
        <v>0</v>
      </c>
      <c r="K363" s="49">
        <f t="shared" si="82"/>
        <v>0</v>
      </c>
      <c r="L363" s="61"/>
      <c r="M363" s="61"/>
      <c r="N363" s="61"/>
    </row>
    <row r="364" spans="1:14" ht="21.75" customHeight="1" x14ac:dyDescent="0.4">
      <c r="A364" s="249"/>
      <c r="B364" s="250"/>
      <c r="C364" s="250"/>
      <c r="D364" s="251"/>
      <c r="E364" s="75"/>
      <c r="F364" s="242" t="s">
        <v>150</v>
      </c>
      <c r="G364" s="266"/>
      <c r="H364" s="267" t="s">
        <v>103</v>
      </c>
      <c r="I364" s="48">
        <v>0</v>
      </c>
      <c r="J364" s="68">
        <v>0</v>
      </c>
      <c r="K364" s="49">
        <f t="shared" si="82"/>
        <v>0</v>
      </c>
      <c r="L364" s="61"/>
      <c r="M364" s="61"/>
      <c r="N364" s="61"/>
    </row>
    <row r="365" spans="1:14" ht="21.75" customHeight="1" x14ac:dyDescent="0.4">
      <c r="A365" s="249"/>
      <c r="B365" s="250"/>
      <c r="C365" s="250"/>
      <c r="D365" s="251"/>
      <c r="E365" s="75"/>
      <c r="F365" s="75"/>
      <c r="G365" s="266"/>
      <c r="H365" s="267" t="s">
        <v>15</v>
      </c>
      <c r="I365" s="48">
        <v>0</v>
      </c>
      <c r="J365" s="68">
        <v>0</v>
      </c>
      <c r="K365" s="49">
        <f t="shared" si="82"/>
        <v>0</v>
      </c>
      <c r="L365" s="61"/>
      <c r="M365" s="61"/>
      <c r="N365" s="61"/>
    </row>
    <row r="366" spans="1:14" ht="21.75" customHeight="1" x14ac:dyDescent="0.4">
      <c r="A366" s="249"/>
      <c r="B366" s="250"/>
      <c r="C366" s="250"/>
      <c r="D366" s="251"/>
      <c r="E366" s="75"/>
      <c r="F366" s="242" t="s">
        <v>151</v>
      </c>
      <c r="G366" s="266"/>
      <c r="H366" s="267" t="s">
        <v>103</v>
      </c>
      <c r="I366" s="48">
        <v>0</v>
      </c>
      <c r="J366" s="68">
        <v>0</v>
      </c>
      <c r="K366" s="49">
        <f t="shared" si="82"/>
        <v>0</v>
      </c>
      <c r="L366" s="61"/>
      <c r="M366" s="61"/>
      <c r="N366" s="61"/>
    </row>
    <row r="367" spans="1:14" ht="21.75" customHeight="1" x14ac:dyDescent="0.4">
      <c r="A367" s="249"/>
      <c r="B367" s="250"/>
      <c r="C367" s="250"/>
      <c r="D367" s="251"/>
      <c r="E367" s="75"/>
      <c r="F367" s="75"/>
      <c r="G367" s="75"/>
      <c r="H367" s="267" t="s">
        <v>15</v>
      </c>
      <c r="I367" s="48">
        <v>0</v>
      </c>
      <c r="J367" s="68">
        <v>0</v>
      </c>
      <c r="K367" s="49">
        <f t="shared" si="82"/>
        <v>0</v>
      </c>
      <c r="L367" s="61"/>
      <c r="M367" s="61"/>
      <c r="N367" s="61"/>
    </row>
    <row r="368" spans="1:14" ht="21.75" customHeight="1" x14ac:dyDescent="0.4">
      <c r="A368" s="249"/>
      <c r="B368" s="250"/>
      <c r="C368" s="250"/>
      <c r="D368" s="251"/>
      <c r="E368" s="155" t="s">
        <v>152</v>
      </c>
      <c r="F368" s="75"/>
      <c r="G368" s="76"/>
      <c r="H368" s="264" t="s">
        <v>103</v>
      </c>
      <c r="I368" s="265">
        <f ca="1">+I359</f>
        <v>25853</v>
      </c>
      <c r="J368" s="265">
        <f t="shared" ref="J368:J369" si="84">+J370+J372+J374</f>
        <v>0</v>
      </c>
      <c r="K368" s="80">
        <f t="shared" ca="1" si="82"/>
        <v>0</v>
      </c>
      <c r="L368" s="61"/>
      <c r="M368" s="61"/>
      <c r="N368" s="61"/>
    </row>
    <row r="369" spans="1:14" ht="21.75" customHeight="1" x14ac:dyDescent="0.4">
      <c r="A369" s="249"/>
      <c r="B369" s="250"/>
      <c r="C369" s="250"/>
      <c r="D369" s="251"/>
      <c r="E369" s="75"/>
      <c r="F369" s="75"/>
      <c r="G369" s="76"/>
      <c r="H369" s="264" t="s">
        <v>15</v>
      </c>
      <c r="I369" s="265">
        <f ca="1">I361</f>
        <v>2764</v>
      </c>
      <c r="J369" s="265">
        <f t="shared" si="84"/>
        <v>0</v>
      </c>
      <c r="K369" s="80">
        <f t="shared" ca="1" si="82"/>
        <v>0</v>
      </c>
      <c r="L369" s="61"/>
      <c r="M369" s="61"/>
      <c r="N369" s="61"/>
    </row>
    <row r="370" spans="1:14" ht="21.75" customHeight="1" x14ac:dyDescent="0.4">
      <c r="A370" s="249"/>
      <c r="B370" s="250"/>
      <c r="C370" s="250"/>
      <c r="D370" s="251"/>
      <c r="E370" s="75"/>
      <c r="F370" s="74" t="s">
        <v>153</v>
      </c>
      <c r="G370" s="266"/>
      <c r="H370" s="267" t="s">
        <v>103</v>
      </c>
      <c r="I370" s="48">
        <v>0</v>
      </c>
      <c r="J370" s="68">
        <v>0</v>
      </c>
      <c r="K370" s="49">
        <f t="shared" si="82"/>
        <v>0</v>
      </c>
      <c r="L370" s="61"/>
      <c r="M370" s="61"/>
      <c r="N370" s="61"/>
    </row>
    <row r="371" spans="1:14" ht="21.75" customHeight="1" x14ac:dyDescent="0.4">
      <c r="A371" s="249"/>
      <c r="B371" s="250"/>
      <c r="C371" s="250"/>
      <c r="D371" s="251"/>
      <c r="E371" s="75"/>
      <c r="F371" s="75"/>
      <c r="G371" s="266"/>
      <c r="H371" s="267" t="s">
        <v>15</v>
      </c>
      <c r="I371" s="48">
        <v>0</v>
      </c>
      <c r="J371" s="68">
        <v>0</v>
      </c>
      <c r="K371" s="49">
        <f t="shared" si="82"/>
        <v>0</v>
      </c>
      <c r="L371" s="61"/>
      <c r="M371" s="61"/>
      <c r="N371" s="61"/>
    </row>
    <row r="372" spans="1:14" ht="21.75" customHeight="1" x14ac:dyDescent="0.4">
      <c r="A372" s="249"/>
      <c r="B372" s="250"/>
      <c r="C372" s="250"/>
      <c r="D372" s="251"/>
      <c r="E372" s="75"/>
      <c r="F372" s="74" t="s">
        <v>154</v>
      </c>
      <c r="G372" s="266"/>
      <c r="H372" s="267" t="s">
        <v>103</v>
      </c>
      <c r="I372" s="48">
        <v>0</v>
      </c>
      <c r="J372" s="68">
        <v>0</v>
      </c>
      <c r="K372" s="49">
        <f t="shared" si="82"/>
        <v>0</v>
      </c>
      <c r="L372" s="61"/>
      <c r="M372" s="61"/>
      <c r="N372" s="61"/>
    </row>
    <row r="373" spans="1:14" ht="21.75" customHeight="1" x14ac:dyDescent="0.4">
      <c r="A373" s="249"/>
      <c r="B373" s="250"/>
      <c r="C373" s="250"/>
      <c r="D373" s="251"/>
      <c r="E373" s="75"/>
      <c r="F373" s="75"/>
      <c r="G373" s="266"/>
      <c r="H373" s="267" t="s">
        <v>15</v>
      </c>
      <c r="I373" s="48">
        <v>0</v>
      </c>
      <c r="J373" s="68">
        <v>0</v>
      </c>
      <c r="K373" s="49">
        <f t="shared" si="82"/>
        <v>0</v>
      </c>
      <c r="L373" s="61"/>
      <c r="M373" s="61"/>
      <c r="N373" s="61"/>
    </row>
    <row r="374" spans="1:14" ht="21.75" customHeight="1" x14ac:dyDescent="0.4">
      <c r="A374" s="249"/>
      <c r="B374" s="250"/>
      <c r="C374" s="250"/>
      <c r="D374" s="251"/>
      <c r="E374" s="75"/>
      <c r="F374" s="74" t="s">
        <v>155</v>
      </c>
      <c r="G374" s="266"/>
      <c r="H374" s="267" t="s">
        <v>103</v>
      </c>
      <c r="I374" s="48">
        <v>0</v>
      </c>
      <c r="J374" s="68">
        <v>0</v>
      </c>
      <c r="K374" s="49">
        <f t="shared" si="82"/>
        <v>0</v>
      </c>
      <c r="L374" s="61"/>
      <c r="M374" s="61"/>
      <c r="N374" s="61"/>
    </row>
    <row r="375" spans="1:14" ht="21.75" customHeight="1" x14ac:dyDescent="0.4">
      <c r="A375" s="249"/>
      <c r="B375" s="250"/>
      <c r="C375" s="250"/>
      <c r="D375" s="251"/>
      <c r="E375" s="75"/>
      <c r="F375" s="75"/>
      <c r="G375" s="76"/>
      <c r="H375" s="267" t="s">
        <v>15</v>
      </c>
      <c r="I375" s="48">
        <v>0</v>
      </c>
      <c r="J375" s="68">
        <v>0</v>
      </c>
      <c r="K375" s="49">
        <f t="shared" si="82"/>
        <v>0</v>
      </c>
      <c r="L375" s="61"/>
      <c r="M375" s="61"/>
      <c r="N375" s="61"/>
    </row>
    <row r="376" spans="1:14" ht="21.75" customHeight="1" x14ac:dyDescent="0.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25853</v>
      </c>
      <c r="J376" s="265">
        <f t="shared" ref="J376:J377" si="85">+J378+J380+J382+J388</f>
        <v>0</v>
      </c>
      <c r="K376" s="80">
        <f t="shared" ca="1" si="82"/>
        <v>0</v>
      </c>
      <c r="L376" s="275"/>
      <c r="M376" s="275"/>
      <c r="N376" s="275"/>
    </row>
    <row r="377" spans="1:14" ht="21.75" customHeight="1" x14ac:dyDescent="0.4">
      <c r="A377" s="249"/>
      <c r="B377" s="250"/>
      <c r="C377" s="250"/>
      <c r="D377" s="251"/>
      <c r="E377" s="75"/>
      <c r="F377" s="75"/>
      <c r="G377" s="76"/>
      <c r="H377" s="264" t="s">
        <v>15</v>
      </c>
      <c r="I377" s="265">
        <f ca="1">I361</f>
        <v>2764</v>
      </c>
      <c r="J377" s="265">
        <f t="shared" si="85"/>
        <v>0</v>
      </c>
      <c r="K377" s="80">
        <f t="shared" ca="1" si="82"/>
        <v>0</v>
      </c>
      <c r="L377" s="61"/>
      <c r="M377" s="61"/>
      <c r="N377" s="61"/>
    </row>
    <row r="378" spans="1:14" ht="21.75" customHeight="1" x14ac:dyDescent="0.4">
      <c r="A378" s="249"/>
      <c r="B378" s="250"/>
      <c r="C378" s="250"/>
      <c r="D378" s="251"/>
      <c r="E378" s="75"/>
      <c r="F378" s="74" t="s">
        <v>157</v>
      </c>
      <c r="G378" s="266"/>
      <c r="H378" s="267" t="s">
        <v>103</v>
      </c>
      <c r="I378" s="48">
        <v>0</v>
      </c>
      <c r="J378" s="68">
        <v>0</v>
      </c>
      <c r="K378" s="49">
        <f t="shared" si="82"/>
        <v>0</v>
      </c>
      <c r="L378" s="61"/>
      <c r="M378" s="61"/>
      <c r="N378" s="61"/>
    </row>
    <row r="379" spans="1:14" ht="21.75" customHeight="1" x14ac:dyDescent="0.4">
      <c r="A379" s="249"/>
      <c r="B379" s="250"/>
      <c r="C379" s="250"/>
      <c r="D379" s="251"/>
      <c r="E379" s="75"/>
      <c r="F379" s="75"/>
      <c r="G379" s="266"/>
      <c r="H379" s="267" t="s">
        <v>15</v>
      </c>
      <c r="I379" s="48">
        <v>0</v>
      </c>
      <c r="J379" s="68">
        <v>0</v>
      </c>
      <c r="K379" s="49">
        <f t="shared" si="82"/>
        <v>0</v>
      </c>
      <c r="L379" s="61"/>
      <c r="M379" s="61"/>
      <c r="N379" s="61"/>
    </row>
    <row r="380" spans="1:14" ht="21.75" customHeight="1" x14ac:dyDescent="0.4">
      <c r="A380" s="249"/>
      <c r="B380" s="250"/>
      <c r="C380" s="250"/>
      <c r="D380" s="251"/>
      <c r="E380" s="75"/>
      <c r="F380" s="74" t="s">
        <v>158</v>
      </c>
      <c r="G380" s="266"/>
      <c r="H380" s="267" t="s">
        <v>103</v>
      </c>
      <c r="I380" s="48">
        <v>0</v>
      </c>
      <c r="J380" s="68">
        <v>0</v>
      </c>
      <c r="K380" s="49">
        <f t="shared" si="82"/>
        <v>0</v>
      </c>
      <c r="L380" s="61"/>
      <c r="M380" s="61"/>
      <c r="N380" s="61"/>
    </row>
    <row r="381" spans="1:14" ht="21.75" customHeight="1" x14ac:dyDescent="0.4">
      <c r="A381" s="249"/>
      <c r="B381" s="250"/>
      <c r="C381" s="250"/>
      <c r="D381" s="251"/>
      <c r="E381" s="75"/>
      <c r="F381" s="75"/>
      <c r="G381" s="266"/>
      <c r="H381" s="267" t="s">
        <v>15</v>
      </c>
      <c r="I381" s="48">
        <v>0</v>
      </c>
      <c r="J381" s="68">
        <v>0</v>
      </c>
      <c r="K381" s="49">
        <f t="shared" si="82"/>
        <v>0</v>
      </c>
      <c r="L381" s="61"/>
      <c r="M381" s="61"/>
      <c r="N381" s="61"/>
    </row>
    <row r="382" spans="1:14" ht="21.75" customHeight="1" x14ac:dyDescent="0.4">
      <c r="A382" s="249"/>
      <c r="B382" s="250"/>
      <c r="C382" s="250"/>
      <c r="D382" s="251"/>
      <c r="E382" s="75"/>
      <c r="F382" s="74" t="s">
        <v>159</v>
      </c>
      <c r="G382" s="266"/>
      <c r="H382" s="267" t="s">
        <v>103</v>
      </c>
      <c r="I382" s="265">
        <v>0</v>
      </c>
      <c r="J382" s="265">
        <f t="shared" ref="J382:J383" si="86">J384+J386</f>
        <v>0</v>
      </c>
      <c r="K382" s="80">
        <f t="shared" si="82"/>
        <v>0</v>
      </c>
      <c r="L382" s="61"/>
      <c r="M382" s="61"/>
      <c r="N382" s="61"/>
    </row>
    <row r="383" spans="1:14" ht="21.75" customHeight="1" x14ac:dyDescent="0.4">
      <c r="A383" s="249"/>
      <c r="B383" s="250"/>
      <c r="C383" s="250"/>
      <c r="D383" s="251"/>
      <c r="E383" s="75"/>
      <c r="F383" s="75"/>
      <c r="G383" s="75"/>
      <c r="H383" s="267" t="s">
        <v>15</v>
      </c>
      <c r="I383" s="265">
        <v>0</v>
      </c>
      <c r="J383" s="265">
        <f t="shared" si="86"/>
        <v>0</v>
      </c>
      <c r="K383" s="80">
        <f t="shared" si="82"/>
        <v>0</v>
      </c>
      <c r="L383" s="61"/>
      <c r="M383" s="61"/>
      <c r="N383" s="61"/>
    </row>
    <row r="384" spans="1:14" ht="21.75" customHeight="1" x14ac:dyDescent="0.4">
      <c r="A384" s="249"/>
      <c r="B384" s="250"/>
      <c r="C384" s="250"/>
      <c r="D384" s="251"/>
      <c r="E384" s="75"/>
      <c r="F384" s="75"/>
      <c r="G384" s="74" t="s">
        <v>160</v>
      </c>
      <c r="H384" s="267" t="s">
        <v>103</v>
      </c>
      <c r="I384" s="48">
        <v>0</v>
      </c>
      <c r="J384" s="68">
        <v>0</v>
      </c>
      <c r="K384" s="49">
        <f t="shared" si="82"/>
        <v>0</v>
      </c>
      <c r="L384" s="61"/>
      <c r="M384" s="61"/>
      <c r="N384" s="61"/>
    </row>
    <row r="385" spans="1:14" ht="21.75" customHeight="1" x14ac:dyDescent="0.4">
      <c r="A385" s="249"/>
      <c r="B385" s="250"/>
      <c r="C385" s="250"/>
      <c r="D385" s="251"/>
      <c r="E385" s="75"/>
      <c r="F385" s="75"/>
      <c r="G385" s="75"/>
      <c r="H385" s="267" t="s">
        <v>15</v>
      </c>
      <c r="I385" s="48">
        <v>0</v>
      </c>
      <c r="J385" s="68">
        <v>0</v>
      </c>
      <c r="K385" s="49">
        <f t="shared" si="82"/>
        <v>0</v>
      </c>
      <c r="L385" s="61"/>
      <c r="M385" s="61"/>
      <c r="N385" s="61"/>
    </row>
    <row r="386" spans="1:14" ht="21.75" customHeight="1" x14ac:dyDescent="0.4">
      <c r="A386" s="249"/>
      <c r="B386" s="250"/>
      <c r="C386" s="250"/>
      <c r="D386" s="251"/>
      <c r="E386" s="75"/>
      <c r="F386" s="75"/>
      <c r="G386" s="74" t="s">
        <v>161</v>
      </c>
      <c r="H386" s="267" t="s">
        <v>103</v>
      </c>
      <c r="I386" s="48">
        <v>0</v>
      </c>
      <c r="J386" s="68">
        <v>0</v>
      </c>
      <c r="K386" s="49">
        <f t="shared" si="82"/>
        <v>0</v>
      </c>
      <c r="L386" s="61"/>
      <c r="M386" s="61"/>
      <c r="N386" s="61"/>
    </row>
    <row r="387" spans="1:14" ht="21.75" customHeight="1" x14ac:dyDescent="0.4">
      <c r="A387" s="249"/>
      <c r="B387" s="250"/>
      <c r="C387" s="250"/>
      <c r="D387" s="251"/>
      <c r="E387" s="75"/>
      <c r="F387" s="75"/>
      <c r="G387" s="76"/>
      <c r="H387" s="267" t="s">
        <v>15</v>
      </c>
      <c r="I387" s="48">
        <v>0</v>
      </c>
      <c r="J387" s="68">
        <v>0</v>
      </c>
      <c r="K387" s="49">
        <f t="shared" si="82"/>
        <v>0</v>
      </c>
      <c r="L387" s="61"/>
      <c r="M387" s="61"/>
      <c r="N387" s="61"/>
    </row>
    <row r="388" spans="1:14" ht="21.75" customHeight="1" x14ac:dyDescent="0.4">
      <c r="A388" s="249"/>
      <c r="B388" s="250"/>
      <c r="C388" s="250"/>
      <c r="D388" s="251"/>
      <c r="E388" s="75"/>
      <c r="F388" s="74" t="s">
        <v>162</v>
      </c>
      <c r="G388" s="266"/>
      <c r="H388" s="267" t="s">
        <v>103</v>
      </c>
      <c r="I388" s="48">
        <v>0</v>
      </c>
      <c r="J388" s="68">
        <v>0</v>
      </c>
      <c r="K388" s="49">
        <f t="shared" si="82"/>
        <v>0</v>
      </c>
      <c r="L388" s="61"/>
      <c r="M388" s="61"/>
      <c r="N388" s="61"/>
    </row>
    <row r="389" spans="1:14" ht="21.75" customHeight="1" x14ac:dyDescent="0.4">
      <c r="A389" s="276"/>
      <c r="B389" s="277"/>
      <c r="C389" s="277"/>
      <c r="D389" s="278"/>
      <c r="E389" s="204"/>
      <c r="F389" s="204"/>
      <c r="G389" s="204"/>
      <c r="H389" s="279" t="s">
        <v>15</v>
      </c>
      <c r="I389" s="384">
        <v>0</v>
      </c>
      <c r="J389" s="68">
        <v>0</v>
      </c>
      <c r="K389" s="49">
        <f t="shared" si="82"/>
        <v>0</v>
      </c>
      <c r="L389" s="115"/>
      <c r="M389" s="115"/>
      <c r="N389" s="115"/>
    </row>
    <row r="390" spans="1:14" ht="21.75" customHeight="1" x14ac:dyDescent="0.4">
      <c r="A390" s="55"/>
      <c r="B390" s="56"/>
      <c r="C390" s="261" t="s">
        <v>163</v>
      </c>
      <c r="D390" s="261"/>
      <c r="E390" s="262"/>
      <c r="F390" s="262"/>
      <c r="G390" s="263"/>
      <c r="H390" s="136" t="s">
        <v>103</v>
      </c>
      <c r="I390" s="137">
        <f ca="1">IFERROR(__xludf.DUMMYFUNCTION("IMPORTRANGE(""https://docs.google.com/spreadsheets/d/1C3CXT74ZlgGe6_JY_1olB1XN4rF0dxEuIIF-xsYjHgg/edit?usp=sharing"",""งบกองทุน!cd35"")"),46)</f>
        <v>46</v>
      </c>
      <c r="J390" s="137">
        <f>J391</f>
        <v>0</v>
      </c>
      <c r="K390" s="138">
        <f t="shared" ca="1" si="82"/>
        <v>0</v>
      </c>
      <c r="L390" s="140"/>
      <c r="M390" s="140"/>
      <c r="N390" s="140"/>
    </row>
    <row r="391" spans="1:14" ht="21.75" customHeight="1" x14ac:dyDescent="0.4">
      <c r="A391" s="55"/>
      <c r="B391" s="56"/>
      <c r="C391" s="56"/>
      <c r="D391" s="251"/>
      <c r="E391" s="280" t="s">
        <v>164</v>
      </c>
      <c r="F391" s="281"/>
      <c r="G391" s="282"/>
      <c r="H391" s="283" t="s">
        <v>103</v>
      </c>
      <c r="I391" s="79">
        <f ca="1">IFERROR(__xludf.DUMMYFUNCTION("IMPORTRANGE(""https://docs.google.com/spreadsheets/d/1C3CXT74ZlgGe6_JY_1olB1XN4rF0dxEuIIF-xsYjHgg/edit?usp=sharing"",""งบกองทุน!cd35"")"),46)</f>
        <v>46</v>
      </c>
      <c r="J391" s="265">
        <f t="shared" ref="J391:J392" si="87">J393+J401+J407</f>
        <v>0</v>
      </c>
      <c r="K391" s="362">
        <f t="shared" ca="1" si="82"/>
        <v>0</v>
      </c>
      <c r="L391" s="61"/>
      <c r="M391" s="61"/>
      <c r="N391" s="61"/>
    </row>
    <row r="392" spans="1:14" ht="21.75" customHeight="1" x14ac:dyDescent="0.4">
      <c r="A392" s="55"/>
      <c r="B392" s="56"/>
      <c r="C392" s="56"/>
      <c r="D392" s="73"/>
      <c r="E392" s="281"/>
      <c r="F392" s="281"/>
      <c r="G392" s="282"/>
      <c r="H392" s="283" t="s">
        <v>15</v>
      </c>
      <c r="I392" s="79">
        <f ca="1">IFERROR(__xludf.DUMMYFUNCTION("IMPORTRANGE(""https://docs.google.com/spreadsheets/d/1C3CXT74ZlgGe6_JY_1olB1XN4rF0dxEuIIF-xsYjHgg/edit?usp=sharing"",""งบกองทุน!cc35"")"),8)</f>
        <v>8</v>
      </c>
      <c r="J392" s="265">
        <f t="shared" si="87"/>
        <v>0</v>
      </c>
      <c r="K392" s="362">
        <f t="shared" ca="1" si="82"/>
        <v>0</v>
      </c>
      <c r="L392" s="61"/>
      <c r="M392" s="61"/>
      <c r="N392" s="61"/>
    </row>
    <row r="393" spans="1:14" ht="21.75" customHeight="1" x14ac:dyDescent="0.4">
      <c r="A393" s="55"/>
      <c r="B393" s="56"/>
      <c r="C393" s="56"/>
      <c r="D393" s="251"/>
      <c r="E393" s="251" t="s">
        <v>165</v>
      </c>
      <c r="F393" s="75"/>
      <c r="G393" s="76"/>
      <c r="H393" s="267" t="s">
        <v>103</v>
      </c>
      <c r="I393" s="48">
        <v>0</v>
      </c>
      <c r="J393" s="48">
        <f t="shared" ref="J393:J394" si="88">J395+J397+J399</f>
        <v>0</v>
      </c>
      <c r="K393" s="233">
        <f t="shared" si="82"/>
        <v>0</v>
      </c>
      <c r="L393" s="61"/>
      <c r="M393" s="61"/>
      <c r="N393" s="61"/>
    </row>
    <row r="394" spans="1:14" ht="21.75" customHeight="1" x14ac:dyDescent="0.4">
      <c r="A394" s="55"/>
      <c r="B394" s="56"/>
      <c r="C394" s="56"/>
      <c r="D394" s="73"/>
      <c r="E394" s="75"/>
      <c r="F394" s="75"/>
      <c r="G394" s="76"/>
      <c r="H394" s="267" t="s">
        <v>15</v>
      </c>
      <c r="I394" s="48">
        <v>0</v>
      </c>
      <c r="J394" s="48">
        <f t="shared" si="88"/>
        <v>0</v>
      </c>
      <c r="K394" s="233">
        <f t="shared" si="82"/>
        <v>0</v>
      </c>
      <c r="L394" s="61"/>
      <c r="M394" s="61"/>
      <c r="N394" s="61"/>
    </row>
    <row r="395" spans="1:14" ht="21.75" customHeight="1" x14ac:dyDescent="0.4">
      <c r="A395" s="55"/>
      <c r="B395" s="56"/>
      <c r="C395" s="56"/>
      <c r="D395" s="73"/>
      <c r="E395" s="75"/>
      <c r="F395" s="242" t="s">
        <v>166</v>
      </c>
      <c r="G395" s="266"/>
      <c r="H395" s="267" t="s">
        <v>103</v>
      </c>
      <c r="I395" s="48">
        <v>0</v>
      </c>
      <c r="J395" s="68">
        <v>0</v>
      </c>
      <c r="K395" s="233">
        <f t="shared" si="82"/>
        <v>0</v>
      </c>
      <c r="L395" s="61"/>
      <c r="M395" s="61"/>
      <c r="N395" s="61"/>
    </row>
    <row r="396" spans="1:14" ht="21.75" customHeight="1" x14ac:dyDescent="0.4">
      <c r="A396" s="55"/>
      <c r="B396" s="56"/>
      <c r="C396" s="56"/>
      <c r="D396" s="73"/>
      <c r="E396" s="75"/>
      <c r="F396" s="75"/>
      <c r="G396" s="266"/>
      <c r="H396" s="267" t="s">
        <v>15</v>
      </c>
      <c r="I396" s="48">
        <v>0</v>
      </c>
      <c r="J396" s="68">
        <v>0</v>
      </c>
      <c r="K396" s="233">
        <f t="shared" si="82"/>
        <v>0</v>
      </c>
      <c r="L396" s="61"/>
      <c r="M396" s="61"/>
      <c r="N396" s="61"/>
    </row>
    <row r="397" spans="1:14" ht="21.75" customHeight="1" x14ac:dyDescent="0.4">
      <c r="A397" s="55"/>
      <c r="B397" s="56"/>
      <c r="C397" s="56"/>
      <c r="D397" s="73"/>
      <c r="E397" s="75"/>
      <c r="F397" s="242" t="s">
        <v>167</v>
      </c>
      <c r="G397" s="266"/>
      <c r="H397" s="267" t="s">
        <v>103</v>
      </c>
      <c r="I397" s="48">
        <v>0</v>
      </c>
      <c r="J397" s="68">
        <v>0</v>
      </c>
      <c r="K397" s="233">
        <f t="shared" si="82"/>
        <v>0</v>
      </c>
      <c r="L397" s="61"/>
      <c r="M397" s="61"/>
      <c r="N397" s="61"/>
    </row>
    <row r="398" spans="1:14" ht="21.75" customHeight="1" x14ac:dyDescent="0.4">
      <c r="A398" s="55"/>
      <c r="B398" s="56"/>
      <c r="C398" s="56"/>
      <c r="D398" s="73"/>
      <c r="E398" s="75"/>
      <c r="F398" s="75"/>
      <c r="G398" s="266"/>
      <c r="H398" s="267" t="s">
        <v>15</v>
      </c>
      <c r="I398" s="48">
        <v>0</v>
      </c>
      <c r="J398" s="68">
        <v>0</v>
      </c>
      <c r="K398" s="233">
        <f t="shared" si="82"/>
        <v>0</v>
      </c>
      <c r="L398" s="61"/>
      <c r="M398" s="61"/>
      <c r="N398" s="61"/>
    </row>
    <row r="399" spans="1:14" ht="21.75" customHeight="1" x14ac:dyDescent="0.4">
      <c r="A399" s="55"/>
      <c r="B399" s="56"/>
      <c r="C399" s="56"/>
      <c r="D399" s="73"/>
      <c r="E399" s="75"/>
      <c r="F399" s="242" t="s">
        <v>168</v>
      </c>
      <c r="G399" s="266"/>
      <c r="H399" s="267" t="s">
        <v>103</v>
      </c>
      <c r="I399" s="48">
        <v>0</v>
      </c>
      <c r="J399" s="68">
        <v>0</v>
      </c>
      <c r="K399" s="233">
        <f t="shared" si="82"/>
        <v>0</v>
      </c>
      <c r="L399" s="61"/>
      <c r="M399" s="61"/>
      <c r="N399" s="61"/>
    </row>
    <row r="400" spans="1:14" ht="21.75" customHeight="1" x14ac:dyDescent="0.4">
      <c r="A400" s="55"/>
      <c r="B400" s="56"/>
      <c r="C400" s="56"/>
      <c r="D400" s="73"/>
      <c r="E400" s="75"/>
      <c r="F400" s="75"/>
      <c r="G400" s="75"/>
      <c r="H400" s="267" t="s">
        <v>15</v>
      </c>
      <c r="I400" s="48">
        <v>0</v>
      </c>
      <c r="J400" s="68">
        <v>0</v>
      </c>
      <c r="K400" s="233">
        <f t="shared" si="82"/>
        <v>0</v>
      </c>
      <c r="L400" s="61"/>
      <c r="M400" s="61"/>
      <c r="N400" s="61"/>
    </row>
    <row r="401" spans="1:14" ht="21.75" customHeight="1" x14ac:dyDescent="0.4">
      <c r="A401" s="55"/>
      <c r="B401" s="56"/>
      <c r="C401" s="56"/>
      <c r="D401" s="73"/>
      <c r="E401" s="74" t="s">
        <v>169</v>
      </c>
      <c r="F401" s="75"/>
      <c r="G401" s="266"/>
      <c r="H401" s="267" t="s">
        <v>103</v>
      </c>
      <c r="I401" s="48">
        <v>0</v>
      </c>
      <c r="J401" s="48">
        <f t="shared" ref="J401:J402" si="89">+J403+J405</f>
        <v>0</v>
      </c>
      <c r="K401" s="233">
        <f t="shared" si="82"/>
        <v>0</v>
      </c>
      <c r="L401" s="61"/>
      <c r="M401" s="61"/>
      <c r="N401" s="61"/>
    </row>
    <row r="402" spans="1:14" ht="21.75" customHeight="1" x14ac:dyDescent="0.4">
      <c r="A402" s="55"/>
      <c r="B402" s="56"/>
      <c r="C402" s="56"/>
      <c r="D402" s="73"/>
      <c r="E402" s="75"/>
      <c r="F402" s="75"/>
      <c r="G402" s="75"/>
      <c r="H402" s="267" t="s">
        <v>15</v>
      </c>
      <c r="I402" s="48">
        <v>0</v>
      </c>
      <c r="J402" s="48">
        <f t="shared" si="89"/>
        <v>0</v>
      </c>
      <c r="K402" s="233">
        <f t="shared" si="82"/>
        <v>0</v>
      </c>
      <c r="L402" s="61"/>
      <c r="M402" s="61"/>
      <c r="N402" s="61"/>
    </row>
    <row r="403" spans="1:14" ht="21.75" customHeight="1" x14ac:dyDescent="0.4">
      <c r="A403" s="55"/>
      <c r="B403" s="56"/>
      <c r="C403" s="56"/>
      <c r="D403" s="73"/>
      <c r="E403" s="75"/>
      <c r="F403" s="74" t="s">
        <v>170</v>
      </c>
      <c r="G403" s="75"/>
      <c r="H403" s="267" t="s">
        <v>103</v>
      </c>
      <c r="I403" s="48">
        <v>0</v>
      </c>
      <c r="J403" s="68">
        <v>0</v>
      </c>
      <c r="K403" s="233">
        <f t="shared" si="82"/>
        <v>0</v>
      </c>
      <c r="L403" s="61"/>
      <c r="M403" s="61"/>
      <c r="N403" s="61"/>
    </row>
    <row r="404" spans="1:14" ht="21.75" customHeight="1" x14ac:dyDescent="0.4">
      <c r="A404" s="55"/>
      <c r="B404" s="56"/>
      <c r="C404" s="56"/>
      <c r="D404" s="73"/>
      <c r="E404" s="75"/>
      <c r="F404" s="75"/>
      <c r="G404" s="75"/>
      <c r="H404" s="267" t="s">
        <v>15</v>
      </c>
      <c r="I404" s="48">
        <v>0</v>
      </c>
      <c r="J404" s="68">
        <v>0</v>
      </c>
      <c r="K404" s="233">
        <f t="shared" si="82"/>
        <v>0</v>
      </c>
      <c r="L404" s="61"/>
      <c r="M404" s="61"/>
      <c r="N404" s="61"/>
    </row>
    <row r="405" spans="1:14" ht="21.75" customHeight="1" x14ac:dyDescent="0.4">
      <c r="A405" s="55"/>
      <c r="B405" s="56"/>
      <c r="C405" s="56"/>
      <c r="D405" s="73"/>
      <c r="E405" s="75"/>
      <c r="F405" s="74" t="s">
        <v>171</v>
      </c>
      <c r="G405" s="75"/>
      <c r="H405" s="267" t="s">
        <v>103</v>
      </c>
      <c r="I405" s="48">
        <v>0</v>
      </c>
      <c r="J405" s="68">
        <v>0</v>
      </c>
      <c r="K405" s="233">
        <f t="shared" si="82"/>
        <v>0</v>
      </c>
      <c r="L405" s="61"/>
      <c r="M405" s="61"/>
      <c r="N405" s="61"/>
    </row>
    <row r="406" spans="1:14" ht="21.75" customHeight="1" x14ac:dyDescent="0.4">
      <c r="A406" s="55"/>
      <c r="B406" s="56"/>
      <c r="C406" s="56"/>
      <c r="D406" s="73"/>
      <c r="E406" s="75"/>
      <c r="F406" s="75"/>
      <c r="G406" s="76"/>
      <c r="H406" s="267" t="s">
        <v>15</v>
      </c>
      <c r="I406" s="48">
        <v>0</v>
      </c>
      <c r="J406" s="68">
        <v>0</v>
      </c>
      <c r="K406" s="233">
        <f t="shared" si="82"/>
        <v>0</v>
      </c>
      <c r="L406" s="61"/>
      <c r="M406" s="61"/>
      <c r="N406" s="61"/>
    </row>
    <row r="407" spans="1:14" ht="21.75" customHeight="1" x14ac:dyDescent="0.4">
      <c r="A407" s="55"/>
      <c r="B407" s="56"/>
      <c r="C407" s="56"/>
      <c r="D407" s="251"/>
      <c r="E407" s="251" t="s">
        <v>225</v>
      </c>
      <c r="F407" s="75"/>
      <c r="G407" s="76"/>
      <c r="H407" s="267" t="s">
        <v>103</v>
      </c>
      <c r="I407" s="48">
        <v>0</v>
      </c>
      <c r="J407" s="68">
        <v>0</v>
      </c>
      <c r="K407" s="233">
        <f t="shared" si="82"/>
        <v>0</v>
      </c>
      <c r="L407" s="61"/>
      <c r="M407" s="61"/>
      <c r="N407" s="61"/>
    </row>
    <row r="408" spans="1:14" ht="21.75" customHeight="1" x14ac:dyDescent="0.4">
      <c r="A408" s="55"/>
      <c r="B408" s="56"/>
      <c r="C408" s="56"/>
      <c r="D408" s="73"/>
      <c r="E408" s="75"/>
      <c r="F408" s="75"/>
      <c r="G408" s="76"/>
      <c r="H408" s="267" t="s">
        <v>15</v>
      </c>
      <c r="I408" s="48">
        <v>0</v>
      </c>
      <c r="J408" s="68">
        <v>0</v>
      </c>
      <c r="K408" s="233">
        <f t="shared" si="82"/>
        <v>0</v>
      </c>
      <c r="L408" s="61"/>
      <c r="M408" s="61"/>
      <c r="N408" s="61"/>
    </row>
    <row r="409" spans="1:14" ht="21.75" customHeight="1" x14ac:dyDescent="0.4">
      <c r="A409" s="55"/>
      <c r="B409" s="56"/>
      <c r="C409" s="261" t="s">
        <v>173</v>
      </c>
      <c r="D409" s="261"/>
      <c r="E409" s="285"/>
      <c r="F409" s="285"/>
      <c r="G409" s="286"/>
      <c r="H409" s="287" t="s">
        <v>103</v>
      </c>
      <c r="I409" s="137">
        <f ca="1">IFERROR(__xludf.DUMMYFUNCTION("IMPORTRANGE(""https://docs.google.com/spreadsheets/d/1C3CXT74ZlgGe6_JY_1olB1XN4rF0dxEuIIF-xsYjHgg/edit?usp=sharing"",""งบกองทุน!cz35"")"),0)</f>
        <v>0</v>
      </c>
      <c r="J409" s="137">
        <f ca="1">+J412+J414</f>
        <v>0</v>
      </c>
      <c r="K409" s="138">
        <f t="shared" ca="1" si="82"/>
        <v>0</v>
      </c>
      <c r="L409" s="61"/>
      <c r="M409" s="61"/>
      <c r="N409" s="61"/>
    </row>
    <row r="410" spans="1:14" ht="21.75" customHeight="1" x14ac:dyDescent="0.4">
      <c r="A410" s="55"/>
      <c r="B410" s="56"/>
      <c r="C410" s="288"/>
      <c r="D410" s="288"/>
      <c r="E410" s="288" t="s">
        <v>174</v>
      </c>
      <c r="F410" s="289"/>
      <c r="G410" s="290"/>
      <c r="H410" s="363" t="s">
        <v>103</v>
      </c>
      <c r="I410" s="150">
        <f ca="1">IFERROR(__xludf.DUMMYFUNCTION("IMPORTRANGE(""https://docs.google.com/spreadsheets/d/1C3CXT74ZlgGe6_JY_1olB1XN4rF0dxEuIIF-xsYjHgg/edit?usp=sharing"",""งบกองทุน!cz35"")"),0)</f>
        <v>0</v>
      </c>
      <c r="J410" s="150">
        <f t="shared" ref="J410:J411" ca="1" si="90">SUM(J412,J414)</f>
        <v>0</v>
      </c>
      <c r="K410" s="151">
        <f t="shared" ca="1" si="82"/>
        <v>0</v>
      </c>
      <c r="L410" s="61"/>
      <c r="M410" s="61"/>
      <c r="N410" s="61"/>
    </row>
    <row r="411" spans="1:14" ht="21.75" customHeight="1" x14ac:dyDescent="0.4">
      <c r="A411" s="55"/>
      <c r="B411" s="56"/>
      <c r="C411" s="288"/>
      <c r="D411" s="288"/>
      <c r="E411" s="288" t="s">
        <v>175</v>
      </c>
      <c r="F411" s="289"/>
      <c r="G411" s="290"/>
      <c r="H411" s="363" t="s">
        <v>15</v>
      </c>
      <c r="I411" s="150">
        <f ca="1">IFERROR(__xludf.DUMMYFUNCTION("IMPORTRANGE(""https://docs.google.com/spreadsheets/d/1C3CXT74ZlgGe6_JY_1olB1XN4rF0dxEuIIF-xsYjHgg/edit?usp=sharing"",""งบกองทุน!cy35"")"),0)</f>
        <v>0</v>
      </c>
      <c r="J411" s="150">
        <f t="shared" ca="1" si="90"/>
        <v>0</v>
      </c>
      <c r="K411" s="151">
        <f t="shared" ca="1" si="82"/>
        <v>0</v>
      </c>
      <c r="L411" s="61"/>
      <c r="M411" s="61"/>
      <c r="N411" s="61"/>
    </row>
    <row r="412" spans="1:14" ht="21.75" customHeight="1" x14ac:dyDescent="0.4">
      <c r="A412" s="55"/>
      <c r="B412" s="56"/>
      <c r="C412" s="56"/>
      <c r="D412" s="73"/>
      <c r="E412" s="75"/>
      <c r="F412" s="75"/>
      <c r="G412" s="99" t="s">
        <v>176</v>
      </c>
      <c r="H412" s="364" t="s">
        <v>103</v>
      </c>
      <c r="I412" s="365">
        <v>0</v>
      </c>
      <c r="J412" s="366">
        <f ca="1">IFERROR(__xludf.DUMMYFUNCTION("IMPORTRANGE(""https://docs.google.com/spreadsheets/d/1C3CXT74ZlgGe6_JY_1olB1XN4rF0dxEuIIF-xsYjHgg/edit?usp=sharing"",""งบกองทุน!db35"")"),0)</f>
        <v>0</v>
      </c>
      <c r="K412" s="367">
        <f t="shared" si="82"/>
        <v>0</v>
      </c>
      <c r="L412" s="61"/>
      <c r="M412" s="61"/>
      <c r="N412" s="61"/>
    </row>
    <row r="413" spans="1:14" ht="21.75" customHeight="1" x14ac:dyDescent="0.4">
      <c r="A413" s="55"/>
      <c r="B413" s="56"/>
      <c r="C413" s="56"/>
      <c r="D413" s="73"/>
      <c r="E413" s="75"/>
      <c r="F413" s="75"/>
      <c r="G413" s="76"/>
      <c r="H413" s="364" t="s">
        <v>15</v>
      </c>
      <c r="I413" s="365">
        <v>0</v>
      </c>
      <c r="J413" s="366">
        <f ca="1">IFERROR(__xludf.DUMMYFUNCTION("IMPORTRANGE(""https://docs.google.com/spreadsheets/d/1C3CXT74ZlgGe6_JY_1olB1XN4rF0dxEuIIF-xsYjHgg/edit?usp=sharing"",""งบกองทุน!da35"")"),0)</f>
        <v>0</v>
      </c>
      <c r="K413" s="367">
        <f t="shared" si="82"/>
        <v>0</v>
      </c>
      <c r="L413" s="61"/>
      <c r="M413" s="61"/>
      <c r="N413" s="61"/>
    </row>
    <row r="414" spans="1:14" ht="21.75" customHeight="1" x14ac:dyDescent="0.4">
      <c r="A414" s="55"/>
      <c r="B414" s="56"/>
      <c r="C414" s="56"/>
      <c r="D414" s="73"/>
      <c r="E414" s="75"/>
      <c r="F414" s="75"/>
      <c r="G414" s="99" t="s">
        <v>177</v>
      </c>
      <c r="H414" s="364" t="s">
        <v>103</v>
      </c>
      <c r="I414" s="365">
        <v>0</v>
      </c>
      <c r="J414" s="366">
        <f ca="1">IFERROR(__xludf.DUMMYFUNCTION("IMPORTRANGE(""https://docs.google.com/spreadsheets/d/1C3CXT74ZlgGe6_JY_1olB1XN4rF0dxEuIIF-xsYjHgg/edit?usp=sharing"",""งบกองทุน!dd35"")"),0)</f>
        <v>0</v>
      </c>
      <c r="K414" s="367">
        <f t="shared" si="82"/>
        <v>0</v>
      </c>
      <c r="L414" s="61"/>
      <c r="M414" s="61"/>
      <c r="N414" s="61"/>
    </row>
    <row r="415" spans="1:14" ht="21.75" customHeight="1" x14ac:dyDescent="0.4">
      <c r="A415" s="55"/>
      <c r="B415" s="56"/>
      <c r="C415" s="56"/>
      <c r="D415" s="73"/>
      <c r="E415" s="75"/>
      <c r="F415" s="75"/>
      <c r="G415" s="76"/>
      <c r="H415" s="364" t="s">
        <v>15</v>
      </c>
      <c r="I415" s="365">
        <v>0</v>
      </c>
      <c r="J415" s="366">
        <f ca="1">IFERROR(__xludf.DUMMYFUNCTION("IMPORTRANGE(""https://docs.google.com/spreadsheets/d/1C3CXT74ZlgGe6_JY_1olB1XN4rF0dxEuIIF-xsYjHgg/edit?usp=sharing"",""งบกองทุน!dc35"")"),0)</f>
        <v>0</v>
      </c>
      <c r="K415" s="367">
        <f t="shared" si="82"/>
        <v>0</v>
      </c>
      <c r="L415" s="61"/>
      <c r="M415" s="61"/>
      <c r="N415" s="61"/>
    </row>
    <row r="416" spans="1:14" ht="21.75" customHeight="1" x14ac:dyDescent="0.4">
      <c r="A416" s="55"/>
      <c r="B416" s="56"/>
      <c r="C416" s="56"/>
      <c r="D416" s="73"/>
      <c r="E416" s="75"/>
      <c r="F416" s="75"/>
      <c r="G416" s="99" t="s">
        <v>178</v>
      </c>
      <c r="H416" s="364" t="s">
        <v>103</v>
      </c>
      <c r="I416" s="365">
        <v>0</v>
      </c>
      <c r="J416" s="366">
        <f ca="1">IFERROR(__xludf.DUMMYFUNCTION("IMPORTRANGE(""https://docs.google.com/spreadsheets/d/1C3CXT74ZlgGe6_JY_1olB1XN4rF0dxEuIIF-xsYjHgg/edit?usp=sharing"",""งบกองทุน!df35"")"),0)</f>
        <v>0</v>
      </c>
      <c r="K416" s="367">
        <f t="shared" si="82"/>
        <v>0</v>
      </c>
      <c r="L416" s="61"/>
      <c r="M416" s="61"/>
      <c r="N416" s="61"/>
    </row>
    <row r="417" spans="1:14" ht="21.75" customHeight="1" x14ac:dyDescent="0.4">
      <c r="A417" s="55"/>
      <c r="B417" s="56"/>
      <c r="C417" s="56"/>
      <c r="D417" s="73"/>
      <c r="E417" s="75"/>
      <c r="F417" s="75"/>
      <c r="G417" s="76"/>
      <c r="H417" s="364" t="s">
        <v>15</v>
      </c>
      <c r="I417" s="365">
        <v>0</v>
      </c>
      <c r="J417" s="366">
        <f ca="1">IFERROR(__xludf.DUMMYFUNCTION("IMPORTRANGE(""https://docs.google.com/spreadsheets/d/1C3CXT74ZlgGe6_JY_1olB1XN4rF0dxEuIIF-xsYjHgg/edit?usp=sharing"",""งบกองทุน!de35"")"),0)</f>
        <v>0</v>
      </c>
      <c r="K417" s="367">
        <f t="shared" si="82"/>
        <v>0</v>
      </c>
      <c r="L417" s="61"/>
      <c r="M417" s="61"/>
      <c r="N417" s="61"/>
    </row>
    <row r="418" spans="1:14" ht="21.75" customHeight="1" x14ac:dyDescent="0.4">
      <c r="A418" s="55"/>
      <c r="B418" s="56"/>
      <c r="C418" s="288"/>
      <c r="D418" s="288"/>
      <c r="E418" s="288" t="s">
        <v>179</v>
      </c>
      <c r="F418" s="289"/>
      <c r="G418" s="290"/>
      <c r="H418" s="363" t="s">
        <v>103</v>
      </c>
      <c r="I418" s="368">
        <f t="shared" ref="I418:I419" ca="1" si="91">J416</f>
        <v>0</v>
      </c>
      <c r="J418" s="150">
        <f t="shared" ref="J418:J419" si="92">SUM(J420,J422,J424)</f>
        <v>0</v>
      </c>
      <c r="K418" s="369">
        <f t="shared" ca="1" si="82"/>
        <v>0</v>
      </c>
      <c r="L418" s="61"/>
      <c r="M418" s="61"/>
      <c r="N418" s="61"/>
    </row>
    <row r="419" spans="1:14" ht="21.75" customHeight="1" x14ac:dyDescent="0.4">
      <c r="A419" s="55"/>
      <c r="B419" s="56"/>
      <c r="C419" s="288"/>
      <c r="D419" s="288"/>
      <c r="E419" s="288" t="s">
        <v>180</v>
      </c>
      <c r="F419" s="289"/>
      <c r="G419" s="290"/>
      <c r="H419" s="363" t="s">
        <v>15</v>
      </c>
      <c r="I419" s="368">
        <f t="shared" ca="1" si="91"/>
        <v>0</v>
      </c>
      <c r="J419" s="150">
        <f t="shared" si="92"/>
        <v>0</v>
      </c>
      <c r="K419" s="369">
        <f t="shared" ca="1" si="82"/>
        <v>0</v>
      </c>
      <c r="L419" s="61"/>
      <c r="M419" s="61"/>
      <c r="N419" s="61"/>
    </row>
    <row r="420" spans="1:14" ht="21.75" customHeight="1" x14ac:dyDescent="0.4">
      <c r="A420" s="55"/>
      <c r="B420" s="56"/>
      <c r="C420" s="56"/>
      <c r="D420" s="73"/>
      <c r="E420" s="75"/>
      <c r="F420" s="75"/>
      <c r="G420" s="99" t="s">
        <v>176</v>
      </c>
      <c r="H420" s="364" t="s">
        <v>103</v>
      </c>
      <c r="I420" s="365">
        <v>0</v>
      </c>
      <c r="J420" s="68">
        <v>0</v>
      </c>
      <c r="K420" s="370">
        <f t="shared" si="82"/>
        <v>0</v>
      </c>
      <c r="L420" s="61"/>
      <c r="M420" s="61"/>
      <c r="N420" s="61"/>
    </row>
    <row r="421" spans="1:14" ht="21.75" customHeight="1" x14ac:dyDescent="0.4">
      <c r="A421" s="55"/>
      <c r="B421" s="56"/>
      <c r="C421" s="56"/>
      <c r="D421" s="73"/>
      <c r="E421" s="75"/>
      <c r="F421" s="75"/>
      <c r="G421" s="76"/>
      <c r="H421" s="364" t="s">
        <v>15</v>
      </c>
      <c r="I421" s="365">
        <v>0</v>
      </c>
      <c r="J421" s="68">
        <v>0</v>
      </c>
      <c r="K421" s="370">
        <f t="shared" si="82"/>
        <v>0</v>
      </c>
      <c r="L421" s="61"/>
      <c r="M421" s="61"/>
      <c r="N421" s="61"/>
    </row>
    <row r="422" spans="1:14" ht="21.75" customHeight="1" x14ac:dyDescent="0.4">
      <c r="A422" s="55"/>
      <c r="B422" s="56"/>
      <c r="C422" s="56"/>
      <c r="D422" s="73"/>
      <c r="E422" s="75"/>
      <c r="F422" s="75"/>
      <c r="G422" s="99" t="s">
        <v>177</v>
      </c>
      <c r="H422" s="364" t="s">
        <v>103</v>
      </c>
      <c r="I422" s="365">
        <v>0</v>
      </c>
      <c r="J422" s="68">
        <v>0</v>
      </c>
      <c r="K422" s="370">
        <f t="shared" si="82"/>
        <v>0</v>
      </c>
      <c r="L422" s="61"/>
      <c r="M422" s="61"/>
      <c r="N422" s="61"/>
    </row>
    <row r="423" spans="1:14" ht="21.75" customHeight="1" x14ac:dyDescent="0.4">
      <c r="A423" s="55"/>
      <c r="B423" s="56"/>
      <c r="C423" s="56"/>
      <c r="D423" s="73"/>
      <c r="E423" s="75"/>
      <c r="F423" s="75"/>
      <c r="G423" s="76"/>
      <c r="H423" s="364" t="s">
        <v>15</v>
      </c>
      <c r="I423" s="365">
        <v>0</v>
      </c>
      <c r="J423" s="68">
        <v>0</v>
      </c>
      <c r="K423" s="370">
        <f t="shared" si="82"/>
        <v>0</v>
      </c>
      <c r="L423" s="61"/>
      <c r="M423" s="61"/>
      <c r="N423" s="61"/>
    </row>
    <row r="424" spans="1:14" ht="21.75" customHeight="1" x14ac:dyDescent="0.4">
      <c r="A424" s="55"/>
      <c r="B424" s="56"/>
      <c r="C424" s="56"/>
      <c r="D424" s="73"/>
      <c r="E424" s="75"/>
      <c r="F424" s="75"/>
      <c r="G424" s="99" t="s">
        <v>181</v>
      </c>
      <c r="H424" s="364" t="s">
        <v>103</v>
      </c>
      <c r="I424" s="365">
        <v>0</v>
      </c>
      <c r="J424" s="68">
        <v>0</v>
      </c>
      <c r="K424" s="370">
        <f t="shared" si="82"/>
        <v>0</v>
      </c>
      <c r="L424" s="61"/>
      <c r="M424" s="61"/>
      <c r="N424" s="61"/>
    </row>
    <row r="425" spans="1:14" ht="21.75" customHeight="1" x14ac:dyDescent="0.4">
      <c r="A425" s="292"/>
      <c r="B425" s="293"/>
      <c r="C425" s="293"/>
      <c r="D425" s="294"/>
      <c r="E425" s="295"/>
      <c r="F425" s="295"/>
      <c r="G425" s="296"/>
      <c r="H425" s="371" t="s">
        <v>15</v>
      </c>
      <c r="I425" s="372">
        <v>0</v>
      </c>
      <c r="J425" s="247">
        <v>0</v>
      </c>
      <c r="K425" s="373">
        <f t="shared" si="82"/>
        <v>0</v>
      </c>
      <c r="L425" s="300"/>
      <c r="M425" s="300"/>
      <c r="N425" s="300"/>
    </row>
    <row r="426" spans="1:14" ht="21.75" customHeight="1" x14ac:dyDescent="0.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374" t="s">
        <v>16</v>
      </c>
      <c r="I426" s="375">
        <f t="shared" ref="I426:J426" ca="1" si="93">I440</f>
        <v>22</v>
      </c>
      <c r="J426" s="375">
        <f t="shared" si="93"/>
        <v>22</v>
      </c>
      <c r="K426" s="301">
        <f ca="1">IF(I426&gt;0,J426*100/I426,0)</f>
        <v>100</v>
      </c>
      <c r="L426" s="259">
        <f t="shared" ref="L426:M426" ca="1" si="94">SUM(L427:L428)</f>
        <v>34340</v>
      </c>
      <c r="M426" s="259">
        <f t="shared" si="94"/>
        <v>21839</v>
      </c>
      <c r="N426" s="259">
        <f t="shared" ref="N426:N430" ca="1" si="95">+IF(L426&gt;0,M426*100/L426,0)</f>
        <v>63.596389050669771</v>
      </c>
    </row>
    <row r="427" spans="1:14" ht="21.75" customHeight="1" x14ac:dyDescent="0.4">
      <c r="A427" s="42"/>
      <c r="B427" s="43"/>
      <c r="C427" s="43" t="s">
        <v>17</v>
      </c>
      <c r="D427" s="44" t="s">
        <v>18</v>
      </c>
      <c r="E427" s="45"/>
      <c r="F427" s="45"/>
      <c r="G427" s="46" t="s">
        <v>19</v>
      </c>
      <c r="H427" s="47" t="s">
        <v>20</v>
      </c>
      <c r="I427" s="48" t="s">
        <v>21</v>
      </c>
      <c r="J427" s="48"/>
      <c r="K427" s="49"/>
      <c r="L427" s="50">
        <v>0</v>
      </c>
      <c r="M427" s="53">
        <v>0</v>
      </c>
      <c r="N427" s="53">
        <f t="shared" si="95"/>
        <v>0</v>
      </c>
    </row>
    <row r="428" spans="1:14" ht="21.75" customHeight="1" x14ac:dyDescent="0.4">
      <c r="A428" s="42"/>
      <c r="B428" s="43"/>
      <c r="C428" s="43"/>
      <c r="D428" s="51"/>
      <c r="E428" s="45"/>
      <c r="F428" s="45" t="s">
        <v>21</v>
      </c>
      <c r="G428" s="46" t="s">
        <v>22</v>
      </c>
      <c r="H428" s="47" t="s">
        <v>20</v>
      </c>
      <c r="I428" s="48"/>
      <c r="J428" s="48"/>
      <c r="K428" s="49"/>
      <c r="L428" s="50">
        <f t="shared" ref="L428:M428" ca="1" si="96">SUM(L429:L430)</f>
        <v>34340</v>
      </c>
      <c r="M428" s="53">
        <f t="shared" si="96"/>
        <v>21839</v>
      </c>
      <c r="N428" s="53">
        <f t="shared" ca="1" si="95"/>
        <v>63.596389050669771</v>
      </c>
    </row>
    <row r="429" spans="1:14" ht="21.75" customHeight="1" x14ac:dyDescent="0.4">
      <c r="A429" s="42"/>
      <c r="B429" s="43"/>
      <c r="C429" s="43"/>
      <c r="D429" s="51"/>
      <c r="E429" s="45"/>
      <c r="F429" s="45"/>
      <c r="G429" s="52" t="s">
        <v>110</v>
      </c>
      <c r="H429" s="47" t="s">
        <v>20</v>
      </c>
      <c r="I429" s="48"/>
      <c r="J429" s="48"/>
      <c r="K429" s="49"/>
      <c r="L429" s="53">
        <f ca="1">IFERROR(__xludf.DUMMYFUNCTION("IMPORTRANGE(""https://docs.google.com/spreadsheets/d/1C3CXT74ZlgGe6_JY_1olB1XN4rF0dxEuIIF-xsYjHgg/edit?usp=sharing"",""งบกองทุน!dn35"")"),0)</f>
        <v>0</v>
      </c>
      <c r="M429" s="53">
        <v>0</v>
      </c>
      <c r="N429" s="53">
        <f t="shared" ca="1" si="95"/>
        <v>0</v>
      </c>
    </row>
    <row r="430" spans="1:14" ht="21.75" customHeight="1" x14ac:dyDescent="0.4">
      <c r="A430" s="42"/>
      <c r="B430" s="43"/>
      <c r="C430" s="43"/>
      <c r="D430" s="51"/>
      <c r="E430" s="45"/>
      <c r="F430" s="45"/>
      <c r="G430" s="52" t="s">
        <v>111</v>
      </c>
      <c r="H430" s="47" t="s">
        <v>20</v>
      </c>
      <c r="I430" s="48"/>
      <c r="J430" s="48"/>
      <c r="K430" s="49"/>
      <c r="L430" s="53">
        <f ca="1">IFERROR(__xludf.DUMMYFUNCTION("IMPORTRANGE(""https://docs.google.com/spreadsheets/d/1C3CXT74ZlgGe6_JY_1olB1XN4rF0dxEuIIF-xsYjHgg/edit?usp=sharing"",""งบกองทุน!do35"")"),34340)</f>
        <v>34340</v>
      </c>
      <c r="M430" s="53">
        <f>SUM(M431:M434)</f>
        <v>21839</v>
      </c>
      <c r="N430" s="53">
        <f t="shared" ca="1" si="95"/>
        <v>63.596389050669771</v>
      </c>
    </row>
    <row r="431" spans="1:14" ht="21.75" customHeight="1" x14ac:dyDescent="0.4">
      <c r="A431" s="230"/>
      <c r="B431" s="231"/>
      <c r="C431" s="43"/>
      <c r="D431" s="232"/>
      <c r="E431" s="45"/>
      <c r="F431" s="45"/>
      <c r="G431" s="46" t="s">
        <v>112</v>
      </c>
      <c r="H431" s="47" t="s">
        <v>20</v>
      </c>
      <c r="I431" s="67"/>
      <c r="J431" s="67"/>
      <c r="K431" s="233"/>
      <c r="L431" s="53"/>
      <c r="M431" s="54">
        <v>18740</v>
      </c>
      <c r="N431" s="53"/>
    </row>
    <row r="432" spans="1:14" ht="21.75" customHeight="1" x14ac:dyDescent="0.4">
      <c r="A432" s="230"/>
      <c r="B432" s="231"/>
      <c r="C432" s="43"/>
      <c r="D432" s="232"/>
      <c r="E432" s="45"/>
      <c r="F432" s="45"/>
      <c r="G432" s="46" t="s">
        <v>113</v>
      </c>
      <c r="H432" s="47" t="s">
        <v>20</v>
      </c>
      <c r="I432" s="67"/>
      <c r="J432" s="67"/>
      <c r="K432" s="233"/>
      <c r="L432" s="53"/>
      <c r="M432" s="54">
        <v>0</v>
      </c>
      <c r="N432" s="53"/>
    </row>
    <row r="433" spans="1:14" ht="21.75" customHeight="1" x14ac:dyDescent="0.4">
      <c r="A433" s="230"/>
      <c r="B433" s="231"/>
      <c r="C433" s="43"/>
      <c r="D433" s="232"/>
      <c r="E433" s="45"/>
      <c r="F433" s="45"/>
      <c r="G433" s="46" t="s">
        <v>114</v>
      </c>
      <c r="H433" s="47" t="s">
        <v>20</v>
      </c>
      <c r="I433" s="67"/>
      <c r="J433" s="67"/>
      <c r="K433" s="233"/>
      <c r="L433" s="53"/>
      <c r="M433" s="54">
        <v>0</v>
      </c>
      <c r="N433" s="53"/>
    </row>
    <row r="434" spans="1:14" ht="21.75" customHeight="1" x14ac:dyDescent="0.4">
      <c r="A434" s="230"/>
      <c r="B434" s="231"/>
      <c r="C434" s="43"/>
      <c r="D434" s="232"/>
      <c r="E434" s="45"/>
      <c r="F434" s="45"/>
      <c r="G434" s="46" t="s">
        <v>115</v>
      </c>
      <c r="H434" s="47" t="s">
        <v>20</v>
      </c>
      <c r="I434" s="67"/>
      <c r="J434" s="67"/>
      <c r="K434" s="233"/>
      <c r="L434" s="53"/>
      <c r="M434" s="54">
        <v>3099</v>
      </c>
      <c r="N434" s="53"/>
    </row>
    <row r="435" spans="1:14" ht="21.75" customHeight="1" x14ac:dyDescent="0.4">
      <c r="A435" s="55"/>
      <c r="B435" s="56"/>
      <c r="C435" s="43" t="s">
        <v>17</v>
      </c>
      <c r="D435" s="57" t="s">
        <v>25</v>
      </c>
      <c r="E435" s="58"/>
      <c r="F435" s="58"/>
      <c r="G435" s="59"/>
      <c r="H435" s="60"/>
      <c r="I435" s="48"/>
      <c r="J435" s="48"/>
      <c r="K435" s="49"/>
      <c r="L435" s="61"/>
      <c r="M435" s="61"/>
      <c r="N435" s="61"/>
    </row>
    <row r="436" spans="1:14" ht="21.75" customHeight="1" x14ac:dyDescent="0.4">
      <c r="A436" s="55"/>
      <c r="B436" s="56"/>
      <c r="C436" s="56"/>
      <c r="D436" s="62">
        <v>1</v>
      </c>
      <c r="E436" s="63" t="s">
        <v>26</v>
      </c>
      <c r="F436" s="64"/>
      <c r="G436" s="65"/>
      <c r="H436" s="66"/>
      <c r="I436" s="67"/>
      <c r="J436" s="68">
        <v>0</v>
      </c>
      <c r="K436" s="49"/>
      <c r="L436" s="61"/>
      <c r="M436" s="61"/>
      <c r="N436" s="61"/>
    </row>
    <row r="437" spans="1:14" ht="21.75" customHeight="1" x14ac:dyDescent="0.4">
      <c r="A437" s="55"/>
      <c r="B437" s="56"/>
      <c r="C437" s="56"/>
      <c r="D437" s="69">
        <v>2</v>
      </c>
      <c r="E437" s="70" t="s">
        <v>27</v>
      </c>
      <c r="F437" s="71"/>
      <c r="G437" s="72"/>
      <c r="H437" s="66"/>
      <c r="I437" s="67"/>
      <c r="J437" s="68">
        <v>1</v>
      </c>
      <c r="K437" s="49"/>
      <c r="L437" s="61" t="s">
        <v>21</v>
      </c>
      <c r="M437" s="61" t="s">
        <v>21</v>
      </c>
      <c r="N437" s="61"/>
    </row>
    <row r="438" spans="1:14" ht="21.75" customHeight="1" x14ac:dyDescent="0.4">
      <c r="A438" s="55"/>
      <c r="B438" s="56"/>
      <c r="C438" s="56"/>
      <c r="D438" s="73"/>
      <c r="E438" s="74" t="s">
        <v>28</v>
      </c>
      <c r="F438" s="75"/>
      <c r="G438" s="76"/>
      <c r="H438" s="66"/>
      <c r="I438" s="67"/>
      <c r="J438" s="68">
        <v>1</v>
      </c>
      <c r="K438" s="49"/>
      <c r="L438" s="61"/>
      <c r="M438" s="61"/>
      <c r="N438" s="61"/>
    </row>
    <row r="439" spans="1:14" ht="21.75" customHeight="1" x14ac:dyDescent="0.4">
      <c r="A439" s="55"/>
      <c r="B439" s="56"/>
      <c r="C439" s="56"/>
      <c r="D439" s="73"/>
      <c r="E439" s="74" t="s">
        <v>29</v>
      </c>
      <c r="F439" s="75"/>
      <c r="G439" s="76"/>
      <c r="H439" s="66"/>
      <c r="I439" s="67"/>
      <c r="J439" s="68">
        <v>1</v>
      </c>
      <c r="K439" s="49"/>
      <c r="L439" s="61"/>
      <c r="M439" s="61"/>
      <c r="N439" s="61"/>
    </row>
    <row r="440" spans="1:14" ht="21.75" customHeight="1" x14ac:dyDescent="0.4">
      <c r="A440" s="55"/>
      <c r="B440" s="56"/>
      <c r="C440" s="56"/>
      <c r="D440" s="73"/>
      <c r="E440" s="77"/>
      <c r="F440" s="75"/>
      <c r="G440" s="99" t="s">
        <v>183</v>
      </c>
      <c r="H440" s="66" t="s">
        <v>16</v>
      </c>
      <c r="I440" s="200">
        <f ca="1">IFERROR(__xludf.DUMMYFUNCTION("IMPORTRANGE(""https://docs.google.com/spreadsheets/d/1C3CXT74ZlgGe6_JY_1olB1XN4rF0dxEuIIF-xsYjHgg/edit?usp=sharing"",""งบกองทุน!dq35"")"),22)</f>
        <v>22</v>
      </c>
      <c r="J440" s="68">
        <v>22</v>
      </c>
      <c r="K440" s="49">
        <f t="shared" ref="K440:K441" ca="1" si="97">IF(I440&gt;0,J440*100/I440,0)</f>
        <v>100</v>
      </c>
      <c r="L440" s="61"/>
      <c r="M440" s="61"/>
      <c r="N440" s="61"/>
    </row>
    <row r="441" spans="1:14" ht="21.75" hidden="1" customHeight="1" x14ac:dyDescent="0.4">
      <c r="A441" s="55"/>
      <c r="B441" s="56"/>
      <c r="C441" s="56"/>
      <c r="D441" s="73"/>
      <c r="E441" s="77"/>
      <c r="F441" s="75"/>
      <c r="G441" s="99" t="s">
        <v>184</v>
      </c>
      <c r="H441" s="66" t="s">
        <v>16</v>
      </c>
      <c r="I441" s="200">
        <f ca="1">IFERROR(__xludf.DUMMYFUNCTION("IMPORTRANGE(""https://docs.google.com/spreadsheets/d/1C3CXT74ZlgGe6_JY_1olB1XN4rF0dxEuIIF-xsYjHgg/edit?usp=sharing"",""งบกองทุน!dr35"")"),22)</f>
        <v>22</v>
      </c>
      <c r="J441" s="68">
        <v>0</v>
      </c>
      <c r="K441" s="49">
        <f t="shared" ca="1" si="97"/>
        <v>0</v>
      </c>
      <c r="L441" s="61"/>
      <c r="M441" s="61"/>
      <c r="N441" s="61"/>
    </row>
    <row r="442" spans="1:14" ht="21.75" customHeight="1" x14ac:dyDescent="0.4">
      <c r="A442" s="55"/>
      <c r="B442" s="56"/>
      <c r="C442" s="56"/>
      <c r="D442" s="73"/>
      <c r="E442" s="74" t="s">
        <v>35</v>
      </c>
      <c r="F442" s="75"/>
      <c r="G442" s="76"/>
      <c r="H442" s="66"/>
      <c r="I442" s="67"/>
      <c r="J442" s="68">
        <v>0</v>
      </c>
      <c r="K442" s="49"/>
      <c r="L442" s="61"/>
      <c r="M442" s="61"/>
      <c r="N442" s="61"/>
    </row>
    <row r="443" spans="1:14" ht="21.75" customHeight="1" x14ac:dyDescent="0.4">
      <c r="A443" s="292"/>
      <c r="B443" s="293"/>
      <c r="C443" s="293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309"/>
      <c r="L443" s="300"/>
      <c r="M443" s="300"/>
      <c r="N443" s="300"/>
    </row>
    <row r="444" spans="1:14" ht="21.75" customHeight="1" x14ac:dyDescent="0.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8">SUM(I453,I455)</f>
        <v>5000</v>
      </c>
      <c r="J444" s="257">
        <f t="shared" si="98"/>
        <v>0</v>
      </c>
      <c r="K444" s="258">
        <f ca="1">IF(I444&gt;0,J444*100/I444,0)</f>
        <v>0</v>
      </c>
      <c r="L444" s="259">
        <f t="shared" ref="L444:M444" ca="1" si="99">SUM(L445:L446)</f>
        <v>300000</v>
      </c>
      <c r="M444" s="259">
        <f t="shared" si="99"/>
        <v>0</v>
      </c>
      <c r="N444" s="259">
        <f t="shared" ref="N444:N448" ca="1" si="100">+IF(L444&gt;0,M444*100/L444,0)</f>
        <v>0</v>
      </c>
    </row>
    <row r="445" spans="1:14" ht="21.75" customHeight="1" x14ac:dyDescent="0.4">
      <c r="A445" s="42"/>
      <c r="B445" s="43"/>
      <c r="C445" s="43" t="s">
        <v>17</v>
      </c>
      <c r="D445" s="44" t="s">
        <v>18</v>
      </c>
      <c r="E445" s="45"/>
      <c r="F445" s="45"/>
      <c r="G445" s="46" t="s">
        <v>19</v>
      </c>
      <c r="H445" s="47" t="s">
        <v>20</v>
      </c>
      <c r="I445" s="48" t="s">
        <v>21</v>
      </c>
      <c r="J445" s="48"/>
      <c r="K445" s="49"/>
      <c r="L445" s="50">
        <v>0</v>
      </c>
      <c r="M445" s="53">
        <v>0</v>
      </c>
      <c r="N445" s="53">
        <f t="shared" si="100"/>
        <v>0</v>
      </c>
    </row>
    <row r="446" spans="1:14" ht="21.75" customHeight="1" x14ac:dyDescent="0.4">
      <c r="A446" s="42"/>
      <c r="B446" s="43"/>
      <c r="C446" s="43"/>
      <c r="D446" s="51"/>
      <c r="E446" s="45"/>
      <c r="F446" s="45" t="s">
        <v>21</v>
      </c>
      <c r="G446" s="46" t="s">
        <v>22</v>
      </c>
      <c r="H446" s="47" t="s">
        <v>20</v>
      </c>
      <c r="I446" s="48"/>
      <c r="J446" s="48"/>
      <c r="K446" s="49"/>
      <c r="L446" s="50">
        <f t="shared" ref="L446:M446" ca="1" si="101">SUM(L447:L448)</f>
        <v>300000</v>
      </c>
      <c r="M446" s="53">
        <f t="shared" si="101"/>
        <v>0</v>
      </c>
      <c r="N446" s="53">
        <f t="shared" ca="1" si="100"/>
        <v>0</v>
      </c>
    </row>
    <row r="447" spans="1:14" ht="21.75" customHeight="1" x14ac:dyDescent="0.4">
      <c r="A447" s="42"/>
      <c r="B447" s="43"/>
      <c r="C447" s="43"/>
      <c r="D447" s="51"/>
      <c r="E447" s="45"/>
      <c r="F447" s="45"/>
      <c r="G447" s="52" t="s">
        <v>110</v>
      </c>
      <c r="H447" s="47" t="s">
        <v>20</v>
      </c>
      <c r="I447" s="48"/>
      <c r="J447" s="48"/>
      <c r="K447" s="49"/>
      <c r="L447" s="53">
        <f ca="1">IFERROR(__xludf.DUMMYFUNCTION("IMPORTRANGE(""https://docs.google.com/spreadsheets/d/1C3CXT74ZlgGe6_JY_1olB1XN4rF0dxEuIIF-xsYjHgg/edit?usp=sharing"",""งบกองทุน!dt35"")"),0)</f>
        <v>0</v>
      </c>
      <c r="M447" s="53">
        <v>0</v>
      </c>
      <c r="N447" s="53">
        <f t="shared" ca="1" si="100"/>
        <v>0</v>
      </c>
    </row>
    <row r="448" spans="1:14" ht="21.75" customHeight="1" x14ac:dyDescent="0.4">
      <c r="A448" s="42"/>
      <c r="B448" s="43"/>
      <c r="C448" s="43"/>
      <c r="D448" s="51"/>
      <c r="E448" s="45"/>
      <c r="F448" s="45"/>
      <c r="G448" s="52" t="s">
        <v>111</v>
      </c>
      <c r="H448" s="47" t="s">
        <v>20</v>
      </c>
      <c r="I448" s="48"/>
      <c r="J448" s="48"/>
      <c r="K448" s="49"/>
      <c r="L448" s="53">
        <f ca="1">IFERROR(__xludf.DUMMYFUNCTION("IMPORTRANGE(""https://docs.google.com/spreadsheets/d/1C3CXT74ZlgGe6_JY_1olB1XN4rF0dxEuIIF-xsYjHgg/edit?usp=sharing"",""งบกองทุน!du35"")"),300000)</f>
        <v>300000</v>
      </c>
      <c r="M448" s="53">
        <f>SUM(M449:M452)</f>
        <v>0</v>
      </c>
      <c r="N448" s="53">
        <f t="shared" ca="1" si="100"/>
        <v>0</v>
      </c>
    </row>
    <row r="449" spans="1:14" ht="21.75" customHeight="1" x14ac:dyDescent="0.4">
      <c r="A449" s="230"/>
      <c r="B449" s="231"/>
      <c r="C449" s="43"/>
      <c r="D449" s="232"/>
      <c r="E449" s="45"/>
      <c r="F449" s="45"/>
      <c r="G449" s="46" t="s">
        <v>112</v>
      </c>
      <c r="H449" s="47" t="s">
        <v>20</v>
      </c>
      <c r="I449" s="67"/>
      <c r="J449" s="67"/>
      <c r="K449" s="233"/>
      <c r="L449" s="53"/>
      <c r="M449" s="54">
        <v>0</v>
      </c>
      <c r="N449" s="53"/>
    </row>
    <row r="450" spans="1:14" ht="21.75" customHeight="1" x14ac:dyDescent="0.4">
      <c r="A450" s="230"/>
      <c r="B450" s="231"/>
      <c r="C450" s="43"/>
      <c r="D450" s="232"/>
      <c r="E450" s="45"/>
      <c r="F450" s="45"/>
      <c r="G450" s="46" t="s">
        <v>113</v>
      </c>
      <c r="H450" s="47" t="s">
        <v>20</v>
      </c>
      <c r="I450" s="67"/>
      <c r="J450" s="67"/>
      <c r="K450" s="233"/>
      <c r="L450" s="53"/>
      <c r="M450" s="54">
        <v>0</v>
      </c>
      <c r="N450" s="53"/>
    </row>
    <row r="451" spans="1:14" ht="21.75" customHeight="1" x14ac:dyDescent="0.4">
      <c r="A451" s="230"/>
      <c r="B451" s="231"/>
      <c r="C451" s="43"/>
      <c r="D451" s="232"/>
      <c r="E451" s="45"/>
      <c r="F451" s="45"/>
      <c r="G451" s="46" t="s">
        <v>114</v>
      </c>
      <c r="H451" s="47" t="s">
        <v>20</v>
      </c>
      <c r="I451" s="67"/>
      <c r="J451" s="67"/>
      <c r="K451" s="233"/>
      <c r="L451" s="53"/>
      <c r="M451" s="54">
        <v>0</v>
      </c>
      <c r="N451" s="53"/>
    </row>
    <row r="452" spans="1:14" ht="21.75" customHeight="1" x14ac:dyDescent="0.4">
      <c r="A452" s="230"/>
      <c r="B452" s="231"/>
      <c r="C452" s="43"/>
      <c r="D452" s="232"/>
      <c r="E452" s="45"/>
      <c r="F452" s="45"/>
      <c r="G452" s="46" t="s">
        <v>115</v>
      </c>
      <c r="H452" s="47" t="s">
        <v>20</v>
      </c>
      <c r="I452" s="67"/>
      <c r="J452" s="67"/>
      <c r="K452" s="233"/>
      <c r="L452" s="53"/>
      <c r="M452" s="54">
        <v>0</v>
      </c>
      <c r="N452" s="53"/>
    </row>
    <row r="453" spans="1:14" ht="21.75" customHeight="1" x14ac:dyDescent="0.4">
      <c r="A453" s="230"/>
      <c r="B453" s="231"/>
      <c r="C453" s="231"/>
      <c r="D453" s="310"/>
      <c r="E453" s="311"/>
      <c r="F453" s="311" t="s">
        <v>186</v>
      </c>
      <c r="G453" s="312"/>
      <c r="H453" s="313" t="s">
        <v>103</v>
      </c>
      <c r="I453" s="67">
        <f ca="1">IFERROR(__xludf.DUMMYFUNCTION("IMPORTRANGE(""https://docs.google.com/spreadsheets/d/1C3CXT74ZlgGe6_JY_1olB1XN4rF0dxEuIIF-xsYjHgg/edit?usp=sharing"",""งบกองทุน!dw35"")"),5000)</f>
        <v>5000</v>
      </c>
      <c r="J453" s="67">
        <v>0</v>
      </c>
      <c r="K453" s="233">
        <f t="shared" ref="K453:K457" ca="1" si="102">IF(I453&gt;0,J453*100/I453,0)</f>
        <v>0</v>
      </c>
      <c r="L453" s="53"/>
      <c r="M453" s="53"/>
      <c r="N453" s="53"/>
    </row>
    <row r="454" spans="1:14" ht="21.75" customHeight="1" x14ac:dyDescent="0.4">
      <c r="A454" s="230"/>
      <c r="B454" s="231"/>
      <c r="C454" s="231"/>
      <c r="D454" s="310"/>
      <c r="E454" s="311"/>
      <c r="F454" s="311"/>
      <c r="G454" s="312"/>
      <c r="H454" s="313" t="s">
        <v>15</v>
      </c>
      <c r="I454" s="67">
        <f ca="1">IFERROR(__xludf.DUMMYFUNCTION("IMPORTRANGE(""https://docs.google.com/spreadsheets/d/1C3CXT74ZlgGe6_JY_1olB1XN4rF0dxEuIIF-xsYjHgg/edit?usp=sharing"",""งบกองทุน!dx35"")"),0)</f>
        <v>0</v>
      </c>
      <c r="J454" s="67">
        <v>0</v>
      </c>
      <c r="K454" s="233">
        <f t="shared" ca="1" si="102"/>
        <v>0</v>
      </c>
      <c r="L454" s="53"/>
      <c r="M454" s="53"/>
      <c r="N454" s="53"/>
    </row>
    <row r="455" spans="1:14" ht="21.75" customHeight="1" x14ac:dyDescent="0.4">
      <c r="A455" s="230"/>
      <c r="B455" s="231"/>
      <c r="C455" s="231"/>
      <c r="D455" s="310"/>
      <c r="E455" s="311"/>
      <c r="F455" s="311" t="s">
        <v>187</v>
      </c>
      <c r="G455" s="312"/>
      <c r="H455" s="313" t="s">
        <v>103</v>
      </c>
      <c r="I455" s="67">
        <f ca="1">IFERROR(__xludf.DUMMYFUNCTION("IMPORTRANGE(""https://docs.google.com/spreadsheets/d/1C3CXT74ZlgGe6_JY_1olB1XN4rF0dxEuIIF-xsYjHgg/edit?usp=sharing"",""งบกองทุน!dy35"")"),0)</f>
        <v>0</v>
      </c>
      <c r="J455" s="67">
        <v>0</v>
      </c>
      <c r="K455" s="233">
        <f t="shared" ca="1" si="102"/>
        <v>0</v>
      </c>
      <c r="L455" s="53"/>
      <c r="M455" s="53"/>
      <c r="N455" s="53"/>
    </row>
    <row r="456" spans="1:14" ht="21.75" customHeight="1" x14ac:dyDescent="0.4">
      <c r="A456" s="230"/>
      <c r="B456" s="231"/>
      <c r="C456" s="231"/>
      <c r="D456" s="310"/>
      <c r="E456" s="311"/>
      <c r="F456" s="311"/>
      <c r="G456" s="312"/>
      <c r="H456" s="313" t="s">
        <v>15</v>
      </c>
      <c r="I456" s="67">
        <f ca="1">IFERROR(__xludf.DUMMYFUNCTION("IMPORTRANGE(""https://docs.google.com/spreadsheets/d/1C3CXT74ZlgGe6_JY_1olB1XN4rF0dxEuIIF-xsYjHgg/edit?usp=sharing"",""งบกองทุน!dz35"")"),0)</f>
        <v>0</v>
      </c>
      <c r="J456" s="67">
        <v>0</v>
      </c>
      <c r="K456" s="233">
        <f t="shared" ca="1" si="102"/>
        <v>0</v>
      </c>
      <c r="L456" s="53"/>
      <c r="M456" s="53"/>
      <c r="N456" s="53"/>
    </row>
    <row r="457" spans="1:14" ht="21.75" customHeight="1" x14ac:dyDescent="0.4">
      <c r="A457" s="222"/>
      <c r="B457" s="223">
        <v>8</v>
      </c>
      <c r="C457" s="224" t="s">
        <v>188</v>
      </c>
      <c r="D457" s="224"/>
      <c r="E457" s="224"/>
      <c r="F457" s="224"/>
      <c r="G457" s="225"/>
      <c r="H457" s="226" t="s">
        <v>16</v>
      </c>
      <c r="I457" s="227">
        <f ca="1">I466</f>
        <v>1100</v>
      </c>
      <c r="J457" s="227">
        <f>+J466</f>
        <v>0</v>
      </c>
      <c r="K457" s="228">
        <f t="shared" ca="1" si="102"/>
        <v>0</v>
      </c>
      <c r="L457" s="229">
        <f t="shared" ref="L457:M457" ca="1" si="103">SUM(L458:L459)</f>
        <v>127280</v>
      </c>
      <c r="M457" s="229">
        <f t="shared" si="103"/>
        <v>12083</v>
      </c>
      <c r="N457" s="229">
        <f t="shared" ref="N457:N461" ca="1" si="104">+IF(L457&gt;0,M457*100/L457,0)</f>
        <v>9.4932432432432439</v>
      </c>
    </row>
    <row r="458" spans="1:14" ht="21.75" customHeight="1" x14ac:dyDescent="0.4">
      <c r="A458" s="42"/>
      <c r="B458" s="43"/>
      <c r="C458" s="43" t="s">
        <v>17</v>
      </c>
      <c r="D458" s="44" t="s">
        <v>18</v>
      </c>
      <c r="E458" s="45"/>
      <c r="F458" s="45"/>
      <c r="G458" s="46" t="s">
        <v>19</v>
      </c>
      <c r="H458" s="47" t="s">
        <v>20</v>
      </c>
      <c r="I458" s="48" t="s">
        <v>21</v>
      </c>
      <c r="J458" s="48"/>
      <c r="K458" s="49"/>
      <c r="L458" s="50">
        <v>0</v>
      </c>
      <c r="M458" s="53">
        <v>0</v>
      </c>
      <c r="N458" s="53">
        <f t="shared" si="104"/>
        <v>0</v>
      </c>
    </row>
    <row r="459" spans="1:14" ht="21.75" customHeight="1" x14ac:dyDescent="0.4">
      <c r="A459" s="42"/>
      <c r="B459" s="43"/>
      <c r="C459" s="43"/>
      <c r="D459" s="51"/>
      <c r="E459" s="45"/>
      <c r="F459" s="45" t="s">
        <v>21</v>
      </c>
      <c r="G459" s="46" t="s">
        <v>22</v>
      </c>
      <c r="H459" s="47" t="s">
        <v>20</v>
      </c>
      <c r="I459" s="48"/>
      <c r="J459" s="48"/>
      <c r="K459" s="49"/>
      <c r="L459" s="50">
        <f t="shared" ref="L459:M459" ca="1" si="105">SUM(L460:L461)</f>
        <v>127280</v>
      </c>
      <c r="M459" s="53">
        <f t="shared" si="105"/>
        <v>12083</v>
      </c>
      <c r="N459" s="53">
        <f t="shared" ca="1" si="104"/>
        <v>9.4932432432432439</v>
      </c>
    </row>
    <row r="460" spans="1:14" ht="21.75" customHeight="1" x14ac:dyDescent="0.4">
      <c r="A460" s="42"/>
      <c r="B460" s="43"/>
      <c r="C460" s="43"/>
      <c r="D460" s="51"/>
      <c r="E460" s="45"/>
      <c r="F460" s="45"/>
      <c r="G460" s="52" t="s">
        <v>110</v>
      </c>
      <c r="H460" s="47" t="s">
        <v>20</v>
      </c>
      <c r="I460" s="48"/>
      <c r="J460" s="48"/>
      <c r="K460" s="49"/>
      <c r="L460" s="53">
        <f ca="1">IFERROR(__xludf.DUMMYFUNCTION("IMPORTRANGE(""https://docs.google.com/spreadsheets/d/1C3CXT74ZlgGe6_JY_1olB1XN4rF0dxEuIIF-xsYjHgg/edit?usp=sharing"",""งบกองทุน!Eb35"")"),0)</f>
        <v>0</v>
      </c>
      <c r="M460" s="53">
        <v>0</v>
      </c>
      <c r="N460" s="53">
        <f t="shared" ca="1" si="104"/>
        <v>0</v>
      </c>
    </row>
    <row r="461" spans="1:14" ht="21.75" customHeight="1" x14ac:dyDescent="0.4">
      <c r="A461" s="42"/>
      <c r="B461" s="43"/>
      <c r="C461" s="43"/>
      <c r="D461" s="51"/>
      <c r="E461" s="45"/>
      <c r="F461" s="45"/>
      <c r="G461" s="52" t="s">
        <v>111</v>
      </c>
      <c r="H461" s="47" t="s">
        <v>20</v>
      </c>
      <c r="I461" s="48"/>
      <c r="J461" s="48"/>
      <c r="K461" s="49"/>
      <c r="L461" s="53">
        <f ca="1">IFERROR(__xludf.DUMMYFUNCTION("IMPORTRANGE(""https://docs.google.com/spreadsheets/d/1C3CXT74ZlgGe6_JY_1olB1XN4rF0dxEuIIF-xsYjHgg/edit?usp=sharing"",""งบกองทุน!Ec35"")"),127280)</f>
        <v>127280</v>
      </c>
      <c r="M461" s="53">
        <f>SUM(M462:M465)</f>
        <v>12083</v>
      </c>
      <c r="N461" s="53">
        <f t="shared" ca="1" si="104"/>
        <v>9.4932432432432439</v>
      </c>
    </row>
    <row r="462" spans="1:14" ht="21.75" customHeight="1" x14ac:dyDescent="0.4">
      <c r="A462" s="230"/>
      <c r="B462" s="231"/>
      <c r="C462" s="43"/>
      <c r="D462" s="232"/>
      <c r="E462" s="45"/>
      <c r="F462" s="45"/>
      <c r="G462" s="46" t="s">
        <v>112</v>
      </c>
      <c r="H462" s="47" t="s">
        <v>20</v>
      </c>
      <c r="I462" s="67"/>
      <c r="J462" s="67"/>
      <c r="K462" s="233"/>
      <c r="L462" s="53"/>
      <c r="M462" s="53">
        <v>0</v>
      </c>
      <c r="N462" s="53"/>
    </row>
    <row r="463" spans="1:14" ht="21.75" customHeight="1" x14ac:dyDescent="0.4">
      <c r="A463" s="230"/>
      <c r="B463" s="231"/>
      <c r="C463" s="43"/>
      <c r="D463" s="232"/>
      <c r="E463" s="45"/>
      <c r="F463" s="45"/>
      <c r="G463" s="46" t="s">
        <v>113</v>
      </c>
      <c r="H463" s="47" t="s">
        <v>20</v>
      </c>
      <c r="I463" s="67"/>
      <c r="J463" s="67"/>
      <c r="K463" s="233"/>
      <c r="L463" s="53"/>
      <c r="M463" s="53">
        <v>0</v>
      </c>
      <c r="N463" s="53"/>
    </row>
    <row r="464" spans="1:14" ht="21.75" customHeight="1" x14ac:dyDescent="0.4">
      <c r="A464" s="230"/>
      <c r="B464" s="231"/>
      <c r="C464" s="43"/>
      <c r="D464" s="232"/>
      <c r="E464" s="45"/>
      <c r="F464" s="45"/>
      <c r="G464" s="46" t="s">
        <v>114</v>
      </c>
      <c r="H464" s="47" t="s">
        <v>20</v>
      </c>
      <c r="I464" s="67"/>
      <c r="J464" s="67"/>
      <c r="K464" s="233"/>
      <c r="L464" s="53"/>
      <c r="M464" s="54">
        <v>10633</v>
      </c>
      <c r="N464" s="53"/>
    </row>
    <row r="465" spans="1:14" ht="21.75" customHeight="1" x14ac:dyDescent="0.4">
      <c r="A465" s="230"/>
      <c r="B465" s="231"/>
      <c r="C465" s="43"/>
      <c r="D465" s="232"/>
      <c r="E465" s="45"/>
      <c r="F465" s="45"/>
      <c r="G465" s="46" t="s">
        <v>115</v>
      </c>
      <c r="H465" s="47" t="s">
        <v>20</v>
      </c>
      <c r="I465" s="67"/>
      <c r="J465" s="67"/>
      <c r="K465" s="233"/>
      <c r="L465" s="53"/>
      <c r="M465" s="54">
        <v>1450</v>
      </c>
      <c r="N465" s="53"/>
    </row>
    <row r="466" spans="1:14" ht="21.75" customHeight="1" x14ac:dyDescent="0.4">
      <c r="A466" s="55"/>
      <c r="B466" s="56"/>
      <c r="C466" s="56"/>
      <c r="D466" s="75"/>
      <c r="E466" s="74" t="s">
        <v>21</v>
      </c>
      <c r="F466" s="260" t="s">
        <v>189</v>
      </c>
      <c r="G466" s="240"/>
      <c r="H466" s="314" t="s">
        <v>16</v>
      </c>
      <c r="I466" s="265">
        <f ca="1">IFERROR(__xludf.DUMMYFUNCTION("IMPORTRANGE(""https://docs.google.com/spreadsheets/d/1C3CXT74ZlgGe6_JY_1olB1XN4rF0dxEuIIF-xsYjHgg/edit?usp=sharing"",""งบกองทุน!Ed35"")"),1100)</f>
        <v>1100</v>
      </c>
      <c r="J466" s="265">
        <f>+J469+J470+J471+J472</f>
        <v>0</v>
      </c>
      <c r="K466" s="80">
        <f ca="1">IF(I466&gt;0,J466*100/I466,0)</f>
        <v>0</v>
      </c>
      <c r="L466" s="61"/>
      <c r="M466" s="61"/>
      <c r="N466" s="61"/>
    </row>
    <row r="467" spans="1:14" ht="21.75" customHeight="1" x14ac:dyDescent="0.4">
      <c r="A467" s="55"/>
      <c r="B467" s="56"/>
      <c r="C467" s="56"/>
      <c r="D467" s="75"/>
      <c r="E467" s="75"/>
      <c r="F467" s="74" t="s">
        <v>190</v>
      </c>
      <c r="G467" s="76"/>
      <c r="H467" s="315"/>
      <c r="I467" s="48"/>
      <c r="J467" s="48"/>
      <c r="K467" s="49"/>
      <c r="L467" s="61"/>
      <c r="M467" s="61"/>
      <c r="N467" s="61"/>
    </row>
    <row r="468" spans="1:14" ht="21.75" customHeight="1" x14ac:dyDescent="0.4">
      <c r="A468" s="55"/>
      <c r="B468" s="56"/>
      <c r="C468" s="56"/>
      <c r="D468" s="75"/>
      <c r="E468" s="74" t="s">
        <v>21</v>
      </c>
      <c r="F468" s="74" t="s">
        <v>191</v>
      </c>
      <c r="G468" s="76"/>
      <c r="H468" s="315" t="s">
        <v>57</v>
      </c>
      <c r="I468" s="48">
        <v>0</v>
      </c>
      <c r="J468" s="68">
        <v>0</v>
      </c>
      <c r="K468" s="49">
        <f t="shared" ref="K468:K472" si="106">IF(I468&gt;0,J468*100/I468,0)</f>
        <v>0</v>
      </c>
      <c r="L468" s="61"/>
      <c r="M468" s="61"/>
      <c r="N468" s="61"/>
    </row>
    <row r="469" spans="1:14" ht="21.75" customHeight="1" x14ac:dyDescent="0.4">
      <c r="A469" s="55"/>
      <c r="B469" s="56"/>
      <c r="C469" s="56"/>
      <c r="D469" s="75"/>
      <c r="E469" s="75"/>
      <c r="F469" s="74" t="s">
        <v>192</v>
      </c>
      <c r="G469" s="76"/>
      <c r="H469" s="315" t="s">
        <v>16</v>
      </c>
      <c r="I469" s="48">
        <v>0</v>
      </c>
      <c r="J469" s="68">
        <v>0</v>
      </c>
      <c r="K469" s="49">
        <f t="shared" si="106"/>
        <v>0</v>
      </c>
      <c r="L469" s="61"/>
      <c r="M469" s="61"/>
      <c r="N469" s="61"/>
    </row>
    <row r="470" spans="1:14" ht="21.75" customHeight="1" x14ac:dyDescent="0.4">
      <c r="A470" s="55"/>
      <c r="B470" s="56"/>
      <c r="C470" s="56"/>
      <c r="D470" s="75"/>
      <c r="E470" s="75"/>
      <c r="F470" s="74" t="s">
        <v>193</v>
      </c>
      <c r="G470" s="76"/>
      <c r="H470" s="315" t="s">
        <v>16</v>
      </c>
      <c r="I470" s="48">
        <v>0</v>
      </c>
      <c r="J470" s="68">
        <v>0</v>
      </c>
      <c r="K470" s="49">
        <f t="shared" si="106"/>
        <v>0</v>
      </c>
      <c r="L470" s="61"/>
      <c r="M470" s="61"/>
      <c r="N470" s="61"/>
    </row>
    <row r="471" spans="1:14" ht="21.75" customHeight="1" x14ac:dyDescent="0.4">
      <c r="A471" s="55"/>
      <c r="B471" s="56"/>
      <c r="C471" s="56"/>
      <c r="D471" s="75"/>
      <c r="E471" s="75"/>
      <c r="F471" s="74" t="s">
        <v>194</v>
      </c>
      <c r="G471" s="266"/>
      <c r="H471" s="315" t="s">
        <v>16</v>
      </c>
      <c r="I471" s="48">
        <v>0</v>
      </c>
      <c r="J471" s="68">
        <v>0</v>
      </c>
      <c r="K471" s="49">
        <f t="shared" si="106"/>
        <v>0</v>
      </c>
      <c r="L471" s="61"/>
      <c r="M471" s="61"/>
      <c r="N471" s="61"/>
    </row>
    <row r="472" spans="1:14" ht="21.75" customHeight="1" x14ac:dyDescent="0.4">
      <c r="A472" s="55"/>
      <c r="B472" s="56"/>
      <c r="C472" s="56"/>
      <c r="D472" s="75"/>
      <c r="E472" s="75"/>
      <c r="F472" s="74" t="s">
        <v>195</v>
      </c>
      <c r="G472" s="266"/>
      <c r="H472" s="315" t="s">
        <v>16</v>
      </c>
      <c r="I472" s="48">
        <v>0</v>
      </c>
      <c r="J472" s="68">
        <v>0</v>
      </c>
      <c r="K472" s="49">
        <f t="shared" si="106"/>
        <v>0</v>
      </c>
      <c r="L472" s="61"/>
      <c r="M472" s="61"/>
      <c r="N472" s="61"/>
    </row>
    <row r="473" spans="1:14" ht="21.75" customHeight="1" x14ac:dyDescent="0.4">
      <c r="A473" s="222"/>
      <c r="B473" s="223">
        <v>9</v>
      </c>
      <c r="C473" s="224" t="s">
        <v>196</v>
      </c>
      <c r="D473" s="224"/>
      <c r="E473" s="224"/>
      <c r="F473" s="224"/>
      <c r="G473" s="225"/>
      <c r="H473" s="226" t="s">
        <v>16</v>
      </c>
      <c r="I473" s="227">
        <f ca="1">I484</f>
        <v>0</v>
      </c>
      <c r="J473" s="227">
        <f ca="1">J488</f>
        <v>0</v>
      </c>
      <c r="K473" s="228">
        <f ca="1">IF(I473&gt;0,J473*100/I473,0)</f>
        <v>0</v>
      </c>
      <c r="L473" s="229">
        <f ca="1">SUM(L474,L475)</f>
        <v>0</v>
      </c>
      <c r="M473" s="229">
        <f>SUM(M474:M475)</f>
        <v>0</v>
      </c>
      <c r="N473" s="229">
        <f t="shared" ref="N473:N477" ca="1" si="107">+IF(L473&gt;0,M473*100/L473,0)</f>
        <v>0</v>
      </c>
    </row>
    <row r="474" spans="1:14" ht="21.75" customHeight="1" x14ac:dyDescent="0.4">
      <c r="A474" s="42"/>
      <c r="B474" s="43"/>
      <c r="C474" s="43" t="s">
        <v>17</v>
      </c>
      <c r="D474" s="44" t="s">
        <v>18</v>
      </c>
      <c r="E474" s="45"/>
      <c r="F474" s="45"/>
      <c r="G474" s="46" t="s">
        <v>19</v>
      </c>
      <c r="H474" s="47" t="s">
        <v>20</v>
      </c>
      <c r="I474" s="67" t="s">
        <v>21</v>
      </c>
      <c r="J474" s="67"/>
      <c r="K474" s="233"/>
      <c r="L474" s="50">
        <v>0</v>
      </c>
      <c r="M474" s="53">
        <v>0</v>
      </c>
      <c r="N474" s="53">
        <f t="shared" si="107"/>
        <v>0</v>
      </c>
    </row>
    <row r="475" spans="1:14" ht="21.75" customHeight="1" x14ac:dyDescent="0.4">
      <c r="A475" s="42"/>
      <c r="B475" s="43"/>
      <c r="C475" s="43"/>
      <c r="D475" s="51"/>
      <c r="E475" s="45"/>
      <c r="F475" s="45" t="s">
        <v>21</v>
      </c>
      <c r="G475" s="46" t="s">
        <v>22</v>
      </c>
      <c r="H475" s="47" t="s">
        <v>20</v>
      </c>
      <c r="I475" s="67"/>
      <c r="J475" s="67"/>
      <c r="K475" s="233"/>
      <c r="L475" s="50">
        <f t="shared" ref="L475:M475" ca="1" si="108">SUM(L476:L477)</f>
        <v>0</v>
      </c>
      <c r="M475" s="53">
        <f t="shared" si="108"/>
        <v>0</v>
      </c>
      <c r="N475" s="53">
        <f t="shared" ca="1" si="107"/>
        <v>0</v>
      </c>
    </row>
    <row r="476" spans="1:14" ht="21.75" customHeight="1" x14ac:dyDescent="0.4">
      <c r="A476" s="42"/>
      <c r="B476" s="43"/>
      <c r="C476" s="43"/>
      <c r="D476" s="51"/>
      <c r="E476" s="45"/>
      <c r="F476" s="45"/>
      <c r="G476" s="52" t="s">
        <v>110</v>
      </c>
      <c r="H476" s="47" t="s">
        <v>20</v>
      </c>
      <c r="I476" s="67"/>
      <c r="J476" s="67"/>
      <c r="K476" s="233"/>
      <c r="L476" s="53">
        <f ca="1">IFERROR(__xludf.DUMMYFUNCTION("IMPORTRANGE(""https://docs.google.com/spreadsheets/d/1C3CXT74ZlgGe6_JY_1olB1XN4rF0dxEuIIF-xsYjHgg/edit?usp=sharing"",""งบกองทุน!Ek35"")"),0)</f>
        <v>0</v>
      </c>
      <c r="M476" s="53">
        <v>0</v>
      </c>
      <c r="N476" s="53">
        <f t="shared" ca="1" si="107"/>
        <v>0</v>
      </c>
    </row>
    <row r="477" spans="1:14" ht="21.75" customHeight="1" x14ac:dyDescent="0.4">
      <c r="A477" s="42"/>
      <c r="B477" s="43"/>
      <c r="C477" s="43"/>
      <c r="D477" s="51"/>
      <c r="E477" s="45"/>
      <c r="F477" s="45"/>
      <c r="G477" s="52" t="s">
        <v>111</v>
      </c>
      <c r="H477" s="47" t="s">
        <v>20</v>
      </c>
      <c r="I477" s="67"/>
      <c r="J477" s="67"/>
      <c r="K477" s="233"/>
      <c r="L477" s="53">
        <f ca="1">IFERROR(__xludf.DUMMYFUNCTION("IMPORTRANGE(""https://docs.google.com/spreadsheets/d/1C3CXT74ZlgGe6_JY_1olB1XN4rF0dxEuIIF-xsYjHgg/edit?usp=sharing"",""งบกองทุน!El35"")"),0)</f>
        <v>0</v>
      </c>
      <c r="M477" s="53">
        <f>SUM(M478:M481)</f>
        <v>0</v>
      </c>
      <c r="N477" s="53">
        <f t="shared" ca="1" si="107"/>
        <v>0</v>
      </c>
    </row>
    <row r="478" spans="1:14" ht="21.75" customHeight="1" x14ac:dyDescent="0.4">
      <c r="A478" s="230"/>
      <c r="B478" s="231"/>
      <c r="C478" s="43"/>
      <c r="D478" s="232"/>
      <c r="E478" s="45"/>
      <c r="F478" s="45"/>
      <c r="G478" s="46" t="s">
        <v>112</v>
      </c>
      <c r="H478" s="47" t="s">
        <v>20</v>
      </c>
      <c r="I478" s="67"/>
      <c r="J478" s="67"/>
      <c r="K478" s="233"/>
      <c r="L478" s="53"/>
      <c r="M478" s="53">
        <v>0</v>
      </c>
      <c r="N478" s="53"/>
    </row>
    <row r="479" spans="1:14" ht="21.75" customHeight="1" x14ac:dyDescent="0.4">
      <c r="A479" s="230"/>
      <c r="B479" s="231"/>
      <c r="C479" s="43"/>
      <c r="D479" s="232"/>
      <c r="E479" s="45"/>
      <c r="F479" s="45"/>
      <c r="G479" s="46" t="s">
        <v>113</v>
      </c>
      <c r="H479" s="47" t="s">
        <v>20</v>
      </c>
      <c r="I479" s="67"/>
      <c r="J479" s="67"/>
      <c r="K479" s="233"/>
      <c r="L479" s="53"/>
      <c r="M479" s="53">
        <v>0</v>
      </c>
      <c r="N479" s="53"/>
    </row>
    <row r="480" spans="1:14" ht="21.75" customHeight="1" x14ac:dyDescent="0.4">
      <c r="A480" s="230"/>
      <c r="B480" s="231"/>
      <c r="C480" s="43"/>
      <c r="D480" s="232"/>
      <c r="E480" s="45"/>
      <c r="F480" s="45"/>
      <c r="G480" s="46" t="s">
        <v>114</v>
      </c>
      <c r="H480" s="47" t="s">
        <v>20</v>
      </c>
      <c r="I480" s="67"/>
      <c r="J480" s="67"/>
      <c r="K480" s="233"/>
      <c r="L480" s="53"/>
      <c r="M480" s="53">
        <v>0</v>
      </c>
      <c r="N480" s="53"/>
    </row>
    <row r="481" spans="1:14" ht="21.75" customHeight="1" x14ac:dyDescent="0.4">
      <c r="A481" s="230"/>
      <c r="B481" s="231"/>
      <c r="C481" s="43"/>
      <c r="D481" s="232"/>
      <c r="E481" s="45"/>
      <c r="F481" s="45"/>
      <c r="G481" s="46" t="s">
        <v>115</v>
      </c>
      <c r="H481" s="47" t="s">
        <v>20</v>
      </c>
      <c r="I481" s="67"/>
      <c r="J481" s="67"/>
      <c r="K481" s="233"/>
      <c r="L481" s="53"/>
      <c r="M481" s="53">
        <v>0</v>
      </c>
      <c r="N481" s="53"/>
    </row>
    <row r="482" spans="1:14" ht="21.75" customHeight="1" x14ac:dyDescent="0.4">
      <c r="A482" s="316"/>
      <c r="B482" s="51"/>
      <c r="C482" s="43"/>
      <c r="D482" s="155"/>
      <c r="E482" s="74" t="s">
        <v>197</v>
      </c>
      <c r="F482" s="75"/>
      <c r="G482" s="76"/>
      <c r="H482" s="60" t="s">
        <v>15</v>
      </c>
      <c r="I482" s="200">
        <f ca="1">IFERROR(__xludf.DUMMYFUNCTION("IMPORTRANGE(""https://docs.google.com/spreadsheets/d/1C3CXT74ZlgGe6_JY_1olB1XN4rF0dxEuIIF-xsYjHgg/edit?usp=sharing"",""งบกองทุน!Em35"")"),0)</f>
        <v>0</v>
      </c>
      <c r="J482" s="67">
        <f ca="1">IFERROR(__xludf.DUMMYFUNCTION("IMPORTRANGE(""https://docs.google.com/spreadsheets/d/1AGHcLOeeYFL3K4b9R1dSzyJy00PE_ra89DNTVfnxSWM/edit?usp=sharing"",""รวมที่ชุมชน!G24"")"),2)</f>
        <v>2</v>
      </c>
      <c r="K482" s="233">
        <f t="shared" ref="K482:K489" ca="1" si="109">IF(I482&gt;0,J482*100/I482,0)</f>
        <v>0</v>
      </c>
      <c r="L482" s="53"/>
      <c r="M482" s="53"/>
      <c r="N482" s="53"/>
    </row>
    <row r="483" spans="1:14" ht="21.75" customHeight="1" x14ac:dyDescent="0.4">
      <c r="A483" s="316"/>
      <c r="B483" s="51"/>
      <c r="C483" s="43"/>
      <c r="D483" s="155"/>
      <c r="E483" s="75"/>
      <c r="F483" s="75"/>
      <c r="G483" s="76"/>
      <c r="H483" s="60" t="s">
        <v>103</v>
      </c>
      <c r="I483" s="200">
        <f ca="1">IFERROR(__xludf.DUMMYFUNCTION("IMPORTRANGE(""https://docs.google.com/spreadsheets/d/1C3CXT74ZlgGe6_JY_1olB1XN4rF0dxEuIIF-xsYjHgg/edit?usp=sharing"",""งบกองทุน!En35"")"),0)</f>
        <v>0</v>
      </c>
      <c r="J483" s="67">
        <f ca="1">IFERROR(__xludf.DUMMYFUNCTION("IMPORTRANGE(""https://docs.google.com/spreadsheets/d/1AGHcLOeeYFL3K4b9R1dSzyJy00PE_ra89DNTVfnxSWM/edit?usp=sharing"",""รวมที่ชุมชน!H24"")"),1.11)</f>
        <v>1.1100000000000001</v>
      </c>
      <c r="K483" s="233">
        <f t="shared" ca="1" si="109"/>
        <v>0</v>
      </c>
      <c r="L483" s="53"/>
      <c r="M483" s="53"/>
      <c r="N483" s="53"/>
    </row>
    <row r="484" spans="1:14" ht="21.75" customHeight="1" x14ac:dyDescent="0.4">
      <c r="A484" s="316"/>
      <c r="B484" s="51"/>
      <c r="C484" s="43"/>
      <c r="D484" s="155"/>
      <c r="E484" s="74" t="s">
        <v>104</v>
      </c>
      <c r="F484" s="75"/>
      <c r="G484" s="76"/>
      <c r="H484" s="60" t="s">
        <v>16</v>
      </c>
      <c r="I484" s="200">
        <f ca="1">IFERROR(__xludf.DUMMYFUNCTION("IMPORTRANGE(""https://docs.google.com/spreadsheets/d/1C3CXT74ZlgGe6_JY_1olB1XN4rF0dxEuIIF-xsYjHgg/edit?usp=sharing"",""งบกองทุน!Eo35"")"),0)</f>
        <v>0</v>
      </c>
      <c r="J484" s="67">
        <f ca="1">IFERROR(__xludf.DUMMYFUNCTION("IMPORTRANGE(""https://docs.google.com/spreadsheets/d/1AGHcLOeeYFL3K4b9R1dSzyJy00PE_ra89DNTVfnxSWM/edit?usp=sharing"",""รวมที่ชุมชน!J24"")"),2)</f>
        <v>2</v>
      </c>
      <c r="K484" s="233">
        <f t="shared" ca="1" si="109"/>
        <v>0</v>
      </c>
      <c r="L484" s="53"/>
      <c r="M484" s="53"/>
      <c r="N484" s="53"/>
    </row>
    <row r="485" spans="1:14" ht="21.75" customHeight="1" x14ac:dyDescent="0.4">
      <c r="A485" s="316"/>
      <c r="B485" s="51"/>
      <c r="C485" s="43"/>
      <c r="D485" s="155"/>
      <c r="E485" s="75"/>
      <c r="F485" s="75"/>
      <c r="G485" s="76"/>
      <c r="H485" s="60" t="s">
        <v>103</v>
      </c>
      <c r="I485" s="200">
        <f ca="1">IFERROR(__xludf.DUMMYFUNCTION("IMPORTRANGE(""https://docs.google.com/spreadsheets/d/1C3CXT74ZlgGe6_JY_1olB1XN4rF0dxEuIIF-xsYjHgg/edit?usp=sharing"",""งบกองทุน!Ep35"")"),0)</f>
        <v>0</v>
      </c>
      <c r="J485" s="67">
        <f ca="1">IFERROR(__xludf.DUMMYFUNCTION("IMPORTRANGE(""https://docs.google.com/spreadsheets/d/1AGHcLOeeYFL3K4b9R1dSzyJy00PE_ra89DNTVfnxSWM/edit?usp=sharing"",""รวมที่ชุมชน!L24"")"),1.11)</f>
        <v>1.1100000000000001</v>
      </c>
      <c r="K485" s="233">
        <f t="shared" ca="1" si="109"/>
        <v>0</v>
      </c>
      <c r="L485" s="53"/>
      <c r="M485" s="53"/>
      <c r="N485" s="53"/>
    </row>
    <row r="486" spans="1:14" ht="21.75" customHeight="1" x14ac:dyDescent="0.4">
      <c r="A486" s="316"/>
      <c r="B486" s="51"/>
      <c r="C486" s="43"/>
      <c r="D486" s="155"/>
      <c r="E486" s="74" t="s">
        <v>105</v>
      </c>
      <c r="F486" s="75"/>
      <c r="G486" s="76"/>
      <c r="H486" s="60" t="s">
        <v>16</v>
      </c>
      <c r="I486" s="200">
        <f ca="1">IFERROR(__xludf.DUMMYFUNCTION("IMPORTRANGE(""https://docs.google.com/spreadsheets/d/1C3CXT74ZlgGe6_JY_1olB1XN4rF0dxEuIIF-xsYjHgg/edit?usp=sharing"",""งบกองทุน!Eq35"")"),0)</f>
        <v>0</v>
      </c>
      <c r="J486" s="67">
        <f ca="1">IFERROR(__xludf.DUMMYFUNCTION("IMPORTRANGE(""https://docs.google.com/spreadsheets/d/1AGHcLOeeYFL3K4b9R1dSzyJy00PE_ra89DNTVfnxSWM/edit?usp=sharing"",""รวมที่ชุมชน!S24"")"),0)</f>
        <v>0</v>
      </c>
      <c r="K486" s="233">
        <f t="shared" ca="1" si="109"/>
        <v>0</v>
      </c>
      <c r="L486" s="53"/>
      <c r="M486" s="53"/>
      <c r="N486" s="53"/>
    </row>
    <row r="487" spans="1:14" ht="21.75" customHeight="1" x14ac:dyDescent="0.4">
      <c r="A487" s="316"/>
      <c r="B487" s="51"/>
      <c r="C487" s="43"/>
      <c r="D487" s="155"/>
      <c r="E487" s="75"/>
      <c r="F487" s="75"/>
      <c r="G487" s="76"/>
      <c r="H487" s="60" t="s">
        <v>103</v>
      </c>
      <c r="I487" s="200">
        <f ca="1">IFERROR(__xludf.DUMMYFUNCTION("IMPORTRANGE(""https://docs.google.com/spreadsheets/d/1C3CXT74ZlgGe6_JY_1olB1XN4rF0dxEuIIF-xsYjHgg/edit?usp=sharing"",""งบกองทุน!Er35"")"),0)</f>
        <v>0</v>
      </c>
      <c r="J487" s="67">
        <f ca="1">IFERROR(__xludf.DUMMYFUNCTION("IMPORTRANGE(""https://docs.google.com/spreadsheets/d/1AGHcLOeeYFL3K4b9R1dSzyJy00PE_ra89DNTVfnxSWM/edit?usp=sharing"",""รวมที่ชุมชน!U24"")"),0)</f>
        <v>0</v>
      </c>
      <c r="K487" s="233">
        <f t="shared" ca="1" si="109"/>
        <v>0</v>
      </c>
      <c r="L487" s="53"/>
      <c r="M487" s="53"/>
      <c r="N487" s="53"/>
    </row>
    <row r="488" spans="1:14" ht="21.75" customHeight="1" x14ac:dyDescent="0.4">
      <c r="A488" s="316"/>
      <c r="B488" s="51"/>
      <c r="C488" s="43"/>
      <c r="D488" s="155"/>
      <c r="E488" s="74" t="s">
        <v>106</v>
      </c>
      <c r="F488" s="75"/>
      <c r="G488" s="76"/>
      <c r="H488" s="60" t="s">
        <v>16</v>
      </c>
      <c r="I488" s="200">
        <f ca="1">IFERROR(__xludf.DUMMYFUNCTION("IMPORTRANGE(""https://docs.google.com/spreadsheets/d/1C3CXT74ZlgGe6_JY_1olB1XN4rF0dxEuIIF-xsYjHgg/edit?usp=sharing"",""งบกองทุน!Es35"")"),0)</f>
        <v>0</v>
      </c>
      <c r="J488" s="67">
        <f ca="1">IFERROR(__xludf.DUMMYFUNCTION("IMPORTRANGE(""https://docs.google.com/spreadsheets/d/1AGHcLOeeYFL3K4b9R1dSzyJy00PE_ra89DNTVfnxSWM/edit?usp=sharing"",""รวมที่ชุมชน!V24"")"),0)</f>
        <v>0</v>
      </c>
      <c r="K488" s="233">
        <f t="shared" ca="1" si="109"/>
        <v>0</v>
      </c>
      <c r="L488" s="53"/>
      <c r="M488" s="53"/>
      <c r="N488" s="53"/>
    </row>
    <row r="489" spans="1:14" ht="21.75" customHeight="1" x14ac:dyDescent="0.4">
      <c r="A489" s="317"/>
      <c r="B489" s="318"/>
      <c r="C489" s="319"/>
      <c r="D489" s="320"/>
      <c r="E489" s="295"/>
      <c r="F489" s="295"/>
      <c r="G489" s="296"/>
      <c r="H489" s="321" t="s">
        <v>103</v>
      </c>
      <c r="I489" s="322">
        <f ca="1">IFERROR(__xludf.DUMMYFUNCTION("IMPORTRANGE(""https://docs.google.com/spreadsheets/d/1C3CXT74ZlgGe6_JY_1olB1XN4rF0dxEuIIF-xsYjHgg/edit?usp=sharing"",""งบกองทุน!Et35"")"),0)</f>
        <v>0</v>
      </c>
      <c r="J489" s="112">
        <f ca="1">IFERROR(__xludf.DUMMYFUNCTION("IMPORTRANGE(""https://docs.google.com/spreadsheets/d/1AGHcLOeeYFL3K4b9R1dSzyJy00PE_ra89DNTVfnxSWM/edit?usp=sharing"",""รวมที่ชุมชน!X24"")"),0)</f>
        <v>0</v>
      </c>
      <c r="K489" s="357">
        <f t="shared" ca="1" si="109"/>
        <v>0</v>
      </c>
      <c r="L489" s="346"/>
      <c r="M489" s="346"/>
      <c r="N489" s="346"/>
    </row>
    <row r="490" spans="1:14" ht="21.75" customHeight="1" x14ac:dyDescent="0.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10">I504</f>
        <v>50</v>
      </c>
      <c r="J490" s="375">
        <f t="shared" si="110"/>
        <v>0</v>
      </c>
      <c r="K490" s="301">
        <f ca="1">IF(I490&gt;0,J490*100/I490,0)</f>
        <v>0</v>
      </c>
      <c r="L490" s="259">
        <f ca="1">SUM(L491,L492)</f>
        <v>6150</v>
      </c>
      <c r="M490" s="259">
        <f>SUM(M491:M492)</f>
        <v>0</v>
      </c>
      <c r="N490" s="259">
        <f t="shared" ref="N490:N494" ca="1" si="111">+IF(L490&gt;0,M490*100/L490,0)</f>
        <v>0</v>
      </c>
    </row>
    <row r="491" spans="1:14" ht="21.75" customHeight="1" x14ac:dyDescent="0.4">
      <c r="A491" s="42"/>
      <c r="B491" s="43"/>
      <c r="C491" s="43" t="s">
        <v>17</v>
      </c>
      <c r="D491" s="44" t="s">
        <v>18</v>
      </c>
      <c r="E491" s="45"/>
      <c r="F491" s="45"/>
      <c r="G491" s="46" t="s">
        <v>19</v>
      </c>
      <c r="H491" s="47" t="s">
        <v>20</v>
      </c>
      <c r="I491" s="48" t="s">
        <v>21</v>
      </c>
      <c r="J491" s="48"/>
      <c r="K491" s="49"/>
      <c r="L491" s="50">
        <v>0</v>
      </c>
      <c r="M491" s="53">
        <v>0</v>
      </c>
      <c r="N491" s="53">
        <f t="shared" si="111"/>
        <v>0</v>
      </c>
    </row>
    <row r="492" spans="1:14" ht="21.75" customHeight="1" x14ac:dyDescent="0.4">
      <c r="A492" s="42"/>
      <c r="B492" s="43"/>
      <c r="C492" s="43"/>
      <c r="D492" s="51"/>
      <c r="E492" s="45"/>
      <c r="F492" s="45" t="s">
        <v>21</v>
      </c>
      <c r="G492" s="46" t="s">
        <v>22</v>
      </c>
      <c r="H492" s="47" t="s">
        <v>20</v>
      </c>
      <c r="I492" s="48"/>
      <c r="J492" s="48"/>
      <c r="K492" s="49"/>
      <c r="L492" s="50">
        <f t="shared" ref="L492:M492" ca="1" si="112">SUM(L493:L494)</f>
        <v>6150</v>
      </c>
      <c r="M492" s="53">
        <f t="shared" si="112"/>
        <v>0</v>
      </c>
      <c r="N492" s="53">
        <f t="shared" ca="1" si="111"/>
        <v>0</v>
      </c>
    </row>
    <row r="493" spans="1:14" ht="21.75" customHeight="1" x14ac:dyDescent="0.4">
      <c r="A493" s="42"/>
      <c r="B493" s="43"/>
      <c r="C493" s="43"/>
      <c r="D493" s="51"/>
      <c r="E493" s="45"/>
      <c r="F493" s="45"/>
      <c r="G493" s="52" t="s">
        <v>110</v>
      </c>
      <c r="H493" s="47" t="s">
        <v>20</v>
      </c>
      <c r="I493" s="48"/>
      <c r="J493" s="48"/>
      <c r="K493" s="49"/>
      <c r="L493" s="53">
        <f ca="1">IFERROR(__xludf.DUMMYFUNCTION("IMPORTRANGE(""https://docs.google.com/spreadsheets/d/1C3CXT74ZlgGe6_JY_1olB1XN4rF0dxEuIIF-xsYjHgg/edit?usp=sharing"",""งบกองทุน!Ev35"")"),0)</f>
        <v>0</v>
      </c>
      <c r="M493" s="53">
        <v>0</v>
      </c>
      <c r="N493" s="53">
        <f t="shared" ca="1" si="111"/>
        <v>0</v>
      </c>
    </row>
    <row r="494" spans="1:14" ht="21.75" customHeight="1" x14ac:dyDescent="0.4">
      <c r="A494" s="42"/>
      <c r="B494" s="43"/>
      <c r="C494" s="43"/>
      <c r="D494" s="51"/>
      <c r="E494" s="45"/>
      <c r="F494" s="45"/>
      <c r="G494" s="52" t="s">
        <v>111</v>
      </c>
      <c r="H494" s="47" t="s">
        <v>20</v>
      </c>
      <c r="I494" s="48"/>
      <c r="J494" s="48"/>
      <c r="K494" s="49"/>
      <c r="L494" s="53">
        <f ca="1">IFERROR(__xludf.DUMMYFUNCTION("IMPORTRANGE(""https://docs.google.com/spreadsheets/d/1C3CXT74ZlgGe6_JY_1olB1XN4rF0dxEuIIF-xsYjHgg/edit?usp=sharing"",""งบกองทุน!Ew35"")"),6150)</f>
        <v>6150</v>
      </c>
      <c r="M494" s="53">
        <f>SUM(M495:M498)</f>
        <v>0</v>
      </c>
      <c r="N494" s="53">
        <f t="shared" ca="1" si="111"/>
        <v>0</v>
      </c>
    </row>
    <row r="495" spans="1:14" ht="21.75" customHeight="1" x14ac:dyDescent="0.4">
      <c r="A495" s="230"/>
      <c r="B495" s="231"/>
      <c r="C495" s="43"/>
      <c r="D495" s="232"/>
      <c r="E495" s="45"/>
      <c r="F495" s="45"/>
      <c r="G495" s="46" t="s">
        <v>112</v>
      </c>
      <c r="H495" s="47" t="s">
        <v>20</v>
      </c>
      <c r="I495" s="67"/>
      <c r="J495" s="67"/>
      <c r="K495" s="233"/>
      <c r="L495" s="53"/>
      <c r="M495" s="53">
        <v>0</v>
      </c>
      <c r="N495" s="53"/>
    </row>
    <row r="496" spans="1:14" ht="21.75" customHeight="1" x14ac:dyDescent="0.4">
      <c r="A496" s="230"/>
      <c r="B496" s="231"/>
      <c r="C496" s="43"/>
      <c r="D496" s="232"/>
      <c r="E496" s="45"/>
      <c r="F496" s="45"/>
      <c r="G496" s="46" t="s">
        <v>113</v>
      </c>
      <c r="H496" s="47" t="s">
        <v>20</v>
      </c>
      <c r="I496" s="67"/>
      <c r="J496" s="67"/>
      <c r="K496" s="233"/>
      <c r="L496" s="53"/>
      <c r="M496" s="53">
        <v>0</v>
      </c>
      <c r="N496" s="53"/>
    </row>
    <row r="497" spans="1:14" ht="21.75" customHeight="1" x14ac:dyDescent="0.4">
      <c r="A497" s="230"/>
      <c r="B497" s="231"/>
      <c r="C497" s="43"/>
      <c r="D497" s="232"/>
      <c r="E497" s="45"/>
      <c r="F497" s="45"/>
      <c r="G497" s="46" t="s">
        <v>114</v>
      </c>
      <c r="H497" s="47" t="s">
        <v>20</v>
      </c>
      <c r="I497" s="67"/>
      <c r="J497" s="67"/>
      <c r="K497" s="233"/>
      <c r="L497" s="53"/>
      <c r="M497" s="54">
        <v>0</v>
      </c>
      <c r="N497" s="53"/>
    </row>
    <row r="498" spans="1:14" ht="21.75" customHeight="1" x14ac:dyDescent="0.4">
      <c r="A498" s="230"/>
      <c r="B498" s="231"/>
      <c r="C498" s="43"/>
      <c r="D498" s="232"/>
      <c r="E498" s="45"/>
      <c r="F498" s="45"/>
      <c r="G498" s="46" t="s">
        <v>115</v>
      </c>
      <c r="H498" s="47" t="s">
        <v>20</v>
      </c>
      <c r="I498" s="67"/>
      <c r="J498" s="67"/>
      <c r="K498" s="233"/>
      <c r="L498" s="53"/>
      <c r="M498" s="54">
        <v>0</v>
      </c>
      <c r="N498" s="53"/>
    </row>
    <row r="499" spans="1:14" ht="21.75" customHeight="1" x14ac:dyDescent="0.4">
      <c r="A499" s="55"/>
      <c r="B499" s="56"/>
      <c r="C499" s="43" t="s">
        <v>17</v>
      </c>
      <c r="D499" s="57" t="s">
        <v>25</v>
      </c>
      <c r="E499" s="58"/>
      <c r="F499" s="58"/>
      <c r="G499" s="59"/>
      <c r="H499" s="60"/>
      <c r="I499" s="48"/>
      <c r="J499" s="48"/>
      <c r="K499" s="49"/>
      <c r="L499" s="61"/>
      <c r="M499" s="61"/>
      <c r="N499" s="61"/>
    </row>
    <row r="500" spans="1:14" ht="21.75" customHeight="1" x14ac:dyDescent="0.4">
      <c r="A500" s="55"/>
      <c r="B500" s="56"/>
      <c r="C500" s="56"/>
      <c r="D500" s="62">
        <v>1</v>
      </c>
      <c r="E500" s="63" t="s">
        <v>26</v>
      </c>
      <c r="F500" s="64"/>
      <c r="G500" s="65"/>
      <c r="H500" s="66"/>
      <c r="I500" s="67"/>
      <c r="J500" s="68">
        <v>0</v>
      </c>
      <c r="K500" s="49"/>
      <c r="L500" s="61"/>
      <c r="M500" s="61"/>
      <c r="N500" s="61"/>
    </row>
    <row r="501" spans="1:14" ht="21.75" customHeight="1" x14ac:dyDescent="0.4">
      <c r="A501" s="55"/>
      <c r="B501" s="56"/>
      <c r="C501" s="56"/>
      <c r="D501" s="69">
        <v>2</v>
      </c>
      <c r="E501" s="70" t="s">
        <v>27</v>
      </c>
      <c r="F501" s="71"/>
      <c r="G501" s="72"/>
      <c r="H501" s="66"/>
      <c r="I501" s="67"/>
      <c r="J501" s="68">
        <v>1</v>
      </c>
      <c r="K501" s="49"/>
      <c r="L501" s="61" t="s">
        <v>21</v>
      </c>
      <c r="M501" s="61" t="s">
        <v>21</v>
      </c>
      <c r="N501" s="61"/>
    </row>
    <row r="502" spans="1:14" ht="21.75" hidden="1" customHeight="1" x14ac:dyDescent="0.4">
      <c r="A502" s="376"/>
      <c r="B502" s="377"/>
      <c r="C502" s="377"/>
      <c r="D502" s="378"/>
      <c r="E502" s="379" t="s">
        <v>28</v>
      </c>
      <c r="F502" s="380"/>
      <c r="G502" s="381"/>
      <c r="H502" s="330"/>
      <c r="I502" s="331"/>
      <c r="J502" s="331">
        <v>0</v>
      </c>
      <c r="K502" s="382"/>
      <c r="L502" s="383"/>
      <c r="M502" s="383"/>
      <c r="N502" s="383"/>
    </row>
    <row r="503" spans="1:14" ht="21.75" hidden="1" customHeight="1" x14ac:dyDescent="0.4">
      <c r="A503" s="376"/>
      <c r="B503" s="377"/>
      <c r="C503" s="377"/>
      <c r="D503" s="378"/>
      <c r="E503" s="379" t="s">
        <v>29</v>
      </c>
      <c r="F503" s="380"/>
      <c r="G503" s="381"/>
      <c r="H503" s="330"/>
      <c r="I503" s="331"/>
      <c r="J503" s="331">
        <v>0</v>
      </c>
      <c r="K503" s="382"/>
      <c r="L503" s="383"/>
      <c r="M503" s="383"/>
      <c r="N503" s="383"/>
    </row>
    <row r="504" spans="1:14" ht="21.75" customHeight="1" x14ac:dyDescent="0.4">
      <c r="A504" s="55"/>
      <c r="B504" s="56"/>
      <c r="C504" s="56"/>
      <c r="D504" s="73"/>
      <c r="E504" s="75"/>
      <c r="F504" s="75" t="s">
        <v>199</v>
      </c>
      <c r="G504" s="76"/>
      <c r="H504" s="60" t="s">
        <v>103</v>
      </c>
      <c r="I504" s="67">
        <f ca="1">IFERROR(__xludf.DUMMYFUNCTION("IMPORTRANGE(""https://docs.google.com/spreadsheets/d/1C3CXT74ZlgGe6_JY_1olB1XN4rF0dxEuIIF-xsYjHgg/edit?usp=sharing"",""งบกองทุน!EZ35"")"),50)</f>
        <v>50</v>
      </c>
      <c r="J504" s="48">
        <f>+J510</f>
        <v>0</v>
      </c>
      <c r="K504" s="49">
        <f t="shared" ref="K504:K512" ca="1" si="113">IF(I$504&gt;0,J504*100/I$504,0)</f>
        <v>0</v>
      </c>
      <c r="L504" s="61"/>
      <c r="M504" s="61"/>
      <c r="N504" s="61"/>
    </row>
    <row r="505" spans="1:14" ht="21.75" customHeight="1" x14ac:dyDescent="0.4">
      <c r="A505" s="55"/>
      <c r="B505" s="56"/>
      <c r="C505" s="56"/>
      <c r="D505" s="73"/>
      <c r="E505" s="77"/>
      <c r="F505" s="75"/>
      <c r="G505" s="99" t="s">
        <v>200</v>
      </c>
      <c r="H505" s="60" t="s">
        <v>103</v>
      </c>
      <c r="I505" s="67">
        <v>0</v>
      </c>
      <c r="J505" s="68">
        <v>0</v>
      </c>
      <c r="K505" s="49">
        <f t="shared" ca="1" si="113"/>
        <v>0</v>
      </c>
      <c r="L505" s="61"/>
      <c r="M505" s="61"/>
      <c r="N505" s="61"/>
    </row>
    <row r="506" spans="1:14" ht="21.75" customHeight="1" x14ac:dyDescent="0.4">
      <c r="A506" s="55"/>
      <c r="B506" s="56"/>
      <c r="C506" s="56"/>
      <c r="D506" s="73"/>
      <c r="E506" s="77"/>
      <c r="F506" s="75"/>
      <c r="G506" s="99" t="s">
        <v>201</v>
      </c>
      <c r="H506" s="60" t="s">
        <v>103</v>
      </c>
      <c r="I506" s="67">
        <v>0</v>
      </c>
      <c r="J506" s="68">
        <v>0</v>
      </c>
      <c r="K506" s="49">
        <f t="shared" ca="1" si="113"/>
        <v>0</v>
      </c>
      <c r="L506" s="61"/>
      <c r="M506" s="61"/>
      <c r="N506" s="61"/>
    </row>
    <row r="507" spans="1:14" ht="21.75" customHeight="1" x14ac:dyDescent="0.4">
      <c r="A507" s="55"/>
      <c r="B507" s="56"/>
      <c r="C507" s="56"/>
      <c r="D507" s="73"/>
      <c r="E507" s="77"/>
      <c r="F507" s="75"/>
      <c r="G507" s="99" t="s">
        <v>202</v>
      </c>
      <c r="H507" s="60" t="s">
        <v>103</v>
      </c>
      <c r="I507" s="67">
        <v>0</v>
      </c>
      <c r="J507" s="68">
        <v>0</v>
      </c>
      <c r="K507" s="49">
        <f t="shared" ca="1" si="113"/>
        <v>0</v>
      </c>
      <c r="L507" s="61"/>
      <c r="M507" s="61"/>
      <c r="N507" s="61"/>
    </row>
    <row r="508" spans="1:14" ht="21.75" customHeight="1" x14ac:dyDescent="0.4">
      <c r="A508" s="55"/>
      <c r="B508" s="56"/>
      <c r="C508" s="56"/>
      <c r="D508" s="73"/>
      <c r="E508" s="77"/>
      <c r="F508" s="75"/>
      <c r="G508" s="99" t="s">
        <v>203</v>
      </c>
      <c r="H508" s="60" t="s">
        <v>103</v>
      </c>
      <c r="I508" s="67">
        <v>0</v>
      </c>
      <c r="J508" s="68">
        <v>0</v>
      </c>
      <c r="K508" s="49">
        <f t="shared" ca="1" si="113"/>
        <v>0</v>
      </c>
      <c r="L508" s="61"/>
      <c r="M508" s="61"/>
      <c r="N508" s="61"/>
    </row>
    <row r="509" spans="1:14" ht="21.75" customHeight="1" x14ac:dyDescent="0.4">
      <c r="A509" s="55"/>
      <c r="B509" s="56"/>
      <c r="C509" s="56"/>
      <c r="D509" s="73"/>
      <c r="E509" s="77"/>
      <c r="F509" s="75"/>
      <c r="G509" s="74" t="s">
        <v>204</v>
      </c>
      <c r="H509" s="60" t="s">
        <v>103</v>
      </c>
      <c r="I509" s="67">
        <v>0</v>
      </c>
      <c r="J509" s="68">
        <v>0</v>
      </c>
      <c r="K509" s="49">
        <f t="shared" ca="1" si="113"/>
        <v>0</v>
      </c>
      <c r="L509" s="61"/>
      <c r="M509" s="61"/>
      <c r="N509" s="61"/>
    </row>
    <row r="510" spans="1:14" ht="21.75" customHeight="1" x14ac:dyDescent="0.4">
      <c r="A510" s="55"/>
      <c r="B510" s="56"/>
      <c r="C510" s="56"/>
      <c r="D510" s="73"/>
      <c r="E510" s="77"/>
      <c r="F510" s="75"/>
      <c r="G510" s="74" t="s">
        <v>205</v>
      </c>
      <c r="H510" s="60" t="s">
        <v>103</v>
      </c>
      <c r="I510" s="67">
        <f t="shared" ref="I510:J510" si="114">I511+I512</f>
        <v>0</v>
      </c>
      <c r="J510" s="67">
        <f t="shared" si="114"/>
        <v>0</v>
      </c>
      <c r="K510" s="49">
        <f t="shared" ca="1" si="113"/>
        <v>0</v>
      </c>
      <c r="L510" s="61"/>
      <c r="M510" s="61"/>
      <c r="N510" s="61"/>
    </row>
    <row r="511" spans="1:14" ht="21.75" customHeight="1" x14ac:dyDescent="0.4">
      <c r="A511" s="55"/>
      <c r="B511" s="56"/>
      <c r="C511" s="56"/>
      <c r="D511" s="73"/>
      <c r="E511" s="77"/>
      <c r="F511" s="75"/>
      <c r="G511" s="334" t="s">
        <v>206</v>
      </c>
      <c r="H511" s="60" t="s">
        <v>103</v>
      </c>
      <c r="I511" s="67">
        <v>0</v>
      </c>
      <c r="J511" s="68">
        <v>0</v>
      </c>
      <c r="K511" s="49">
        <f t="shared" ca="1" si="113"/>
        <v>0</v>
      </c>
      <c r="L511" s="61"/>
      <c r="M511" s="61"/>
      <c r="N511" s="61"/>
    </row>
    <row r="512" spans="1:14" ht="21.75" customHeight="1" x14ac:dyDescent="0.4">
      <c r="A512" s="55"/>
      <c r="B512" s="56"/>
      <c r="C512" s="56"/>
      <c r="D512" s="73"/>
      <c r="E512" s="77"/>
      <c r="F512" s="75"/>
      <c r="G512" s="334" t="s">
        <v>207</v>
      </c>
      <c r="H512" s="60" t="s">
        <v>103</v>
      </c>
      <c r="I512" s="67">
        <v>0</v>
      </c>
      <c r="J512" s="68">
        <v>0</v>
      </c>
      <c r="K512" s="49">
        <f t="shared" ca="1" si="113"/>
        <v>0</v>
      </c>
      <c r="L512" s="61"/>
      <c r="M512" s="61"/>
      <c r="N512" s="61"/>
    </row>
    <row r="513" spans="1:14" ht="21.75" customHeight="1" x14ac:dyDescent="0.4">
      <c r="A513" s="55"/>
      <c r="B513" s="56"/>
      <c r="C513" s="56"/>
      <c r="D513" s="73"/>
      <c r="E513" s="75"/>
      <c r="F513" s="74" t="s">
        <v>208</v>
      </c>
      <c r="G513" s="76"/>
      <c r="H513" s="60" t="s">
        <v>103</v>
      </c>
      <c r="I513" s="67">
        <f ca="1">IFERROR(__xludf.DUMMYFUNCTION("IMPORTRANGE(""https://docs.google.com/spreadsheets/d/1C3CXT74ZlgGe6_JY_1olB1XN4rF0dxEuIIF-xsYjHgg/edit?usp=sharing"",""งบกองทุน!ff35"")"),1577)</f>
        <v>1577</v>
      </c>
      <c r="J513" s="48">
        <f>J514</f>
        <v>0</v>
      </c>
      <c r="K513" s="49">
        <f t="shared" ref="K513:K519" ca="1" si="115">IF(I$513&gt;0,J513*100/I$513,0)</f>
        <v>0</v>
      </c>
      <c r="L513" s="61"/>
      <c r="M513" s="61"/>
      <c r="N513" s="61"/>
    </row>
    <row r="514" spans="1:14" ht="21.75" customHeight="1" x14ac:dyDescent="0.4">
      <c r="A514" s="55"/>
      <c r="B514" s="56"/>
      <c r="C514" s="56"/>
      <c r="D514" s="73"/>
      <c r="E514" s="77"/>
      <c r="F514" s="75"/>
      <c r="G514" s="99" t="s">
        <v>205</v>
      </c>
      <c r="H514" s="60" t="s">
        <v>103</v>
      </c>
      <c r="I514" s="48">
        <f t="shared" ref="I514:J514" si="116">I515+I516</f>
        <v>0</v>
      </c>
      <c r="J514" s="48">
        <f t="shared" si="116"/>
        <v>0</v>
      </c>
      <c r="K514" s="49">
        <f t="shared" ca="1" si="115"/>
        <v>0</v>
      </c>
      <c r="L514" s="61"/>
      <c r="M514" s="61"/>
      <c r="N514" s="61"/>
    </row>
    <row r="515" spans="1:14" ht="21.75" customHeight="1" x14ac:dyDescent="0.4">
      <c r="A515" s="55"/>
      <c r="B515" s="56"/>
      <c r="C515" s="56"/>
      <c r="D515" s="73"/>
      <c r="E515" s="77"/>
      <c r="F515" s="75"/>
      <c r="G515" s="334" t="s">
        <v>206</v>
      </c>
      <c r="H515" s="60" t="s">
        <v>103</v>
      </c>
      <c r="I515" s="67">
        <v>0</v>
      </c>
      <c r="J515" s="68">
        <v>0</v>
      </c>
      <c r="K515" s="49">
        <f t="shared" ca="1" si="115"/>
        <v>0</v>
      </c>
      <c r="L515" s="61"/>
      <c r="M515" s="61"/>
      <c r="N515" s="61"/>
    </row>
    <row r="516" spans="1:14" ht="21.75" customHeight="1" x14ac:dyDescent="0.4">
      <c r="A516" s="55"/>
      <c r="B516" s="56"/>
      <c r="C516" s="56"/>
      <c r="D516" s="73"/>
      <c r="E516" s="77"/>
      <c r="F516" s="75"/>
      <c r="G516" s="334" t="s">
        <v>207</v>
      </c>
      <c r="H516" s="60" t="s">
        <v>103</v>
      </c>
      <c r="I516" s="67">
        <v>0</v>
      </c>
      <c r="J516" s="68">
        <v>0</v>
      </c>
      <c r="K516" s="49">
        <f t="shared" ca="1" si="115"/>
        <v>0</v>
      </c>
      <c r="L516" s="61"/>
      <c r="M516" s="61"/>
      <c r="N516" s="61"/>
    </row>
    <row r="517" spans="1:14" ht="21.75" customHeight="1" x14ac:dyDescent="0.4">
      <c r="A517" s="55"/>
      <c r="B517" s="56"/>
      <c r="C517" s="56"/>
      <c r="D517" s="73"/>
      <c r="E517" s="77"/>
      <c r="F517" s="75"/>
      <c r="G517" s="99" t="s">
        <v>209</v>
      </c>
      <c r="H517" s="60" t="s">
        <v>103</v>
      </c>
      <c r="I517" s="67">
        <f t="shared" ref="I517:J517" si="117">SUM(I518:I519)</f>
        <v>0</v>
      </c>
      <c r="J517" s="67">
        <f t="shared" si="117"/>
        <v>0</v>
      </c>
      <c r="K517" s="49">
        <f t="shared" ca="1" si="115"/>
        <v>0</v>
      </c>
      <c r="L517" s="61"/>
      <c r="M517" s="61"/>
      <c r="N517" s="61"/>
    </row>
    <row r="518" spans="1:14" ht="21.75" customHeight="1" x14ac:dyDescent="0.4">
      <c r="A518" s="55"/>
      <c r="B518" s="56"/>
      <c r="C518" s="56"/>
      <c r="D518" s="73"/>
      <c r="E518" s="77"/>
      <c r="F518" s="75"/>
      <c r="G518" s="334" t="s">
        <v>210</v>
      </c>
      <c r="H518" s="60" t="s">
        <v>103</v>
      </c>
      <c r="I518" s="67">
        <v>0</v>
      </c>
      <c r="J518" s="68">
        <v>0</v>
      </c>
      <c r="K518" s="49">
        <f t="shared" ca="1" si="115"/>
        <v>0</v>
      </c>
      <c r="L518" s="61"/>
      <c r="M518" s="61"/>
      <c r="N518" s="61"/>
    </row>
    <row r="519" spans="1:14" ht="21.75" customHeight="1" x14ac:dyDescent="0.4">
      <c r="A519" s="55"/>
      <c r="B519" s="56"/>
      <c r="C519" s="56"/>
      <c r="D519" s="73"/>
      <c r="E519" s="77"/>
      <c r="F519" s="75"/>
      <c r="G519" s="334" t="s">
        <v>211</v>
      </c>
      <c r="H519" s="60" t="s">
        <v>103</v>
      </c>
      <c r="I519" s="67">
        <v>0</v>
      </c>
      <c r="J519" s="68">
        <v>0</v>
      </c>
      <c r="K519" s="49">
        <f t="shared" ca="1" si="115"/>
        <v>0</v>
      </c>
      <c r="L519" s="61"/>
      <c r="M519" s="61"/>
      <c r="N519" s="61"/>
    </row>
    <row r="520" spans="1:14" ht="21.75" customHeight="1" x14ac:dyDescent="0.4">
      <c r="A520" s="335" t="s">
        <v>212</v>
      </c>
      <c r="B520" s="336"/>
      <c r="C520" s="336"/>
      <c r="D520" s="336"/>
      <c r="E520" s="336"/>
      <c r="F520" s="336"/>
      <c r="G520" s="337"/>
      <c r="H520" s="338"/>
      <c r="I520" s="339"/>
      <c r="J520" s="339"/>
      <c r="K520" s="340"/>
      <c r="L520" s="340"/>
      <c r="M520" s="340"/>
      <c r="N520" s="341"/>
    </row>
    <row r="521" spans="1:14" ht="21.75" customHeight="1" x14ac:dyDescent="0.4">
      <c r="A521" s="316"/>
      <c r="B521" s="45" t="s">
        <v>213</v>
      </c>
      <c r="C521" s="43"/>
      <c r="D521" s="51"/>
      <c r="E521" s="45"/>
      <c r="F521" s="45"/>
      <c r="G521" s="46"/>
      <c r="H521" s="342" t="s">
        <v>20</v>
      </c>
      <c r="I521" s="200">
        <f ca="1">IFERROR(__xludf.DUMMYFUNCTION("IMPORTRANGE(""https://docs.google.com/spreadsheets/d/1muirlRDkqiswvy_NRZ3Yh955hx-PF6_HhssUYiSJj8o/edit?usp=sharing"",""กองทุน!D35"")"),20731392.96)</f>
        <v>20731392.960000001</v>
      </c>
      <c r="J521" s="200">
        <f ca="1">IFERROR(__xludf.DUMMYFUNCTION("IMPORTRANGE(""https://docs.google.com/spreadsheets/d/1muirlRDkqiswvy_NRZ3Yh955hx-PF6_HhssUYiSJj8o/edit?usp=sharing"",""กองทุน!F35"")"),30079.56)</f>
        <v>30079.56</v>
      </c>
      <c r="K521" s="201">
        <f t="shared" ref="K521:K528" ca="1" si="118">IF(I521&gt;0,J521*100/I521,0)</f>
        <v>0.14509184239591008</v>
      </c>
      <c r="L521" s="201"/>
      <c r="M521" s="201"/>
      <c r="N521" s="53"/>
    </row>
    <row r="522" spans="1:14" ht="21.75" customHeight="1" x14ac:dyDescent="0.4">
      <c r="A522" s="316"/>
      <c r="B522" s="43"/>
      <c r="C522" s="43"/>
      <c r="D522" s="51"/>
      <c r="E522" s="45"/>
      <c r="F522" s="45"/>
      <c r="G522" s="46"/>
      <c r="H522" s="342" t="s">
        <v>16</v>
      </c>
      <c r="I522" s="200">
        <f ca="1">IFERROR(__xludf.DUMMYFUNCTION("IMPORTRANGE(""https://docs.google.com/spreadsheets/d/1muirlRDkqiswvy_NRZ3Yh955hx-PF6_HhssUYiSJj8o/edit?usp=sharing"",""กองทุน!C35"")"),842)</f>
        <v>842</v>
      </c>
      <c r="J522" s="200">
        <f ca="1">IFERROR(__xludf.DUMMYFUNCTION("IMPORTRANGE(""https://docs.google.com/spreadsheets/d/1muirlRDkqiswvy_NRZ3Yh955hx-PF6_HhssUYiSJj8o/edit?usp=sharing"",""กองทุน!E35"")"),2)</f>
        <v>2</v>
      </c>
      <c r="K522" s="201">
        <f t="shared" ca="1" si="118"/>
        <v>0.23752969121140141</v>
      </c>
      <c r="L522" s="201"/>
      <c r="M522" s="201"/>
      <c r="N522" s="53"/>
    </row>
    <row r="523" spans="1:14" ht="21.75" customHeight="1" x14ac:dyDescent="0.4">
      <c r="A523" s="316"/>
      <c r="B523" s="45" t="s">
        <v>214</v>
      </c>
      <c r="C523" s="43"/>
      <c r="D523" s="51"/>
      <c r="E523" s="45"/>
      <c r="F523" s="45"/>
      <c r="G523" s="46"/>
      <c r="H523" s="342" t="s">
        <v>20</v>
      </c>
      <c r="I523" s="200">
        <f ca="1">IFERROR(__xludf.DUMMYFUNCTION("IMPORTRANGE(""https://docs.google.com/spreadsheets/d/1muirlRDkqiswvy_NRZ3Yh955hx-PF6_HhssUYiSJj8o/edit?usp=sharing"",""กองทุน!I35"")"),19324248.74)</f>
        <v>19324248.739999998</v>
      </c>
      <c r="J523" s="200">
        <f ca="1">IFERROR(__xludf.DUMMYFUNCTION("IMPORTRANGE(""https://docs.google.com/spreadsheets/d/1muirlRDkqiswvy_NRZ3Yh955hx-PF6_HhssUYiSJj8o/edit?usp=sharing"",""กองทุน!K35"")"),84100.3)</f>
        <v>84100.3</v>
      </c>
      <c r="K523" s="201">
        <f t="shared" ca="1" si="118"/>
        <v>0.43520605189643202</v>
      </c>
      <c r="L523" s="201"/>
      <c r="M523" s="201"/>
      <c r="N523" s="53"/>
    </row>
    <row r="524" spans="1:14" ht="21.75" customHeight="1" x14ac:dyDescent="0.4">
      <c r="A524" s="316"/>
      <c r="B524" s="43"/>
      <c r="C524" s="43"/>
      <c r="D524" s="51"/>
      <c r="E524" s="45"/>
      <c r="F524" s="45"/>
      <c r="G524" s="46"/>
      <c r="H524" s="342" t="s">
        <v>16</v>
      </c>
      <c r="I524" s="200">
        <f ca="1">IFERROR(__xludf.DUMMYFUNCTION("IMPORTRANGE(""https://docs.google.com/spreadsheets/d/1muirlRDkqiswvy_NRZ3Yh955hx-PF6_HhssUYiSJj8o/edit?usp=sharing"",""กองทุน!H35"")"),698)</f>
        <v>698</v>
      </c>
      <c r="J524" s="200">
        <f ca="1">IFERROR(__xludf.DUMMYFUNCTION("IMPORTRANGE(""https://docs.google.com/spreadsheets/d/1muirlRDkqiswvy_NRZ3Yh955hx-PF6_HhssUYiSJj8o/edit?usp=sharing"",""กองทุน!J35"")"),20)</f>
        <v>20</v>
      </c>
      <c r="K524" s="201">
        <f t="shared" ca="1" si="118"/>
        <v>2.8653295128939829</v>
      </c>
      <c r="L524" s="201"/>
      <c r="M524" s="201"/>
      <c r="N524" s="53"/>
    </row>
    <row r="525" spans="1:14" ht="21.75" customHeight="1" x14ac:dyDescent="0.4">
      <c r="A525" s="316"/>
      <c r="B525" s="45" t="s">
        <v>215</v>
      </c>
      <c r="C525" s="43"/>
      <c r="D525" s="51"/>
      <c r="E525" s="45"/>
      <c r="F525" s="45"/>
      <c r="G525" s="46"/>
      <c r="H525" s="342" t="s">
        <v>20</v>
      </c>
      <c r="I525" s="200">
        <f ca="1">IFERROR(__xludf.DUMMYFUNCTION("IMPORTRANGE(""https://docs.google.com/spreadsheets/d/1muirlRDkqiswvy_NRZ3Yh955hx-PF6_HhssUYiSJj8o/edit?usp=sharing"",""กองทุน!N35"")"),3111532.73)</f>
        <v>3111532.73</v>
      </c>
      <c r="J525" s="200">
        <f ca="1">IFERROR(__xludf.DUMMYFUNCTION("IMPORTRANGE(""https://docs.google.com/spreadsheets/d/1muirlRDkqiswvy_NRZ3Yh955hx-PF6_HhssUYiSJj8o/edit?usp=sharing"",""กองทุน!P35"")"),13672.54)</f>
        <v>13672.54</v>
      </c>
      <c r="K525" s="201">
        <f t="shared" ca="1" si="118"/>
        <v>0.43941495032899752</v>
      </c>
      <c r="L525" s="201"/>
      <c r="M525" s="201"/>
      <c r="N525" s="53"/>
    </row>
    <row r="526" spans="1:14" ht="21.75" customHeight="1" x14ac:dyDescent="0.4">
      <c r="A526" s="316"/>
      <c r="B526" s="45"/>
      <c r="C526" s="43"/>
      <c r="D526" s="51"/>
      <c r="E526" s="45"/>
      <c r="F526" s="45"/>
      <c r="G526" s="46"/>
      <c r="H526" s="342" t="s">
        <v>16</v>
      </c>
      <c r="I526" s="200">
        <f ca="1">IFERROR(__xludf.DUMMYFUNCTION("IMPORTRANGE(""https://docs.google.com/spreadsheets/d/1muirlRDkqiswvy_NRZ3Yh955hx-PF6_HhssUYiSJj8o/edit?usp=sharing"",""กองทุน!M35"")"),78)</f>
        <v>78</v>
      </c>
      <c r="J526" s="200">
        <f ca="1">IFERROR(__xludf.DUMMYFUNCTION("IMPORTRANGE(""https://docs.google.com/spreadsheets/d/1muirlRDkqiswvy_NRZ3Yh955hx-PF6_HhssUYiSJj8o/edit?usp=sharing"",""กองทุน!O35"")"),3)</f>
        <v>3</v>
      </c>
      <c r="K526" s="201">
        <f t="shared" ca="1" si="118"/>
        <v>3.8461538461538463</v>
      </c>
      <c r="L526" s="201"/>
      <c r="M526" s="201"/>
      <c r="N526" s="53"/>
    </row>
    <row r="527" spans="1:14" ht="21.75" customHeight="1" x14ac:dyDescent="0.4">
      <c r="A527" s="316"/>
      <c r="B527" s="45" t="s">
        <v>216</v>
      </c>
      <c r="C527" s="43"/>
      <c r="D527" s="51"/>
      <c r="E527" s="45"/>
      <c r="F527" s="45"/>
      <c r="G527" s="46"/>
      <c r="H527" s="342" t="s">
        <v>20</v>
      </c>
      <c r="I527" s="200">
        <f ca="1">IFERROR(__xludf.DUMMYFUNCTION("IMPORTRANGE(""https://docs.google.com/spreadsheets/d/1muirlRDkqiswvy_NRZ3Yh955hx-PF6_HhssUYiSJj8o/edit?usp=sharing"",""กองทุน!S35"")"),15000000)</f>
        <v>15000000</v>
      </c>
      <c r="J527" s="200">
        <f ca="1">IFERROR(__xludf.DUMMYFUNCTION("IMPORTRANGE(""https://docs.google.com/spreadsheets/d/1muirlRDkqiswvy_NRZ3Yh955hx-PF6_HhssUYiSJj8o/edit?usp=sharing"",""กองทุน!U35"")"),0)</f>
        <v>0</v>
      </c>
      <c r="K527" s="201">
        <f t="shared" ca="1" si="118"/>
        <v>0</v>
      </c>
      <c r="L527" s="201"/>
      <c r="M527" s="201"/>
      <c r="N527" s="53"/>
    </row>
    <row r="528" spans="1:14" ht="21.75" customHeight="1" x14ac:dyDescent="0.4">
      <c r="A528" s="317"/>
      <c r="B528" s="319"/>
      <c r="C528" s="319"/>
      <c r="D528" s="318"/>
      <c r="E528" s="343"/>
      <c r="F528" s="343"/>
      <c r="G528" s="344"/>
      <c r="H528" s="345" t="s">
        <v>16</v>
      </c>
      <c r="I528" s="322">
        <f ca="1">IFERROR(__xludf.DUMMYFUNCTION("IMPORTRANGE(""https://docs.google.com/spreadsheets/d/1muirlRDkqiswvy_NRZ3Yh955hx-PF6_HhssUYiSJj8o/edit?usp=sharing"",""กองทุน!R35"")"),400)</f>
        <v>400</v>
      </c>
      <c r="J528" s="322">
        <f ca="1">IFERROR(__xludf.DUMMYFUNCTION("IMPORTRANGE(""https://docs.google.com/spreadsheets/d/1muirlRDkqiswvy_NRZ3Yh955hx-PF6_HhssUYiSJj8o/edit?usp=sharing"",""กองทุน!T35"")"),0)</f>
        <v>0</v>
      </c>
      <c r="K528" s="323">
        <f t="shared" ca="1" si="118"/>
        <v>0</v>
      </c>
      <c r="L528" s="323"/>
      <c r="M528" s="323"/>
      <c r="N528" s="346"/>
    </row>
    <row r="529" spans="1:14" ht="21.75" customHeight="1" x14ac:dyDescent="0.4">
      <c r="A529" s="347"/>
      <c r="B529" s="347"/>
      <c r="C529" s="347"/>
      <c r="D529" s="347"/>
      <c r="E529" s="348" t="s">
        <v>217</v>
      </c>
      <c r="F529" s="348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&amp;P/&amp;N&amp;R&amp;F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L18" sqref="L18"/>
      <selection pane="bottomLeft" activeCell="L20" sqref="L20"/>
    </sheetView>
  </sheetViews>
  <sheetFormatPr defaultColWidth="12.625" defaultRowHeight="15" customHeight="1" x14ac:dyDescent="0.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8.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23.25" x14ac:dyDescent="0.4">
      <c r="A1" s="403" t="s">
        <v>0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</row>
    <row r="2" spans="1:14" ht="23.25" x14ac:dyDescent="0.4">
      <c r="A2" s="403" t="s">
        <v>248</v>
      </c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404"/>
    </row>
    <row r="3" spans="1:14" ht="23.25" x14ac:dyDescent="0.4">
      <c r="A3" s="403" t="s">
        <v>249</v>
      </c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04"/>
    </row>
    <row r="4" spans="1:14" ht="33.75" customHeight="1" x14ac:dyDescent="0.4">
      <c r="A4" s="2"/>
      <c r="B4" s="2"/>
      <c r="C4" s="2"/>
      <c r="D4" s="2"/>
      <c r="E4" s="2"/>
      <c r="F4" s="2"/>
      <c r="G4" s="2"/>
      <c r="H4" s="2"/>
      <c r="I4" s="2"/>
      <c r="J4" s="354" t="s">
        <v>2</v>
      </c>
      <c r="K4" s="4"/>
      <c r="L4" s="5"/>
      <c r="M4" s="355" t="s">
        <v>3</v>
      </c>
      <c r="N4" s="2"/>
    </row>
    <row r="5" spans="1:14" ht="21.75" customHeight="1" x14ac:dyDescent="0.55000000000000004">
      <c r="A5" s="405" t="s">
        <v>4</v>
      </c>
      <c r="B5" s="406"/>
      <c r="C5" s="406"/>
      <c r="D5" s="406"/>
      <c r="E5" s="406"/>
      <c r="F5" s="406"/>
      <c r="G5" s="407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2737255</v>
      </c>
      <c r="M6" s="16">
        <f t="shared" si="0"/>
        <v>47540</v>
      </c>
      <c r="N6" s="17">
        <f ca="1">IF(L6&gt;0,M6*100/L6,0)</f>
        <v>1.7367764420925342</v>
      </c>
    </row>
    <row r="7" spans="1:14" ht="21.75" customHeight="1" x14ac:dyDescent="0.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2</v>
      </c>
      <c r="J9" s="38">
        <f t="shared" si="1"/>
        <v>2</v>
      </c>
      <c r="K9" s="41">
        <f t="shared" ref="K9:K10" ca="1" si="2">IF(I9&gt;0,J9*100/I9,0)</f>
        <v>100</v>
      </c>
      <c r="L9" s="40">
        <f ca="1">L11+L12</f>
        <v>829500</v>
      </c>
      <c r="M9" s="40">
        <f>SUM(M11:M12)</f>
        <v>25890</v>
      </c>
      <c r="N9" s="41">
        <f ca="1">IF(L9&gt;0,M9*100/L9,0)</f>
        <v>3.1211573236889691</v>
      </c>
    </row>
    <row r="10" spans="1:14" ht="21.75" customHeight="1" x14ac:dyDescent="0.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70</v>
      </c>
      <c r="J10" s="38">
        <f t="shared" si="3"/>
        <v>50</v>
      </c>
      <c r="K10" s="41">
        <f t="shared" ca="1" si="2"/>
        <v>71.428571428571431</v>
      </c>
      <c r="L10" s="40"/>
      <c r="M10" s="40"/>
      <c r="N10" s="41"/>
    </row>
    <row r="11" spans="1:14" ht="21.75" customHeight="1" x14ac:dyDescent="0.4">
      <c r="A11" s="42"/>
      <c r="B11" s="43"/>
      <c r="C11" s="43" t="s">
        <v>17</v>
      </c>
      <c r="D11" s="44" t="s">
        <v>18</v>
      </c>
      <c r="E11" s="45"/>
      <c r="F11" s="45"/>
      <c r="G11" s="46" t="s">
        <v>19</v>
      </c>
      <c r="H11" s="47" t="s">
        <v>20</v>
      </c>
      <c r="I11" s="48" t="s">
        <v>21</v>
      </c>
      <c r="J11" s="48"/>
      <c r="K11" s="49"/>
      <c r="L11" s="50">
        <v>0</v>
      </c>
      <c r="M11" s="50">
        <v>0</v>
      </c>
      <c r="N11" s="50">
        <f t="shared" ref="N11:N14" si="4">+IF(L11&gt;0,M11*100/L11,0)</f>
        <v>0</v>
      </c>
    </row>
    <row r="12" spans="1:14" ht="21.75" customHeight="1" x14ac:dyDescent="0.4">
      <c r="A12" s="42"/>
      <c r="B12" s="43"/>
      <c r="C12" s="43"/>
      <c r="D12" s="51"/>
      <c r="E12" s="45"/>
      <c r="F12" s="45" t="s">
        <v>21</v>
      </c>
      <c r="G12" s="46" t="s">
        <v>22</v>
      </c>
      <c r="H12" s="47" t="s">
        <v>20</v>
      </c>
      <c r="I12" s="48"/>
      <c r="J12" s="48"/>
      <c r="K12" s="49"/>
      <c r="L12" s="53">
        <f ca="1">IFERROR(__xludf.DUMMYFUNCTION("IMPORTRANGE(""https://docs.google.com/spreadsheets/d/1C3CXT74ZlgGe6_JY_1olB1XN4rF0dxEuIIF-xsYjHgg/edit?usp=sharing"",""พรบ!C36"")"),829500)</f>
        <v>829500</v>
      </c>
      <c r="M12" s="50">
        <f>SUM(M13:M14)</f>
        <v>25890</v>
      </c>
      <c r="N12" s="50">
        <f t="shared" ca="1" si="4"/>
        <v>3.1211573236889691</v>
      </c>
    </row>
    <row r="13" spans="1:14" ht="21.75" customHeight="1" x14ac:dyDescent="0.4">
      <c r="A13" s="42"/>
      <c r="B13" s="43"/>
      <c r="C13" s="43"/>
      <c r="D13" s="51"/>
      <c r="E13" s="45"/>
      <c r="F13" s="45"/>
      <c r="G13" s="52" t="s">
        <v>23</v>
      </c>
      <c r="H13" s="47" t="s">
        <v>20</v>
      </c>
      <c r="I13" s="48"/>
      <c r="J13" s="48"/>
      <c r="K13" s="49"/>
      <c r="L13" s="53">
        <f ca="1">IFERROR(__xludf.DUMMYFUNCTION("IMPORTRANGE(""https://docs.google.com/spreadsheets/d/1C3CXT74ZlgGe6_JY_1olB1XN4rF0dxEuIIF-xsYjHgg/edit?usp=sharing"",""พรบ!D36"")"),179500)</f>
        <v>179500</v>
      </c>
      <c r="M13" s="54">
        <v>0</v>
      </c>
      <c r="N13" s="53">
        <f t="shared" ca="1" si="4"/>
        <v>0</v>
      </c>
    </row>
    <row r="14" spans="1:14" ht="21.75" customHeight="1" x14ac:dyDescent="0.4">
      <c r="A14" s="42"/>
      <c r="B14" s="43"/>
      <c r="C14" s="43"/>
      <c r="D14" s="51"/>
      <c r="E14" s="45"/>
      <c r="F14" s="45"/>
      <c r="G14" s="52" t="s">
        <v>24</v>
      </c>
      <c r="H14" s="47" t="s">
        <v>20</v>
      </c>
      <c r="I14" s="48"/>
      <c r="J14" s="48"/>
      <c r="K14" s="49"/>
      <c r="L14" s="53">
        <f ca="1">IFERROR(__xludf.DUMMYFUNCTION("IMPORTRANGE(""https://docs.google.com/spreadsheets/d/1C3CXT74ZlgGe6_JY_1olB1XN4rF0dxEuIIF-xsYjHgg/edit?usp=sharing"",""พรบ!E36"")"),650000)</f>
        <v>650000</v>
      </c>
      <c r="M14" s="54">
        <v>25890</v>
      </c>
      <c r="N14" s="53">
        <f t="shared" ca="1" si="4"/>
        <v>3.983076923076923</v>
      </c>
    </row>
    <row r="15" spans="1:14" ht="21.75" customHeight="1" x14ac:dyDescent="0.4">
      <c r="A15" s="55"/>
      <c r="B15" s="56"/>
      <c r="C15" s="43" t="s">
        <v>17</v>
      </c>
      <c r="D15" s="57" t="s">
        <v>25</v>
      </c>
      <c r="E15" s="58"/>
      <c r="F15" s="58"/>
      <c r="G15" s="59"/>
      <c r="H15" s="60"/>
      <c r="I15" s="48"/>
      <c r="J15" s="48"/>
      <c r="K15" s="49"/>
      <c r="L15" s="61"/>
      <c r="M15" s="61"/>
      <c r="N15" s="61"/>
    </row>
    <row r="16" spans="1:14" ht="21.75" customHeight="1" x14ac:dyDescent="0.4">
      <c r="A16" s="55"/>
      <c r="B16" s="56"/>
      <c r="C16" s="56"/>
      <c r="D16" s="62">
        <v>1</v>
      </c>
      <c r="E16" s="63" t="s">
        <v>26</v>
      </c>
      <c r="F16" s="64"/>
      <c r="G16" s="65"/>
      <c r="H16" s="66"/>
      <c r="I16" s="67"/>
      <c r="J16" s="68">
        <v>0</v>
      </c>
      <c r="K16" s="49"/>
      <c r="L16" s="61"/>
      <c r="M16" s="61"/>
      <c r="N16" s="61"/>
    </row>
    <row r="17" spans="1:14" ht="21.75" customHeight="1" x14ac:dyDescent="0.4">
      <c r="A17" s="55"/>
      <c r="B17" s="56"/>
      <c r="C17" s="56"/>
      <c r="D17" s="69">
        <v>2</v>
      </c>
      <c r="E17" s="70" t="s">
        <v>27</v>
      </c>
      <c r="F17" s="71"/>
      <c r="G17" s="72"/>
      <c r="H17" s="66"/>
      <c r="I17" s="67"/>
      <c r="J17" s="68">
        <v>1</v>
      </c>
      <c r="K17" s="49"/>
      <c r="L17" s="61" t="s">
        <v>21</v>
      </c>
      <c r="M17" s="61" t="s">
        <v>21</v>
      </c>
      <c r="N17" s="61"/>
    </row>
    <row r="18" spans="1:14" ht="21.75" customHeight="1" x14ac:dyDescent="0.4">
      <c r="A18" s="55"/>
      <c r="B18" s="56"/>
      <c r="C18" s="56"/>
      <c r="D18" s="73"/>
      <c r="E18" s="74" t="s">
        <v>28</v>
      </c>
      <c r="F18" s="75"/>
      <c r="G18" s="76"/>
      <c r="H18" s="66"/>
      <c r="I18" s="67"/>
      <c r="J18" s="68">
        <v>1</v>
      </c>
      <c r="K18" s="49"/>
      <c r="L18" s="61"/>
      <c r="M18" s="61"/>
      <c r="N18" s="61"/>
    </row>
    <row r="19" spans="1:14" ht="21.75" customHeight="1" x14ac:dyDescent="0.4">
      <c r="A19" s="55"/>
      <c r="B19" s="56"/>
      <c r="C19" s="56"/>
      <c r="D19" s="73"/>
      <c r="E19" s="74" t="s">
        <v>29</v>
      </c>
      <c r="F19" s="75"/>
      <c r="G19" s="76"/>
      <c r="H19" s="66"/>
      <c r="I19" s="67"/>
      <c r="J19" s="68">
        <v>1</v>
      </c>
      <c r="K19" s="49"/>
      <c r="L19" s="61"/>
      <c r="M19" s="61"/>
      <c r="N19" s="61"/>
    </row>
    <row r="20" spans="1:14" ht="21.75" customHeight="1" x14ac:dyDescent="0.4">
      <c r="A20" s="55"/>
      <c r="B20" s="56"/>
      <c r="C20" s="56"/>
      <c r="D20" s="73"/>
      <c r="E20" s="77"/>
      <c r="F20" s="74" t="s">
        <v>30</v>
      </c>
      <c r="G20" s="75"/>
      <c r="H20" s="78" t="s">
        <v>15</v>
      </c>
      <c r="I20" s="79">
        <f t="shared" ref="I20:J20" ca="1" si="5">+I22+I24+I26</f>
        <v>2</v>
      </c>
      <c r="J20" s="79">
        <f t="shared" si="5"/>
        <v>2</v>
      </c>
      <c r="K20" s="80">
        <f t="shared" ref="K20:K28" ca="1" si="6">IF(I20&gt;0,J20*100/I20,0)</f>
        <v>100</v>
      </c>
      <c r="L20" s="61"/>
      <c r="M20" s="61"/>
      <c r="N20" s="61"/>
    </row>
    <row r="21" spans="1:14" ht="21.75" customHeight="1" x14ac:dyDescent="0.4">
      <c r="A21" s="55"/>
      <c r="B21" s="56"/>
      <c r="C21" s="56"/>
      <c r="D21" s="73"/>
      <c r="E21" s="77"/>
      <c r="F21" s="75"/>
      <c r="G21" s="76"/>
      <c r="H21" s="78" t="s">
        <v>16</v>
      </c>
      <c r="I21" s="79">
        <f t="shared" ref="I21:J21" ca="1" si="7">+I23+I25+I27</f>
        <v>70</v>
      </c>
      <c r="J21" s="79">
        <f t="shared" si="7"/>
        <v>50</v>
      </c>
      <c r="K21" s="80">
        <f t="shared" ca="1" si="6"/>
        <v>71.428571428571431</v>
      </c>
      <c r="L21" s="61"/>
      <c r="M21" s="61"/>
      <c r="N21" s="61"/>
    </row>
    <row r="22" spans="1:14" ht="21.75" customHeight="1" x14ac:dyDescent="0.4">
      <c r="A22" s="55"/>
      <c r="B22" s="56"/>
      <c r="C22" s="56"/>
      <c r="D22" s="73"/>
      <c r="E22" s="77"/>
      <c r="F22" s="75"/>
      <c r="G22" s="75" t="s">
        <v>31</v>
      </c>
      <c r="H22" s="60" t="s">
        <v>15</v>
      </c>
      <c r="I22" s="48">
        <f ca="1">IFERROR(__xludf.DUMMYFUNCTION("IMPORTRANGE(""https://docs.google.com/spreadsheets/d/1C3CXT74ZlgGe6_JY_1olB1XN4rF0dxEuIIF-xsYjHgg/edit?usp=sharing"",""พรบ!H36"")"),1)</f>
        <v>1</v>
      </c>
      <c r="J22" s="68">
        <v>1</v>
      </c>
      <c r="K22" s="49">
        <f t="shared" ca="1" si="6"/>
        <v>100</v>
      </c>
      <c r="L22" s="61"/>
      <c r="M22" s="61"/>
      <c r="N22" s="61"/>
    </row>
    <row r="23" spans="1:14" ht="21.75" customHeight="1" x14ac:dyDescent="0.4">
      <c r="A23" s="55"/>
      <c r="B23" s="56"/>
      <c r="C23" s="56"/>
      <c r="D23" s="73"/>
      <c r="E23" s="77"/>
      <c r="F23" s="75"/>
      <c r="G23" s="76"/>
      <c r="H23" s="60" t="s">
        <v>16</v>
      </c>
      <c r="I23" s="48">
        <f ca="1">IFERROR(__xludf.DUMMYFUNCTION("IMPORTRANGE(""https://docs.google.com/spreadsheets/d/1C3CXT74ZlgGe6_JY_1olB1XN4rF0dxEuIIF-xsYjHgg/edit?usp=sharing"",""พรบ!I36"")"),30)</f>
        <v>30</v>
      </c>
      <c r="J23" s="68">
        <v>30</v>
      </c>
      <c r="K23" s="49">
        <f t="shared" ca="1" si="6"/>
        <v>100</v>
      </c>
      <c r="L23" s="61"/>
      <c r="M23" s="61"/>
      <c r="N23" s="61"/>
    </row>
    <row r="24" spans="1:14" ht="21.75" customHeight="1" x14ac:dyDescent="0.4">
      <c r="A24" s="55"/>
      <c r="B24" s="56"/>
      <c r="C24" s="56"/>
      <c r="D24" s="73"/>
      <c r="E24" s="77"/>
      <c r="F24" s="75"/>
      <c r="G24" s="75" t="s">
        <v>32</v>
      </c>
      <c r="H24" s="60" t="s">
        <v>15</v>
      </c>
      <c r="I24" s="48">
        <f ca="1">IFERROR(__xludf.DUMMYFUNCTION("IMPORTRANGE(""https://docs.google.com/spreadsheets/d/1C3CXT74ZlgGe6_JY_1olB1XN4rF0dxEuIIF-xsYjHgg/edit?usp=sharing"",""พรบ!J36"")"),0)</f>
        <v>0</v>
      </c>
      <c r="J24" s="68">
        <v>0</v>
      </c>
      <c r="K24" s="49">
        <f t="shared" ca="1" si="6"/>
        <v>0</v>
      </c>
      <c r="L24" s="61"/>
      <c r="M24" s="61"/>
      <c r="N24" s="61"/>
    </row>
    <row r="25" spans="1:14" ht="21.75" customHeight="1" x14ac:dyDescent="0.4">
      <c r="A25" s="55"/>
      <c r="B25" s="56"/>
      <c r="C25" s="56"/>
      <c r="D25" s="73"/>
      <c r="E25" s="77"/>
      <c r="F25" s="75"/>
      <c r="G25" s="76"/>
      <c r="H25" s="60" t="s">
        <v>16</v>
      </c>
      <c r="I25" s="48">
        <f ca="1">IFERROR(__xludf.DUMMYFUNCTION("IMPORTRANGE(""https://docs.google.com/spreadsheets/d/1C3CXT74ZlgGe6_JY_1olB1XN4rF0dxEuIIF-xsYjHgg/edit?usp=sharing"",""พรบ!K36"")"),0)</f>
        <v>0</v>
      </c>
      <c r="J25" s="68">
        <v>0</v>
      </c>
      <c r="K25" s="49">
        <f t="shared" ca="1" si="6"/>
        <v>0</v>
      </c>
      <c r="L25" s="61"/>
      <c r="M25" s="61"/>
      <c r="N25" s="61"/>
    </row>
    <row r="26" spans="1:14" ht="21.75" customHeight="1" x14ac:dyDescent="0.4">
      <c r="A26" s="55"/>
      <c r="B26" s="56"/>
      <c r="C26" s="56"/>
      <c r="D26" s="73"/>
      <c r="E26" s="77"/>
      <c r="F26" s="75"/>
      <c r="G26" s="75" t="s">
        <v>33</v>
      </c>
      <c r="H26" s="60" t="s">
        <v>15</v>
      </c>
      <c r="I26" s="48">
        <f ca="1">IFERROR(__xludf.DUMMYFUNCTION("IMPORTRANGE(""https://docs.google.com/spreadsheets/d/1C3CXT74ZlgGe6_JY_1olB1XN4rF0dxEuIIF-xsYjHgg/edit?usp=sharing"",""พรบ!L36"")"),1)</f>
        <v>1</v>
      </c>
      <c r="J26" s="68">
        <v>1</v>
      </c>
      <c r="K26" s="49">
        <f t="shared" ca="1" si="6"/>
        <v>100</v>
      </c>
      <c r="L26" s="61"/>
      <c r="M26" s="61"/>
      <c r="N26" s="61"/>
    </row>
    <row r="27" spans="1:14" ht="21.75" customHeight="1" x14ac:dyDescent="0.4">
      <c r="A27" s="55"/>
      <c r="B27" s="56"/>
      <c r="C27" s="56"/>
      <c r="D27" s="73"/>
      <c r="E27" s="77"/>
      <c r="F27" s="75"/>
      <c r="G27" s="76"/>
      <c r="H27" s="60" t="s">
        <v>16</v>
      </c>
      <c r="I27" s="48">
        <f ca="1">IFERROR(__xludf.DUMMYFUNCTION("IMPORTRANGE(""https://docs.google.com/spreadsheets/d/1C3CXT74ZlgGe6_JY_1olB1XN4rF0dxEuIIF-xsYjHgg/edit?usp=sharing"",""พรบ!M36"")"),40)</f>
        <v>40</v>
      </c>
      <c r="J27" s="68">
        <v>20</v>
      </c>
      <c r="K27" s="49">
        <f t="shared" ca="1" si="6"/>
        <v>50</v>
      </c>
      <c r="L27" s="61"/>
      <c r="M27" s="61"/>
      <c r="N27" s="61"/>
    </row>
    <row r="28" spans="1:14" ht="21.75" customHeight="1" x14ac:dyDescent="0.4">
      <c r="A28" s="55"/>
      <c r="B28" s="56"/>
      <c r="C28" s="56"/>
      <c r="D28" s="73"/>
      <c r="E28" s="77"/>
      <c r="F28" s="74" t="s">
        <v>34</v>
      </c>
      <c r="G28" s="75"/>
      <c r="H28" s="60" t="s">
        <v>16</v>
      </c>
      <c r="I28" s="48">
        <v>0</v>
      </c>
      <c r="J28" s="68">
        <v>0</v>
      </c>
      <c r="K28" s="49">
        <f t="shared" si="6"/>
        <v>0</v>
      </c>
      <c r="L28" s="61"/>
      <c r="M28" s="61"/>
      <c r="N28" s="61"/>
    </row>
    <row r="29" spans="1:14" ht="21.75" customHeight="1" x14ac:dyDescent="0.4">
      <c r="A29" s="55"/>
      <c r="B29" s="56"/>
      <c r="C29" s="56"/>
      <c r="D29" s="73"/>
      <c r="E29" s="74" t="s">
        <v>35</v>
      </c>
      <c r="F29" s="75"/>
      <c r="G29" s="76"/>
      <c r="H29" s="66"/>
      <c r="I29" s="67"/>
      <c r="J29" s="68">
        <v>0</v>
      </c>
      <c r="K29" s="49"/>
      <c r="L29" s="61"/>
      <c r="M29" s="61"/>
      <c r="N29" s="61"/>
    </row>
    <row r="30" spans="1:14" ht="21.75" customHeight="1" x14ac:dyDescent="0.4">
      <c r="A30" s="55"/>
      <c r="B30" s="56"/>
      <c r="C30" s="56"/>
      <c r="D30" s="81">
        <v>3</v>
      </c>
      <c r="E30" s="82" t="s">
        <v>36</v>
      </c>
      <c r="F30" s="83"/>
      <c r="G30" s="84"/>
      <c r="H30" s="66"/>
      <c r="I30" s="67"/>
      <c r="J30" s="85">
        <v>0</v>
      </c>
      <c r="K30" s="49"/>
      <c r="L30" s="61"/>
      <c r="M30" s="61"/>
      <c r="N30" s="61"/>
    </row>
    <row r="31" spans="1:14" ht="21.75" customHeight="1" x14ac:dyDescent="0.4">
      <c r="A31" s="86" t="s">
        <v>37</v>
      </c>
      <c r="B31" s="87"/>
      <c r="C31" s="88"/>
      <c r="D31" s="87"/>
      <c r="E31" s="89"/>
      <c r="F31" s="89"/>
      <c r="G31" s="90"/>
      <c r="H31" s="91"/>
      <c r="I31" s="92"/>
      <c r="J31" s="92"/>
      <c r="K31" s="93"/>
      <c r="L31" s="94"/>
      <c r="M31" s="94"/>
      <c r="N31" s="95"/>
    </row>
    <row r="32" spans="1:14" ht="21.75" customHeight="1" x14ac:dyDescent="0.4">
      <c r="A32" s="34"/>
      <c r="B32" s="35" t="s">
        <v>38</v>
      </c>
      <c r="C32" s="35"/>
      <c r="D32" s="36"/>
      <c r="E32" s="35"/>
      <c r="F32" s="35"/>
      <c r="G32" s="96"/>
      <c r="H32" s="37" t="s">
        <v>16</v>
      </c>
      <c r="I32" s="38">
        <f t="shared" ref="I32:J32" ca="1" si="8">+I44</f>
        <v>4</v>
      </c>
      <c r="J32" s="38">
        <f t="shared" si="8"/>
        <v>0</v>
      </c>
      <c r="K32" s="41">
        <f t="shared" ref="K32:K33" ca="1" si="9">IF(I32&gt;0,J32*100/I32,0)</f>
        <v>0</v>
      </c>
      <c r="L32" s="97">
        <f ca="1">L34+L35</f>
        <v>122100</v>
      </c>
      <c r="M32" s="97">
        <f>SUM(M34:M35)</f>
        <v>1720</v>
      </c>
      <c r="N32" s="41">
        <f ca="1">IF(L32&gt;0,M32*100/L32,0)</f>
        <v>1.4086814086814088</v>
      </c>
    </row>
    <row r="33" spans="1:14" ht="21.75" customHeight="1" x14ac:dyDescent="0.4">
      <c r="A33" s="34"/>
      <c r="B33" s="35"/>
      <c r="C33" s="35"/>
      <c r="D33" s="36" t="s">
        <v>39</v>
      </c>
      <c r="E33" s="35"/>
      <c r="F33" s="35"/>
      <c r="G33" s="96"/>
      <c r="H33" s="37" t="s">
        <v>40</v>
      </c>
      <c r="I33" s="38">
        <f ca="1">I48</f>
        <v>1</v>
      </c>
      <c r="J33" s="38">
        <f>+J48</f>
        <v>0</v>
      </c>
      <c r="K33" s="41">
        <f t="shared" ca="1" si="9"/>
        <v>0</v>
      </c>
      <c r="L33" s="97"/>
      <c r="M33" s="97"/>
      <c r="N33" s="41"/>
    </row>
    <row r="34" spans="1:14" ht="21.75" customHeight="1" x14ac:dyDescent="0.4">
      <c r="A34" s="42"/>
      <c r="B34" s="43"/>
      <c r="C34" s="43" t="s">
        <v>17</v>
      </c>
      <c r="D34" s="44" t="s">
        <v>18</v>
      </c>
      <c r="E34" s="45"/>
      <c r="F34" s="45"/>
      <c r="G34" s="46" t="s">
        <v>19</v>
      </c>
      <c r="H34" s="47" t="s">
        <v>20</v>
      </c>
      <c r="I34" s="48" t="s">
        <v>21</v>
      </c>
      <c r="J34" s="48"/>
      <c r="K34" s="49"/>
      <c r="L34" s="53">
        <v>0</v>
      </c>
      <c r="M34" s="50">
        <v>0</v>
      </c>
      <c r="N34" s="50">
        <f t="shared" ref="N34:N37" si="10">+IF(L34&gt;0,M34*100/L34,0)</f>
        <v>0</v>
      </c>
    </row>
    <row r="35" spans="1:14" ht="21.75" customHeight="1" x14ac:dyDescent="0.4">
      <c r="A35" s="42"/>
      <c r="B35" s="43"/>
      <c r="C35" s="43"/>
      <c r="D35" s="51"/>
      <c r="E35" s="45"/>
      <c r="F35" s="45" t="s">
        <v>21</v>
      </c>
      <c r="G35" s="46" t="s">
        <v>22</v>
      </c>
      <c r="H35" s="47" t="s">
        <v>20</v>
      </c>
      <c r="I35" s="48"/>
      <c r="J35" s="48"/>
      <c r="K35" s="49"/>
      <c r="L35" s="53">
        <f ca="1">IFERROR(__xludf.DUMMYFUNCTION("IMPORTRANGE(""https://docs.google.com/spreadsheets/d/1C3CXT74ZlgGe6_JY_1olB1XN4rF0dxEuIIF-xsYjHgg/edit?usp=sharing"",""พรบ!O36"")"),122100)</f>
        <v>122100</v>
      </c>
      <c r="M35" s="50">
        <f>SUM(M36:M37)</f>
        <v>1720</v>
      </c>
      <c r="N35" s="50">
        <f t="shared" ca="1" si="10"/>
        <v>1.4086814086814088</v>
      </c>
    </row>
    <row r="36" spans="1:14" ht="21.75" customHeight="1" x14ac:dyDescent="0.4">
      <c r="A36" s="42"/>
      <c r="B36" s="43"/>
      <c r="C36" s="43"/>
      <c r="D36" s="51"/>
      <c r="E36" s="45"/>
      <c r="F36" s="45"/>
      <c r="G36" s="52" t="s">
        <v>23</v>
      </c>
      <c r="H36" s="47" t="s">
        <v>20</v>
      </c>
      <c r="I36" s="48"/>
      <c r="J36" s="48"/>
      <c r="K36" s="49"/>
      <c r="L36" s="53">
        <f ca="1">IFERROR(__xludf.DUMMYFUNCTION("IMPORTRANGE(""https://docs.google.com/spreadsheets/d/1C3CXT74ZlgGe6_JY_1olB1XN4rF0dxEuIIF-xsYjHgg/edit?usp=sharing"",""พรบ!P36"")"),0)</f>
        <v>0</v>
      </c>
      <c r="M36" s="53">
        <v>0</v>
      </c>
      <c r="N36" s="53">
        <f t="shared" ca="1" si="10"/>
        <v>0</v>
      </c>
    </row>
    <row r="37" spans="1:14" ht="21.75" customHeight="1" x14ac:dyDescent="0.4">
      <c r="A37" s="42"/>
      <c r="B37" s="43"/>
      <c r="C37" s="43"/>
      <c r="D37" s="51"/>
      <c r="E37" s="45"/>
      <c r="F37" s="45"/>
      <c r="G37" s="52" t="s">
        <v>24</v>
      </c>
      <c r="H37" s="47" t="s">
        <v>20</v>
      </c>
      <c r="I37" s="48"/>
      <c r="J37" s="48"/>
      <c r="K37" s="49"/>
      <c r="L37" s="53">
        <f ca="1">IFERROR(__xludf.DUMMYFUNCTION("IMPORTRANGE(""https://docs.google.com/spreadsheets/d/1C3CXT74ZlgGe6_JY_1olB1XN4rF0dxEuIIF-xsYjHgg/edit?usp=sharing"",""พรบ!Q36"")"),122100)</f>
        <v>122100</v>
      </c>
      <c r="M37" s="54">
        <v>1720</v>
      </c>
      <c r="N37" s="53">
        <f t="shared" ca="1" si="10"/>
        <v>1.4086814086814088</v>
      </c>
    </row>
    <row r="38" spans="1:14" ht="21.75" customHeight="1" x14ac:dyDescent="0.4">
      <c r="A38" s="55"/>
      <c r="B38" s="56"/>
      <c r="C38" s="43" t="s">
        <v>17</v>
      </c>
      <c r="D38" s="57" t="s">
        <v>25</v>
      </c>
      <c r="E38" s="58"/>
      <c r="F38" s="58"/>
      <c r="G38" s="59"/>
      <c r="H38" s="60"/>
      <c r="I38" s="48"/>
      <c r="J38" s="48"/>
      <c r="K38" s="49"/>
      <c r="L38" s="61"/>
      <c r="M38" s="61"/>
      <c r="N38" s="61"/>
    </row>
    <row r="39" spans="1:14" ht="21.75" customHeight="1" x14ac:dyDescent="0.4">
      <c r="A39" s="55"/>
      <c r="B39" s="56"/>
      <c r="C39" s="56"/>
      <c r="D39" s="62">
        <v>1</v>
      </c>
      <c r="E39" s="63" t="s">
        <v>26</v>
      </c>
      <c r="F39" s="64"/>
      <c r="G39" s="65"/>
      <c r="H39" s="66"/>
      <c r="I39" s="67"/>
      <c r="J39" s="68">
        <v>0</v>
      </c>
      <c r="K39" s="49"/>
      <c r="L39" s="61"/>
      <c r="M39" s="61"/>
      <c r="N39" s="61"/>
    </row>
    <row r="40" spans="1:14" ht="21.75" customHeight="1" x14ac:dyDescent="0.4">
      <c r="A40" s="55"/>
      <c r="B40" s="56"/>
      <c r="C40" s="56"/>
      <c r="D40" s="69">
        <v>2</v>
      </c>
      <c r="E40" s="70" t="s">
        <v>27</v>
      </c>
      <c r="F40" s="71"/>
      <c r="G40" s="72"/>
      <c r="H40" s="66"/>
      <c r="I40" s="67"/>
      <c r="J40" s="68">
        <v>1</v>
      </c>
      <c r="K40" s="49"/>
      <c r="L40" s="61" t="s">
        <v>21</v>
      </c>
      <c r="M40" s="61" t="s">
        <v>21</v>
      </c>
      <c r="N40" s="61"/>
    </row>
    <row r="41" spans="1:14" ht="21.75" customHeight="1" x14ac:dyDescent="0.4">
      <c r="A41" s="55"/>
      <c r="B41" s="56"/>
      <c r="C41" s="56"/>
      <c r="D41" s="73"/>
      <c r="E41" s="74" t="s">
        <v>28</v>
      </c>
      <c r="F41" s="75"/>
      <c r="G41" s="76"/>
      <c r="H41" s="66"/>
      <c r="I41" s="67"/>
      <c r="J41" s="68">
        <v>1</v>
      </c>
      <c r="K41" s="49"/>
      <c r="L41" s="61"/>
      <c r="M41" s="61"/>
      <c r="N41" s="61"/>
    </row>
    <row r="42" spans="1:14" ht="21.75" customHeight="1" x14ac:dyDescent="0.4">
      <c r="A42" s="55"/>
      <c r="B42" s="56"/>
      <c r="C42" s="56"/>
      <c r="D42" s="73"/>
      <c r="E42" s="74" t="s">
        <v>29</v>
      </c>
      <c r="F42" s="75"/>
      <c r="G42" s="76"/>
      <c r="H42" s="66"/>
      <c r="I42" s="67"/>
      <c r="J42" s="154">
        <v>1</v>
      </c>
      <c r="K42" s="49"/>
      <c r="L42" s="61"/>
      <c r="M42" s="61"/>
      <c r="N42" s="61"/>
    </row>
    <row r="43" spans="1:14" ht="21.75" customHeight="1" x14ac:dyDescent="0.4">
      <c r="A43" s="55"/>
      <c r="B43" s="56"/>
      <c r="C43" s="56"/>
      <c r="D43" s="73"/>
      <c r="E43" s="75"/>
      <c r="F43" s="75" t="s">
        <v>41</v>
      </c>
      <c r="G43" s="75"/>
      <c r="H43" s="60" t="s">
        <v>42</v>
      </c>
      <c r="I43" s="48">
        <f ca="1">IFERROR(__xludf.DUMMYFUNCTION("IMPORTRANGE(""https://docs.google.com/spreadsheets/d/1C3CXT74ZlgGe6_JY_1olB1XN4rF0dxEuIIF-xsYjHgg/edit?usp=sharing"",""พรบ!R36"")"),1)</f>
        <v>1</v>
      </c>
      <c r="J43" s="68">
        <v>0</v>
      </c>
      <c r="K43" s="49">
        <f t="shared" ref="K43:K48" ca="1" si="11">IF(I43&gt;0,J43*100/I43,0)</f>
        <v>0</v>
      </c>
      <c r="L43" s="61"/>
      <c r="M43" s="61"/>
      <c r="N43" s="61"/>
    </row>
    <row r="44" spans="1:14" ht="21.75" customHeight="1" x14ac:dyDescent="0.4">
      <c r="A44" s="55"/>
      <c r="B44" s="56"/>
      <c r="C44" s="56"/>
      <c r="D44" s="73"/>
      <c r="E44" s="77"/>
      <c r="F44" s="74" t="s">
        <v>43</v>
      </c>
      <c r="G44" s="75"/>
      <c r="H44" s="60" t="s">
        <v>16</v>
      </c>
      <c r="I44" s="48">
        <f ca="1">IFERROR(__xludf.DUMMYFUNCTION("IMPORTRANGE(""https://docs.google.com/spreadsheets/d/1C3CXT74ZlgGe6_JY_1olB1XN4rF0dxEuIIF-xsYjHgg/edit?usp=sharing"",""พรบ!S36"")"),4)</f>
        <v>4</v>
      </c>
      <c r="J44" s="68">
        <v>0</v>
      </c>
      <c r="K44" s="49">
        <f t="shared" ca="1" si="11"/>
        <v>0</v>
      </c>
      <c r="L44" s="61"/>
      <c r="M44" s="61"/>
      <c r="N44" s="61"/>
    </row>
    <row r="45" spans="1:14" ht="21.75" customHeight="1" x14ac:dyDescent="0.4">
      <c r="A45" s="55"/>
      <c r="B45" s="56"/>
      <c r="C45" s="56"/>
      <c r="D45" s="73"/>
      <c r="E45" s="77"/>
      <c r="F45" s="75"/>
      <c r="G45" s="98" t="s">
        <v>44</v>
      </c>
      <c r="H45" s="60" t="s">
        <v>16</v>
      </c>
      <c r="I45" s="48">
        <f ca="1">IFERROR(__xludf.DUMMYFUNCTION("IMPORTRANGE(""https://docs.google.com/spreadsheets/d/1C3CXT74ZlgGe6_JY_1olB1XN4rF0dxEuIIF-xsYjHgg/edit?usp=sharing"",""พรบ!T36"")"),4)</f>
        <v>4</v>
      </c>
      <c r="J45" s="68">
        <v>0</v>
      </c>
      <c r="K45" s="49">
        <f t="shared" ca="1" si="11"/>
        <v>0</v>
      </c>
      <c r="L45" s="61"/>
      <c r="M45" s="61"/>
      <c r="N45" s="61"/>
    </row>
    <row r="46" spans="1:14" ht="21.75" customHeight="1" x14ac:dyDescent="0.4">
      <c r="A46" s="55"/>
      <c r="B46" s="56"/>
      <c r="C46" s="56"/>
      <c r="D46" s="73"/>
      <c r="E46" s="77"/>
      <c r="F46" s="75"/>
      <c r="G46" s="98" t="s">
        <v>45</v>
      </c>
      <c r="H46" s="60" t="s">
        <v>16</v>
      </c>
      <c r="I46" s="48">
        <f ca="1">IFERROR(__xludf.DUMMYFUNCTION("IMPORTRANGE(""https://docs.google.com/spreadsheets/d/1C3CXT74ZlgGe6_JY_1olB1XN4rF0dxEuIIF-xsYjHgg/edit?usp=sharing"",""พรบ!U36"")"),4)</f>
        <v>4</v>
      </c>
      <c r="J46" s="68">
        <v>0</v>
      </c>
      <c r="K46" s="49">
        <f t="shared" ca="1" si="11"/>
        <v>0</v>
      </c>
      <c r="L46" s="61"/>
      <c r="M46" s="61"/>
      <c r="N46" s="61"/>
    </row>
    <row r="47" spans="1:14" ht="21.75" customHeight="1" x14ac:dyDescent="0.4">
      <c r="A47" s="55"/>
      <c r="B47" s="56"/>
      <c r="C47" s="56"/>
      <c r="D47" s="73"/>
      <c r="E47" s="77"/>
      <c r="F47" s="75"/>
      <c r="G47" s="99" t="s">
        <v>46</v>
      </c>
      <c r="H47" s="60" t="s">
        <v>16</v>
      </c>
      <c r="I47" s="48">
        <f ca="1">IFERROR(__xludf.DUMMYFUNCTION("IMPORTRANGE(""https://docs.google.com/spreadsheets/d/1C3CXT74ZlgGe6_JY_1olB1XN4rF0dxEuIIF-xsYjHgg/edit?usp=sharing"",""พรบ!V36"")"),4)</f>
        <v>4</v>
      </c>
      <c r="J47" s="68">
        <v>0</v>
      </c>
      <c r="K47" s="49">
        <f t="shared" ca="1" si="11"/>
        <v>0</v>
      </c>
      <c r="L47" s="61"/>
      <c r="M47" s="61"/>
      <c r="N47" s="61"/>
    </row>
    <row r="48" spans="1:14" ht="21.75" customHeight="1" x14ac:dyDescent="0.4">
      <c r="A48" s="55"/>
      <c r="B48" s="56"/>
      <c r="C48" s="56"/>
      <c r="D48" s="73"/>
      <c r="E48" s="77"/>
      <c r="F48" s="75" t="s">
        <v>47</v>
      </c>
      <c r="G48" s="75"/>
      <c r="H48" s="60" t="s">
        <v>40</v>
      </c>
      <c r="I48" s="48">
        <f ca="1">IFERROR(__xludf.DUMMYFUNCTION("IMPORTRANGE(""https://docs.google.com/spreadsheets/d/1C3CXT74ZlgGe6_JY_1olB1XN4rF0dxEuIIF-xsYjHgg/edit?usp=sharing"",""พรบ!W36"")"),1)</f>
        <v>1</v>
      </c>
      <c r="J48" s="68">
        <v>0</v>
      </c>
      <c r="K48" s="49">
        <f t="shared" ca="1" si="11"/>
        <v>0</v>
      </c>
      <c r="L48" s="61"/>
      <c r="M48" s="61"/>
      <c r="N48" s="61"/>
    </row>
    <row r="49" spans="1:14" ht="21.75" customHeight="1" x14ac:dyDescent="0.4">
      <c r="A49" s="55"/>
      <c r="B49" s="56"/>
      <c r="C49" s="56"/>
      <c r="D49" s="73"/>
      <c r="E49" s="74" t="s">
        <v>35</v>
      </c>
      <c r="F49" s="75"/>
      <c r="G49" s="76"/>
      <c r="H49" s="66"/>
      <c r="I49" s="67"/>
      <c r="J49" s="68">
        <v>0</v>
      </c>
      <c r="K49" s="49"/>
      <c r="L49" s="61"/>
      <c r="M49" s="61"/>
      <c r="N49" s="61"/>
    </row>
    <row r="50" spans="1:14" ht="21.75" customHeight="1" x14ac:dyDescent="0.4">
      <c r="A50" s="55"/>
      <c r="B50" s="56"/>
      <c r="C50" s="56"/>
      <c r="D50" s="81">
        <v>3</v>
      </c>
      <c r="E50" s="82" t="s">
        <v>36</v>
      </c>
      <c r="F50" s="83"/>
      <c r="G50" s="84"/>
      <c r="H50" s="66"/>
      <c r="I50" s="67"/>
      <c r="J50" s="85">
        <v>0</v>
      </c>
      <c r="K50" s="49"/>
      <c r="L50" s="61"/>
      <c r="M50" s="61"/>
      <c r="N50" s="61"/>
    </row>
    <row r="51" spans="1:14" ht="21.75" customHeight="1" x14ac:dyDescent="0.4">
      <c r="A51" s="86" t="s">
        <v>48</v>
      </c>
      <c r="B51" s="100"/>
      <c r="C51" s="101"/>
      <c r="D51" s="100"/>
      <c r="E51" s="102"/>
      <c r="F51" s="102"/>
      <c r="G51" s="103"/>
      <c r="H51" s="91"/>
      <c r="I51" s="92"/>
      <c r="J51" s="92"/>
      <c r="K51" s="93"/>
      <c r="L51" s="94"/>
      <c r="M51" s="94"/>
      <c r="N51" s="95"/>
    </row>
    <row r="52" spans="1:14" ht="21.75" customHeight="1" x14ac:dyDescent="0.4">
      <c r="A52" s="34"/>
      <c r="B52" s="35" t="s">
        <v>49</v>
      </c>
      <c r="C52" s="104"/>
      <c r="D52" s="36"/>
      <c r="E52" s="35"/>
      <c r="F52" s="35"/>
      <c r="G52" s="96"/>
      <c r="H52" s="37" t="s">
        <v>16</v>
      </c>
      <c r="I52" s="38">
        <f ca="1">I62</f>
        <v>0</v>
      </c>
      <c r="J52" s="38">
        <f>+J62</f>
        <v>0</v>
      </c>
      <c r="K52" s="41">
        <f ca="1">IF(I52&gt;0,J52*100/I52,0)</f>
        <v>0</v>
      </c>
      <c r="L52" s="40">
        <f ca="1">L53+L54</f>
        <v>0</v>
      </c>
      <c r="M52" s="40">
        <f>SUM(M53:M54)</f>
        <v>0</v>
      </c>
      <c r="N52" s="41">
        <f ca="1">IF(L52&gt;0,M52*100/L52,0)</f>
        <v>0</v>
      </c>
    </row>
    <row r="53" spans="1:14" ht="21.75" customHeight="1" x14ac:dyDescent="0.4">
      <c r="A53" s="42"/>
      <c r="B53" s="43"/>
      <c r="C53" s="43" t="s">
        <v>17</v>
      </c>
      <c r="D53" s="44" t="s">
        <v>18</v>
      </c>
      <c r="E53" s="45"/>
      <c r="F53" s="45"/>
      <c r="G53" s="46" t="s">
        <v>19</v>
      </c>
      <c r="H53" s="47" t="s">
        <v>20</v>
      </c>
      <c r="I53" s="67" t="s">
        <v>21</v>
      </c>
      <c r="J53" s="67"/>
      <c r="K53" s="233"/>
      <c r="L53" s="50">
        <v>0</v>
      </c>
      <c r="M53" s="50">
        <v>0</v>
      </c>
      <c r="N53" s="50">
        <f t="shared" ref="N53:N56" si="12">+IF(L53&gt;0,M53*100/L53,0)</f>
        <v>0</v>
      </c>
    </row>
    <row r="54" spans="1:14" ht="21.75" customHeight="1" x14ac:dyDescent="0.4">
      <c r="A54" s="42"/>
      <c r="B54" s="43"/>
      <c r="C54" s="43"/>
      <c r="D54" s="51"/>
      <c r="E54" s="45"/>
      <c r="F54" s="45" t="s">
        <v>21</v>
      </c>
      <c r="G54" s="46" t="s">
        <v>22</v>
      </c>
      <c r="H54" s="47" t="s">
        <v>20</v>
      </c>
      <c r="I54" s="67"/>
      <c r="J54" s="67"/>
      <c r="K54" s="233"/>
      <c r="L54" s="50">
        <f t="shared" ref="L54:M54" ca="1" si="13">SUM(L55:L56)</f>
        <v>0</v>
      </c>
      <c r="M54" s="50">
        <f t="shared" si="13"/>
        <v>0</v>
      </c>
      <c r="N54" s="50">
        <f t="shared" ca="1" si="12"/>
        <v>0</v>
      </c>
    </row>
    <row r="55" spans="1:14" ht="21.75" customHeight="1" x14ac:dyDescent="0.4">
      <c r="A55" s="42"/>
      <c r="B55" s="43"/>
      <c r="C55" s="43"/>
      <c r="D55" s="51"/>
      <c r="E55" s="45"/>
      <c r="F55" s="45"/>
      <c r="G55" s="52" t="s">
        <v>23</v>
      </c>
      <c r="H55" s="47" t="s">
        <v>20</v>
      </c>
      <c r="I55" s="67"/>
      <c r="J55" s="67"/>
      <c r="K55" s="233"/>
      <c r="L55" s="53">
        <f ca="1">IFERROR(__xludf.DUMMYFUNCTION("IMPORTRANGE(""https://docs.google.com/spreadsheets/d/1C3CXT74ZlgGe6_JY_1olB1XN4rF0dxEuIIF-xsYjHgg/edit?usp=sharing"",""พรบ!Y36"")"),0)</f>
        <v>0</v>
      </c>
      <c r="M55" s="53">
        <v>0</v>
      </c>
      <c r="N55" s="53">
        <f t="shared" ca="1" si="12"/>
        <v>0</v>
      </c>
    </row>
    <row r="56" spans="1:14" ht="21.75" customHeight="1" x14ac:dyDescent="0.4">
      <c r="A56" s="42"/>
      <c r="B56" s="43"/>
      <c r="C56" s="43"/>
      <c r="D56" s="51"/>
      <c r="E56" s="45"/>
      <c r="F56" s="45"/>
      <c r="G56" s="52" t="s">
        <v>24</v>
      </c>
      <c r="H56" s="47" t="s">
        <v>20</v>
      </c>
      <c r="I56" s="67"/>
      <c r="J56" s="67"/>
      <c r="K56" s="233"/>
      <c r="L56" s="53">
        <f ca="1">IFERROR(__xludf.DUMMYFUNCTION("IMPORTRANGE(""https://docs.google.com/spreadsheets/d/1C3CXT74ZlgGe6_JY_1olB1XN4rF0dxEuIIF-xsYjHgg/edit?usp=sharing"",""พรบ!Z36"")"),0)</f>
        <v>0</v>
      </c>
      <c r="M56" s="53">
        <v>0</v>
      </c>
      <c r="N56" s="53">
        <f t="shared" ca="1" si="12"/>
        <v>0</v>
      </c>
    </row>
    <row r="57" spans="1:14" ht="21.75" customHeight="1" x14ac:dyDescent="0.4">
      <c r="A57" s="55"/>
      <c r="B57" s="56"/>
      <c r="C57" s="43" t="s">
        <v>17</v>
      </c>
      <c r="D57" s="57" t="s">
        <v>250</v>
      </c>
      <c r="E57" s="58"/>
      <c r="F57" s="58"/>
      <c r="G57" s="59"/>
      <c r="H57" s="60"/>
      <c r="I57" s="67"/>
      <c r="J57" s="67"/>
      <c r="K57" s="233"/>
      <c r="L57" s="53"/>
      <c r="M57" s="53"/>
      <c r="N57" s="53"/>
    </row>
    <row r="58" spans="1:14" ht="21.75" customHeight="1" x14ac:dyDescent="0.4">
      <c r="A58" s="55"/>
      <c r="B58" s="56"/>
      <c r="C58" s="56"/>
      <c r="D58" s="62">
        <v>1</v>
      </c>
      <c r="E58" s="63" t="s">
        <v>26</v>
      </c>
      <c r="F58" s="64"/>
      <c r="G58" s="65"/>
      <c r="H58" s="66"/>
      <c r="I58" s="67"/>
      <c r="J58" s="67">
        <v>0</v>
      </c>
      <c r="K58" s="233"/>
      <c r="L58" s="53"/>
      <c r="M58" s="53"/>
      <c r="N58" s="53"/>
    </row>
    <row r="59" spans="1:14" ht="21.75" customHeight="1" x14ac:dyDescent="0.4">
      <c r="A59" s="55"/>
      <c r="B59" s="56"/>
      <c r="C59" s="56"/>
      <c r="D59" s="69">
        <v>2</v>
      </c>
      <c r="E59" s="70" t="s">
        <v>27</v>
      </c>
      <c r="F59" s="71"/>
      <c r="G59" s="72"/>
      <c r="H59" s="66"/>
      <c r="I59" s="67"/>
      <c r="J59" s="67">
        <v>0</v>
      </c>
      <c r="K59" s="233"/>
      <c r="L59" s="53" t="s">
        <v>21</v>
      </c>
      <c r="M59" s="53" t="s">
        <v>21</v>
      </c>
      <c r="N59" s="53"/>
    </row>
    <row r="60" spans="1:14" ht="21.75" customHeight="1" x14ac:dyDescent="0.4">
      <c r="A60" s="55"/>
      <c r="B60" s="56"/>
      <c r="C60" s="56"/>
      <c r="D60" s="73"/>
      <c r="E60" s="74" t="s">
        <v>28</v>
      </c>
      <c r="F60" s="75"/>
      <c r="G60" s="76"/>
      <c r="H60" s="66"/>
      <c r="I60" s="67"/>
      <c r="J60" s="67">
        <v>0</v>
      </c>
      <c r="K60" s="233"/>
      <c r="L60" s="53"/>
      <c r="M60" s="53"/>
      <c r="N60" s="53"/>
    </row>
    <row r="61" spans="1:14" ht="21.75" customHeight="1" x14ac:dyDescent="0.4">
      <c r="A61" s="55"/>
      <c r="B61" s="56"/>
      <c r="C61" s="56"/>
      <c r="D61" s="73"/>
      <c r="E61" s="74" t="s">
        <v>29</v>
      </c>
      <c r="F61" s="75"/>
      <c r="G61" s="76"/>
      <c r="H61" s="66"/>
      <c r="I61" s="67"/>
      <c r="J61" s="67">
        <v>0</v>
      </c>
      <c r="K61" s="233"/>
      <c r="L61" s="53"/>
      <c r="M61" s="53"/>
      <c r="N61" s="53"/>
    </row>
    <row r="62" spans="1:14" ht="21.75" customHeight="1" x14ac:dyDescent="0.4">
      <c r="A62" s="55"/>
      <c r="B62" s="56"/>
      <c r="C62" s="56"/>
      <c r="D62" s="73"/>
      <c r="E62" s="77"/>
      <c r="F62" s="74" t="s">
        <v>50</v>
      </c>
      <c r="G62" s="76"/>
      <c r="H62" s="60" t="s">
        <v>16</v>
      </c>
      <c r="I62" s="67">
        <f ca="1">IFERROR(__xludf.DUMMYFUNCTION("IMPORTRANGE(""https://docs.google.com/spreadsheets/d/1C3CXT74ZlgGe6_JY_1olB1XN4rF0dxEuIIF-xsYjHgg/edit?usp=sharing"",""พรบ!AA36"")"),0)</f>
        <v>0</v>
      </c>
      <c r="J62" s="67">
        <v>0</v>
      </c>
      <c r="K62" s="233">
        <f t="shared" ref="K62:K63" ca="1" si="14">IF(I62&gt;0,J62*100/I62,0)</f>
        <v>0</v>
      </c>
      <c r="L62" s="53"/>
      <c r="M62" s="53"/>
      <c r="N62" s="53"/>
    </row>
    <row r="63" spans="1:14" ht="21.75" customHeight="1" x14ac:dyDescent="0.4">
      <c r="A63" s="55"/>
      <c r="B63" s="56"/>
      <c r="C63" s="56"/>
      <c r="D63" s="73"/>
      <c r="E63" s="77"/>
      <c r="F63" s="74" t="s">
        <v>51</v>
      </c>
      <c r="G63" s="76"/>
      <c r="H63" s="60" t="s">
        <v>16</v>
      </c>
      <c r="I63" s="67">
        <f ca="1">I62</f>
        <v>0</v>
      </c>
      <c r="J63" s="67">
        <v>0</v>
      </c>
      <c r="K63" s="233">
        <f t="shared" ca="1" si="14"/>
        <v>0</v>
      </c>
      <c r="L63" s="53"/>
      <c r="M63" s="53"/>
      <c r="N63" s="53"/>
    </row>
    <row r="64" spans="1:14" ht="21.75" customHeight="1" x14ac:dyDescent="0.4">
      <c r="A64" s="55"/>
      <c r="B64" s="56"/>
      <c r="C64" s="56"/>
      <c r="D64" s="73"/>
      <c r="E64" s="74" t="s">
        <v>35</v>
      </c>
      <c r="F64" s="75"/>
      <c r="G64" s="76"/>
      <c r="H64" s="66"/>
      <c r="I64" s="67"/>
      <c r="J64" s="67">
        <v>0</v>
      </c>
      <c r="K64" s="233"/>
      <c r="L64" s="53"/>
      <c r="M64" s="53"/>
      <c r="N64" s="53"/>
    </row>
    <row r="65" spans="1:14" ht="21.75" customHeight="1" x14ac:dyDescent="0.4">
      <c r="A65" s="105"/>
      <c r="B65" s="106"/>
      <c r="C65" s="106"/>
      <c r="D65" s="107">
        <v>3</v>
      </c>
      <c r="E65" s="108" t="s">
        <v>36</v>
      </c>
      <c r="F65" s="109"/>
      <c r="G65" s="110"/>
      <c r="H65" s="111"/>
      <c r="I65" s="112"/>
      <c r="J65" s="356">
        <v>0</v>
      </c>
      <c r="K65" s="357"/>
      <c r="L65" s="358"/>
      <c r="M65" s="358"/>
      <c r="N65" s="358"/>
    </row>
    <row r="66" spans="1:14" ht="21.75" customHeight="1" x14ac:dyDescent="0.4">
      <c r="A66" s="116" t="s">
        <v>52</v>
      </c>
      <c r="B66" s="117"/>
      <c r="C66" s="117"/>
      <c r="D66" s="117"/>
      <c r="E66" s="118"/>
      <c r="F66" s="118"/>
      <c r="G66" s="119"/>
      <c r="H66" s="120"/>
      <c r="I66" s="121"/>
      <c r="J66" s="121"/>
      <c r="K66" s="122"/>
      <c r="L66" s="123"/>
      <c r="M66" s="123"/>
      <c r="N66" s="123"/>
    </row>
    <row r="67" spans="1:14" ht="21.75" customHeight="1" x14ac:dyDescent="0.4">
      <c r="A67" s="124" t="s">
        <v>53</v>
      </c>
      <c r="B67" s="125"/>
      <c r="C67" s="125"/>
      <c r="D67" s="126"/>
      <c r="E67" s="126"/>
      <c r="F67" s="126"/>
      <c r="G67" s="127"/>
      <c r="H67" s="128"/>
      <c r="I67" s="129"/>
      <c r="J67" s="129"/>
      <c r="K67" s="130"/>
      <c r="L67" s="130"/>
      <c r="M67" s="130"/>
      <c r="N67" s="131"/>
    </row>
    <row r="68" spans="1:14" ht="21.75" customHeight="1" x14ac:dyDescent="0.4">
      <c r="A68" s="132"/>
      <c r="B68" s="133" t="s">
        <v>54</v>
      </c>
      <c r="C68" s="134"/>
      <c r="D68" s="133"/>
      <c r="E68" s="133"/>
      <c r="F68" s="133"/>
      <c r="G68" s="135"/>
      <c r="H68" s="136" t="s">
        <v>16</v>
      </c>
      <c r="I68" s="137">
        <f t="shared" ref="I68:J68" ca="1" si="15">I126+I129</f>
        <v>0</v>
      </c>
      <c r="J68" s="137">
        <f t="shared" si="15"/>
        <v>0</v>
      </c>
      <c r="K68" s="138">
        <f ca="1">IF(I68&gt;0,J68*100/I68,0)</f>
        <v>0</v>
      </c>
      <c r="L68" s="139">
        <f t="shared" ref="L68:M68" ca="1" si="16">SUM(L70:L71)</f>
        <v>83500</v>
      </c>
      <c r="M68" s="139">
        <f t="shared" si="16"/>
        <v>0</v>
      </c>
      <c r="N68" s="138">
        <f ca="1">IF(L68&gt;0,M68*100/L68,0)</f>
        <v>0</v>
      </c>
    </row>
    <row r="69" spans="1:14" ht="21.75" customHeight="1" x14ac:dyDescent="0.4">
      <c r="A69" s="132"/>
      <c r="B69" s="133" t="s">
        <v>55</v>
      </c>
      <c r="C69" s="134"/>
      <c r="D69" s="133"/>
      <c r="E69" s="133"/>
      <c r="F69" s="133"/>
      <c r="G69" s="135"/>
      <c r="H69" s="136"/>
      <c r="I69" s="137"/>
      <c r="J69" s="137"/>
      <c r="K69" s="138"/>
      <c r="L69" s="139"/>
      <c r="M69" s="139"/>
      <c r="N69" s="138"/>
    </row>
    <row r="70" spans="1:14" ht="21.75" customHeight="1" x14ac:dyDescent="0.4">
      <c r="A70" s="42"/>
      <c r="B70" s="43"/>
      <c r="C70" s="43" t="s">
        <v>17</v>
      </c>
      <c r="D70" s="44" t="s">
        <v>18</v>
      </c>
      <c r="E70" s="45"/>
      <c r="F70" s="45"/>
      <c r="G70" s="46" t="s">
        <v>19</v>
      </c>
      <c r="H70" s="47" t="s">
        <v>20</v>
      </c>
      <c r="I70" s="48" t="s">
        <v>21</v>
      </c>
      <c r="J70" s="48"/>
      <c r="K70" s="49"/>
      <c r="L70" s="50">
        <v>0</v>
      </c>
      <c r="M70" s="50">
        <v>0</v>
      </c>
      <c r="N70" s="50">
        <f t="shared" ref="N70:N77" si="17">+IF(L70&gt;0,M70*100/L70,0)</f>
        <v>0</v>
      </c>
    </row>
    <row r="71" spans="1:14" ht="21.75" customHeight="1" x14ac:dyDescent="0.4">
      <c r="A71" s="42"/>
      <c r="B71" s="43"/>
      <c r="C71" s="43"/>
      <c r="D71" s="51"/>
      <c r="E71" s="45"/>
      <c r="F71" s="45" t="s">
        <v>21</v>
      </c>
      <c r="G71" s="46" t="s">
        <v>22</v>
      </c>
      <c r="H71" s="47" t="s">
        <v>20</v>
      </c>
      <c r="I71" s="48"/>
      <c r="J71" s="48"/>
      <c r="K71" s="49"/>
      <c r="L71" s="50">
        <f ca="1">L72+L73</f>
        <v>83500</v>
      </c>
      <c r="M71" s="140">
        <f>SUM(M72:M73)</f>
        <v>0</v>
      </c>
      <c r="N71" s="50">
        <f t="shared" ca="1" si="17"/>
        <v>0</v>
      </c>
    </row>
    <row r="72" spans="1:14" ht="21.75" customHeight="1" x14ac:dyDescent="0.4">
      <c r="A72" s="42"/>
      <c r="B72" s="43"/>
      <c r="C72" s="43"/>
      <c r="D72" s="51"/>
      <c r="E72" s="45"/>
      <c r="F72" s="45"/>
      <c r="G72" s="52" t="s">
        <v>23</v>
      </c>
      <c r="H72" s="47" t="s">
        <v>20</v>
      </c>
      <c r="I72" s="48"/>
      <c r="J72" s="48"/>
      <c r="K72" s="49"/>
      <c r="L72" s="53">
        <f ca="1">IFERROR(__xludf.DUMMYFUNCTION("IMPORTRANGE(""https://docs.google.com/spreadsheets/d/1C3CXT74ZlgGe6_JY_1olB1XN4rF0dxEuIIF-xsYjHgg/edit?usp=sharing"",""พรบ!AD36"")"),0)</f>
        <v>0</v>
      </c>
      <c r="M72" s="54">
        <v>0</v>
      </c>
      <c r="N72" s="53">
        <f t="shared" ca="1" si="17"/>
        <v>0</v>
      </c>
    </row>
    <row r="73" spans="1:14" ht="21.75" customHeight="1" x14ac:dyDescent="0.4">
      <c r="A73" s="42"/>
      <c r="B73" s="43"/>
      <c r="C73" s="43"/>
      <c r="D73" s="51"/>
      <c r="E73" s="45"/>
      <c r="F73" s="45"/>
      <c r="G73" s="52" t="s">
        <v>24</v>
      </c>
      <c r="H73" s="47" t="s">
        <v>20</v>
      </c>
      <c r="I73" s="48"/>
      <c r="J73" s="48"/>
      <c r="K73" s="49"/>
      <c r="L73" s="53">
        <f t="shared" ref="L73:M73" ca="1" si="18">L77+L92+L104+L117+L132</f>
        <v>83500</v>
      </c>
      <c r="M73" s="53">
        <f t="shared" si="18"/>
        <v>0</v>
      </c>
      <c r="N73" s="53">
        <f t="shared" ca="1" si="17"/>
        <v>0</v>
      </c>
    </row>
    <row r="74" spans="1:14" ht="21.75" customHeight="1" x14ac:dyDescent="0.4">
      <c r="A74" s="141"/>
      <c r="B74" s="142"/>
      <c r="C74" s="143" t="s">
        <v>56</v>
      </c>
      <c r="D74" s="143"/>
      <c r="E74" s="143"/>
      <c r="F74" s="143"/>
      <c r="G74" s="144"/>
      <c r="H74" s="145" t="s">
        <v>57</v>
      </c>
      <c r="I74" s="146">
        <f t="shared" ref="I74:J74" ca="1" si="19">I83</f>
        <v>4</v>
      </c>
      <c r="J74" s="146">
        <f t="shared" si="19"/>
        <v>0</v>
      </c>
      <c r="K74" s="147">
        <f ca="1">IF(I74&gt;0,J74*100/I74,0)</f>
        <v>0</v>
      </c>
      <c r="L74" s="148">
        <f ca="1">L75+L76</f>
        <v>7500</v>
      </c>
      <c r="M74" s="148">
        <f>SUM(M75:M76)</f>
        <v>0</v>
      </c>
      <c r="N74" s="148">
        <f t="shared" ca="1" si="17"/>
        <v>0</v>
      </c>
    </row>
    <row r="75" spans="1:14" ht="21.75" customHeight="1" x14ac:dyDescent="0.4">
      <c r="A75" s="42"/>
      <c r="B75" s="43"/>
      <c r="C75" s="43" t="s">
        <v>17</v>
      </c>
      <c r="D75" s="44" t="s">
        <v>18</v>
      </c>
      <c r="E75" s="45"/>
      <c r="F75" s="45"/>
      <c r="G75" s="46" t="s">
        <v>19</v>
      </c>
      <c r="H75" s="47" t="s">
        <v>20</v>
      </c>
      <c r="I75" s="48" t="s">
        <v>21</v>
      </c>
      <c r="J75" s="48"/>
      <c r="K75" s="49"/>
      <c r="L75" s="50">
        <v>0</v>
      </c>
      <c r="M75" s="50">
        <v>0</v>
      </c>
      <c r="N75" s="50">
        <f t="shared" si="17"/>
        <v>0</v>
      </c>
    </row>
    <row r="76" spans="1:14" ht="21.75" customHeight="1" x14ac:dyDescent="0.4">
      <c r="A76" s="42"/>
      <c r="B76" s="43"/>
      <c r="C76" s="43"/>
      <c r="D76" s="51"/>
      <c r="E76" s="45"/>
      <c r="F76" s="45" t="s">
        <v>21</v>
      </c>
      <c r="G76" s="46" t="s">
        <v>22</v>
      </c>
      <c r="H76" s="47" t="s">
        <v>20</v>
      </c>
      <c r="I76" s="48"/>
      <c r="J76" s="48"/>
      <c r="K76" s="49"/>
      <c r="L76" s="50">
        <f t="shared" ref="L76:M76" ca="1" si="20">L77</f>
        <v>7500</v>
      </c>
      <c r="M76" s="50">
        <f t="shared" si="20"/>
        <v>0</v>
      </c>
      <c r="N76" s="50">
        <f t="shared" ca="1" si="17"/>
        <v>0</v>
      </c>
    </row>
    <row r="77" spans="1:14" ht="21.75" customHeight="1" x14ac:dyDescent="0.4">
      <c r="A77" s="42"/>
      <c r="B77" s="43"/>
      <c r="C77" s="43"/>
      <c r="D77" s="51"/>
      <c r="E77" s="45"/>
      <c r="F77" s="45"/>
      <c r="G77" s="52" t="s">
        <v>24</v>
      </c>
      <c r="H77" s="47" t="s">
        <v>20</v>
      </c>
      <c r="I77" s="48"/>
      <c r="J77" s="48"/>
      <c r="K77" s="49"/>
      <c r="L77" s="53">
        <f ca="1">IFERROR(__xludf.DUMMYFUNCTION("IMPORTRANGE(""https://docs.google.com/spreadsheets/d/1C3CXT74ZlgGe6_JY_1olB1XN4rF0dxEuIIF-xsYjHgg/edit?usp=sharing"",""พรบ!AF36"")"),7500)</f>
        <v>7500</v>
      </c>
      <c r="M77" s="54">
        <v>0</v>
      </c>
      <c r="N77" s="53">
        <f t="shared" ca="1" si="17"/>
        <v>0</v>
      </c>
    </row>
    <row r="78" spans="1:14" ht="21.75" customHeight="1" x14ac:dyDescent="0.4">
      <c r="A78" s="55"/>
      <c r="B78" s="56"/>
      <c r="C78" s="43" t="s">
        <v>17</v>
      </c>
      <c r="D78" s="57" t="s">
        <v>25</v>
      </c>
      <c r="E78" s="58"/>
      <c r="F78" s="58"/>
      <c r="G78" s="59"/>
      <c r="H78" s="60"/>
      <c r="I78" s="48"/>
      <c r="J78" s="48"/>
      <c r="K78" s="49"/>
      <c r="L78" s="61"/>
      <c r="M78" s="61"/>
      <c r="N78" s="61"/>
    </row>
    <row r="79" spans="1:14" ht="21.75" customHeight="1" x14ac:dyDescent="0.4">
      <c r="A79" s="55"/>
      <c r="B79" s="56"/>
      <c r="C79" s="56"/>
      <c r="D79" s="62">
        <v>1</v>
      </c>
      <c r="E79" s="63" t="s">
        <v>26</v>
      </c>
      <c r="F79" s="64"/>
      <c r="G79" s="65"/>
      <c r="H79" s="66"/>
      <c r="I79" s="67"/>
      <c r="J79" s="68">
        <v>0</v>
      </c>
      <c r="K79" s="49"/>
      <c r="L79" s="61"/>
      <c r="M79" s="61"/>
      <c r="N79" s="61"/>
    </row>
    <row r="80" spans="1:14" ht="21.75" customHeight="1" x14ac:dyDescent="0.4">
      <c r="A80" s="55"/>
      <c r="B80" s="56"/>
      <c r="C80" s="56"/>
      <c r="D80" s="69">
        <v>2</v>
      </c>
      <c r="E80" s="70" t="s">
        <v>27</v>
      </c>
      <c r="F80" s="71"/>
      <c r="G80" s="72"/>
      <c r="H80" s="66"/>
      <c r="I80" s="67"/>
      <c r="J80" s="68">
        <v>1</v>
      </c>
      <c r="K80" s="49"/>
      <c r="L80" s="61" t="s">
        <v>21</v>
      </c>
      <c r="M80" s="61" t="s">
        <v>21</v>
      </c>
      <c r="N80" s="61"/>
    </row>
    <row r="81" spans="1:14" ht="21.75" customHeight="1" x14ac:dyDescent="0.4">
      <c r="A81" s="55"/>
      <c r="B81" s="56"/>
      <c r="C81" s="56"/>
      <c r="D81" s="73"/>
      <c r="E81" s="74" t="s">
        <v>28</v>
      </c>
      <c r="F81" s="75"/>
      <c r="G81" s="76"/>
      <c r="H81" s="66"/>
      <c r="I81" s="67"/>
      <c r="J81" s="68">
        <v>0</v>
      </c>
      <c r="K81" s="49"/>
      <c r="L81" s="61"/>
      <c r="M81" s="61"/>
      <c r="N81" s="61"/>
    </row>
    <row r="82" spans="1:14" ht="21.75" customHeight="1" x14ac:dyDescent="0.4">
      <c r="A82" s="55"/>
      <c r="B82" s="56"/>
      <c r="C82" s="56"/>
      <c r="D82" s="73"/>
      <c r="E82" s="74" t="s">
        <v>29</v>
      </c>
      <c r="F82" s="75"/>
      <c r="G82" s="76"/>
      <c r="H82" s="66"/>
      <c r="I82" s="67"/>
      <c r="J82" s="68">
        <v>0</v>
      </c>
      <c r="K82" s="49"/>
      <c r="L82" s="61"/>
      <c r="M82" s="61"/>
      <c r="N82" s="61"/>
    </row>
    <row r="83" spans="1:14" ht="21.75" customHeight="1" x14ac:dyDescent="0.4">
      <c r="A83" s="55"/>
      <c r="B83" s="56"/>
      <c r="C83" s="56"/>
      <c r="D83" s="73"/>
      <c r="E83" s="77"/>
      <c r="F83" s="74" t="s">
        <v>58</v>
      </c>
      <c r="G83" s="76"/>
      <c r="H83" s="60" t="s">
        <v>57</v>
      </c>
      <c r="I83" s="67">
        <f ca="1">IFERROR(__xludf.DUMMYFUNCTION("IMPORTRANGE(""https://docs.google.com/spreadsheets/d/1C3CXT74ZlgGe6_JY_1olB1XN4rF0dxEuIIF-xsYjHgg/edit?usp=sharing"",""พรบ!AG36"")"),4)</f>
        <v>4</v>
      </c>
      <c r="J83" s="68">
        <v>0</v>
      </c>
      <c r="K83" s="49">
        <f ca="1">IF(I83&gt;0,J83*100/I83,0)</f>
        <v>0</v>
      </c>
      <c r="L83" s="61"/>
      <c r="M83" s="61"/>
      <c r="N83" s="61"/>
    </row>
    <row r="84" spans="1:14" ht="21.75" customHeight="1" x14ac:dyDescent="0.4">
      <c r="A84" s="55"/>
      <c r="B84" s="56"/>
      <c r="C84" s="56"/>
      <c r="D84" s="73"/>
      <c r="E84" s="75"/>
      <c r="F84" s="75" t="s">
        <v>59</v>
      </c>
      <c r="G84" s="76"/>
      <c r="H84" s="66" t="s">
        <v>16</v>
      </c>
      <c r="I84" s="67"/>
      <c r="J84" s="67">
        <f>J85+J86</f>
        <v>0</v>
      </c>
      <c r="K84" s="49"/>
      <c r="L84" s="61"/>
      <c r="M84" s="61"/>
      <c r="N84" s="61"/>
    </row>
    <row r="85" spans="1:14" ht="21.75" customHeight="1" x14ac:dyDescent="0.4">
      <c r="A85" s="55"/>
      <c r="B85" s="56"/>
      <c r="C85" s="56"/>
      <c r="D85" s="73"/>
      <c r="E85" s="75"/>
      <c r="F85" s="75"/>
      <c r="G85" s="76" t="s">
        <v>60</v>
      </c>
      <c r="H85" s="66" t="s">
        <v>16</v>
      </c>
      <c r="I85" s="67"/>
      <c r="J85" s="68">
        <v>0</v>
      </c>
      <c r="K85" s="49"/>
      <c r="L85" s="61"/>
      <c r="M85" s="61"/>
      <c r="N85" s="61"/>
    </row>
    <row r="86" spans="1:14" ht="21.75" customHeight="1" x14ac:dyDescent="0.4">
      <c r="A86" s="55"/>
      <c r="B86" s="56"/>
      <c r="C86" s="56"/>
      <c r="D86" s="73"/>
      <c r="E86" s="75"/>
      <c r="F86" s="75"/>
      <c r="G86" s="76" t="s">
        <v>61</v>
      </c>
      <c r="H86" s="66" t="s">
        <v>16</v>
      </c>
      <c r="I86" s="67"/>
      <c r="J86" s="68">
        <v>0</v>
      </c>
      <c r="K86" s="49"/>
      <c r="L86" s="61"/>
      <c r="M86" s="61"/>
      <c r="N86" s="61"/>
    </row>
    <row r="87" spans="1:14" ht="21.75" customHeight="1" x14ac:dyDescent="0.4">
      <c r="A87" s="55"/>
      <c r="B87" s="56"/>
      <c r="C87" s="56"/>
      <c r="D87" s="73"/>
      <c r="E87" s="74" t="s">
        <v>35</v>
      </c>
      <c r="F87" s="75"/>
      <c r="G87" s="76"/>
      <c r="H87" s="66"/>
      <c r="I87" s="67"/>
      <c r="J87" s="68">
        <v>0</v>
      </c>
      <c r="K87" s="49"/>
      <c r="L87" s="61"/>
      <c r="M87" s="61"/>
      <c r="N87" s="61"/>
    </row>
    <row r="88" spans="1:14" ht="21.75" customHeight="1" x14ac:dyDescent="0.4">
      <c r="A88" s="55"/>
      <c r="B88" s="56"/>
      <c r="C88" s="56"/>
      <c r="D88" s="81">
        <v>3</v>
      </c>
      <c r="E88" s="82" t="s">
        <v>36</v>
      </c>
      <c r="F88" s="83"/>
      <c r="G88" s="84"/>
      <c r="H88" s="66"/>
      <c r="I88" s="67"/>
      <c r="J88" s="85">
        <v>0</v>
      </c>
      <c r="K88" s="49"/>
      <c r="L88" s="61"/>
      <c r="M88" s="61"/>
      <c r="N88" s="61"/>
    </row>
    <row r="89" spans="1:14" ht="21.75" customHeight="1" x14ac:dyDescent="0.4">
      <c r="A89" s="141"/>
      <c r="B89" s="142"/>
      <c r="C89" s="143" t="s">
        <v>62</v>
      </c>
      <c r="D89" s="143"/>
      <c r="E89" s="143"/>
      <c r="F89" s="143"/>
      <c r="G89" s="144"/>
      <c r="H89" s="149" t="s">
        <v>63</v>
      </c>
      <c r="I89" s="150">
        <f t="shared" ref="I89:J89" ca="1" si="21">I98</f>
        <v>3</v>
      </c>
      <c r="J89" s="150">
        <f t="shared" si="21"/>
        <v>0</v>
      </c>
      <c r="K89" s="151">
        <f ca="1">IF(I89&gt;0,J89*100/I89,0)</f>
        <v>0</v>
      </c>
      <c r="L89" s="148">
        <f ca="1">L90+L91</f>
        <v>42000</v>
      </c>
      <c r="M89" s="148">
        <f>SUM(M90:M91)</f>
        <v>0</v>
      </c>
      <c r="N89" s="148">
        <f t="shared" ref="N89:N92" ca="1" si="22">+IF(L89&gt;0,M89*100/L89,0)</f>
        <v>0</v>
      </c>
    </row>
    <row r="90" spans="1:14" ht="21.75" customHeight="1" x14ac:dyDescent="0.4">
      <c r="A90" s="42"/>
      <c r="B90" s="43"/>
      <c r="C90" s="43" t="s">
        <v>17</v>
      </c>
      <c r="D90" s="44" t="s">
        <v>18</v>
      </c>
      <c r="E90" s="45"/>
      <c r="F90" s="45"/>
      <c r="G90" s="46" t="s">
        <v>19</v>
      </c>
      <c r="H90" s="47" t="s">
        <v>20</v>
      </c>
      <c r="I90" s="48" t="s">
        <v>21</v>
      </c>
      <c r="J90" s="48"/>
      <c r="K90" s="49"/>
      <c r="L90" s="50">
        <v>0</v>
      </c>
      <c r="M90" s="50">
        <v>0</v>
      </c>
      <c r="N90" s="50">
        <f t="shared" si="22"/>
        <v>0</v>
      </c>
    </row>
    <row r="91" spans="1:14" ht="21.75" customHeight="1" x14ac:dyDescent="0.4">
      <c r="A91" s="42"/>
      <c r="B91" s="43"/>
      <c r="C91" s="43"/>
      <c r="D91" s="51"/>
      <c r="E91" s="45"/>
      <c r="F91" s="45" t="s">
        <v>21</v>
      </c>
      <c r="G91" s="46" t="s">
        <v>22</v>
      </c>
      <c r="H91" s="47" t="s">
        <v>20</v>
      </c>
      <c r="I91" s="48"/>
      <c r="J91" s="48"/>
      <c r="K91" s="49"/>
      <c r="L91" s="50">
        <f t="shared" ref="L91:M91" ca="1" si="23">L92</f>
        <v>42000</v>
      </c>
      <c r="M91" s="50">
        <f t="shared" si="23"/>
        <v>0</v>
      </c>
      <c r="N91" s="50">
        <f t="shared" ca="1" si="22"/>
        <v>0</v>
      </c>
    </row>
    <row r="92" spans="1:14" ht="21.75" customHeight="1" x14ac:dyDescent="0.4">
      <c r="A92" s="42"/>
      <c r="B92" s="43"/>
      <c r="C92" s="43"/>
      <c r="D92" s="51"/>
      <c r="E92" s="45"/>
      <c r="F92" s="45"/>
      <c r="G92" s="52" t="s">
        <v>24</v>
      </c>
      <c r="H92" s="47" t="s">
        <v>20</v>
      </c>
      <c r="I92" s="48"/>
      <c r="J92" s="48"/>
      <c r="K92" s="49"/>
      <c r="L92" s="53">
        <f ca="1">IFERROR(__xludf.DUMMYFUNCTION("IMPORTRANGE(""https://docs.google.com/spreadsheets/d/1C3CXT74ZlgGe6_JY_1olB1XN4rF0dxEuIIF-xsYjHgg/edit?usp=sharing"",""พรบ!AH36"")"),42000)</f>
        <v>42000</v>
      </c>
      <c r="M92" s="54">
        <v>0</v>
      </c>
      <c r="N92" s="53">
        <f t="shared" ca="1" si="22"/>
        <v>0</v>
      </c>
    </row>
    <row r="93" spans="1:14" ht="21.75" customHeight="1" x14ac:dyDescent="0.4">
      <c r="A93" s="55"/>
      <c r="B93" s="56"/>
      <c r="C93" s="43" t="s">
        <v>17</v>
      </c>
      <c r="D93" s="57" t="s">
        <v>25</v>
      </c>
      <c r="E93" s="58"/>
      <c r="F93" s="58"/>
      <c r="G93" s="59"/>
      <c r="H93" s="60"/>
      <c r="I93" s="48"/>
      <c r="J93" s="48"/>
      <c r="K93" s="49"/>
      <c r="L93" s="61"/>
      <c r="M93" s="61"/>
      <c r="N93" s="61"/>
    </row>
    <row r="94" spans="1:14" ht="21.75" customHeight="1" x14ac:dyDescent="0.4">
      <c r="A94" s="55"/>
      <c r="B94" s="56"/>
      <c r="C94" s="56"/>
      <c r="D94" s="62">
        <v>1</v>
      </c>
      <c r="E94" s="63" t="s">
        <v>26</v>
      </c>
      <c r="F94" s="64"/>
      <c r="G94" s="65"/>
      <c r="H94" s="66"/>
      <c r="I94" s="67"/>
      <c r="J94" s="68">
        <v>0</v>
      </c>
      <c r="K94" s="49"/>
      <c r="L94" s="61"/>
      <c r="M94" s="61"/>
      <c r="N94" s="61"/>
    </row>
    <row r="95" spans="1:14" ht="21.75" customHeight="1" x14ac:dyDescent="0.4">
      <c r="A95" s="55"/>
      <c r="B95" s="56"/>
      <c r="C95" s="56"/>
      <c r="D95" s="69">
        <v>2</v>
      </c>
      <c r="E95" s="70" t="s">
        <v>27</v>
      </c>
      <c r="F95" s="71"/>
      <c r="G95" s="72"/>
      <c r="H95" s="66"/>
      <c r="I95" s="67"/>
      <c r="J95" s="68">
        <v>1</v>
      </c>
      <c r="K95" s="49"/>
      <c r="L95" s="61" t="s">
        <v>21</v>
      </c>
      <c r="M95" s="61" t="s">
        <v>21</v>
      </c>
      <c r="N95" s="61"/>
    </row>
    <row r="96" spans="1:14" ht="21.75" customHeight="1" x14ac:dyDescent="0.4">
      <c r="A96" s="55"/>
      <c r="B96" s="56"/>
      <c r="C96" s="56"/>
      <c r="D96" s="73"/>
      <c r="E96" s="74" t="s">
        <v>28</v>
      </c>
      <c r="F96" s="75"/>
      <c r="G96" s="76"/>
      <c r="H96" s="66"/>
      <c r="I96" s="67"/>
      <c r="J96" s="68">
        <v>0</v>
      </c>
      <c r="K96" s="49"/>
      <c r="L96" s="61"/>
      <c r="M96" s="61"/>
      <c r="N96" s="61"/>
    </row>
    <row r="97" spans="1:14" ht="21.75" customHeight="1" x14ac:dyDescent="0.4">
      <c r="A97" s="55"/>
      <c r="B97" s="56"/>
      <c r="C97" s="56"/>
      <c r="D97" s="73"/>
      <c r="E97" s="74" t="s">
        <v>29</v>
      </c>
      <c r="F97" s="75"/>
      <c r="G97" s="76"/>
      <c r="H97" s="66"/>
      <c r="I97" s="67"/>
      <c r="J97" s="68">
        <v>0</v>
      </c>
      <c r="K97" s="49"/>
      <c r="L97" s="61"/>
      <c r="M97" s="61"/>
      <c r="N97" s="61"/>
    </row>
    <row r="98" spans="1:14" ht="21.75" customHeight="1" x14ac:dyDescent="0.4">
      <c r="A98" s="55"/>
      <c r="B98" s="56"/>
      <c r="C98" s="56"/>
      <c r="D98" s="73"/>
      <c r="E98" s="77"/>
      <c r="F98" s="74" t="s">
        <v>64</v>
      </c>
      <c r="G98" s="76"/>
      <c r="H98" s="60" t="s">
        <v>63</v>
      </c>
      <c r="I98" s="67">
        <f ca="1">IFERROR(__xludf.DUMMYFUNCTION("IMPORTRANGE(""https://docs.google.com/spreadsheets/d/1C3CXT74ZlgGe6_JY_1olB1XN4rF0dxEuIIF-xsYjHgg/edit?usp=sharing"",""พรบ!AI36"")"),3)</f>
        <v>3</v>
      </c>
      <c r="J98" s="68">
        <v>0</v>
      </c>
      <c r="K98" s="49">
        <f ca="1">IF(I98&gt;0,J98*100/I98,0)</f>
        <v>0</v>
      </c>
      <c r="L98" s="53">
        <f ca="1">IFERROR(__xludf.DUMMYFUNCTION("IMPORTRANGE(""https://docs.google.com/spreadsheets/d/1C3CXT74ZlgGe6_JY_1olB1XN4rF0dxEuIIF-xsYjHgg/edit?usp=sharing"",""กปร!C36"")"),36000)</f>
        <v>36000</v>
      </c>
      <c r="M98" s="359">
        <v>0</v>
      </c>
      <c r="N98" s="53">
        <f ca="1">+IF(L98&gt;0,M98*100/L98,0)</f>
        <v>0</v>
      </c>
    </row>
    <row r="99" spans="1:14" ht="21.75" customHeight="1" x14ac:dyDescent="0.4">
      <c r="A99" s="55"/>
      <c r="B99" s="56"/>
      <c r="C99" s="56"/>
      <c r="D99" s="73"/>
      <c r="E99" s="74" t="s">
        <v>35</v>
      </c>
      <c r="F99" s="75"/>
      <c r="G99" s="76"/>
      <c r="H99" s="66"/>
      <c r="I99" s="67"/>
      <c r="J99" s="68">
        <v>0</v>
      </c>
      <c r="K99" s="49"/>
      <c r="L99" s="61"/>
      <c r="M99" s="61"/>
      <c r="N99" s="61"/>
    </row>
    <row r="100" spans="1:14" ht="21.75" customHeight="1" x14ac:dyDescent="0.4">
      <c r="A100" s="55"/>
      <c r="B100" s="56"/>
      <c r="C100" s="56"/>
      <c r="D100" s="81">
        <v>3</v>
      </c>
      <c r="E100" s="82" t="s">
        <v>36</v>
      </c>
      <c r="F100" s="83"/>
      <c r="G100" s="84"/>
      <c r="H100" s="66"/>
      <c r="I100" s="67"/>
      <c r="J100" s="85">
        <v>0</v>
      </c>
      <c r="K100" s="49"/>
      <c r="L100" s="61"/>
      <c r="M100" s="61"/>
      <c r="N100" s="61"/>
    </row>
    <row r="101" spans="1:14" ht="21.75" customHeight="1" x14ac:dyDescent="0.4">
      <c r="A101" s="141"/>
      <c r="B101" s="142"/>
      <c r="C101" s="143" t="s">
        <v>65</v>
      </c>
      <c r="D101" s="143"/>
      <c r="E101" s="143"/>
      <c r="F101" s="143"/>
      <c r="G101" s="144"/>
      <c r="H101" s="149" t="s">
        <v>63</v>
      </c>
      <c r="I101" s="150">
        <f t="shared" ref="I101:J101" ca="1" si="24">I111</f>
        <v>0</v>
      </c>
      <c r="J101" s="150">
        <f t="shared" si="24"/>
        <v>0</v>
      </c>
      <c r="K101" s="151">
        <f ca="1">IF(I101&gt;0,J101*100/I101,0)</f>
        <v>0</v>
      </c>
      <c r="L101" s="148">
        <f ca="1">L102+L103</f>
        <v>0</v>
      </c>
      <c r="M101" s="148">
        <f>SUM(M102:M103)</f>
        <v>0</v>
      </c>
      <c r="N101" s="148">
        <f t="shared" ref="N101:N104" ca="1" si="25">+IF(L101&gt;0,M101*100/L101,0)</f>
        <v>0</v>
      </c>
    </row>
    <row r="102" spans="1:14" ht="21.75" customHeight="1" x14ac:dyDescent="0.4">
      <c r="A102" s="42"/>
      <c r="B102" s="43"/>
      <c r="C102" s="43" t="s">
        <v>17</v>
      </c>
      <c r="D102" s="44" t="s">
        <v>18</v>
      </c>
      <c r="E102" s="45"/>
      <c r="F102" s="45"/>
      <c r="G102" s="46" t="s">
        <v>19</v>
      </c>
      <c r="H102" s="47" t="s">
        <v>20</v>
      </c>
      <c r="I102" s="67" t="s">
        <v>21</v>
      </c>
      <c r="J102" s="67"/>
      <c r="K102" s="233"/>
      <c r="L102" s="50">
        <v>0</v>
      </c>
      <c r="M102" s="50">
        <v>0</v>
      </c>
      <c r="N102" s="50">
        <f t="shared" si="25"/>
        <v>0</v>
      </c>
    </row>
    <row r="103" spans="1:14" ht="21.75" customHeight="1" x14ac:dyDescent="0.4">
      <c r="A103" s="42"/>
      <c r="B103" s="43"/>
      <c r="C103" s="43"/>
      <c r="D103" s="51"/>
      <c r="E103" s="45"/>
      <c r="F103" s="45" t="s">
        <v>21</v>
      </c>
      <c r="G103" s="46" t="s">
        <v>22</v>
      </c>
      <c r="H103" s="47" t="s">
        <v>20</v>
      </c>
      <c r="I103" s="67"/>
      <c r="J103" s="67"/>
      <c r="K103" s="233"/>
      <c r="L103" s="50">
        <f ca="1">SUM(L104)</f>
        <v>0</v>
      </c>
      <c r="M103" s="50">
        <f>M104</f>
        <v>0</v>
      </c>
      <c r="N103" s="50">
        <f t="shared" ca="1" si="25"/>
        <v>0</v>
      </c>
    </row>
    <row r="104" spans="1:14" ht="21.75" customHeight="1" x14ac:dyDescent="0.4">
      <c r="A104" s="42"/>
      <c r="B104" s="43"/>
      <c r="C104" s="43"/>
      <c r="D104" s="51"/>
      <c r="E104" s="45"/>
      <c r="F104" s="45"/>
      <c r="G104" s="52" t="s">
        <v>24</v>
      </c>
      <c r="H104" s="47" t="s">
        <v>20</v>
      </c>
      <c r="I104" s="67"/>
      <c r="J104" s="67"/>
      <c r="K104" s="233"/>
      <c r="L104" s="53">
        <f ca="1">IFERROR(__xludf.DUMMYFUNCTION("IMPORTRANGE(""https://docs.google.com/spreadsheets/d/1C3CXT74ZlgGe6_JY_1olB1XN4rF0dxEuIIF-xsYjHgg/edit?usp=sharing"",""พรบ!AJ36"")"),0)</f>
        <v>0</v>
      </c>
      <c r="M104" s="53">
        <v>0</v>
      </c>
      <c r="N104" s="53">
        <f t="shared" ca="1" si="25"/>
        <v>0</v>
      </c>
    </row>
    <row r="105" spans="1:14" ht="21.75" customHeight="1" x14ac:dyDescent="0.4">
      <c r="A105" s="55"/>
      <c r="B105" s="56"/>
      <c r="C105" s="43" t="s">
        <v>17</v>
      </c>
      <c r="D105" s="57" t="s">
        <v>25</v>
      </c>
      <c r="E105" s="58"/>
      <c r="F105" s="58"/>
      <c r="G105" s="59"/>
      <c r="H105" s="60"/>
      <c r="I105" s="67"/>
      <c r="J105" s="67"/>
      <c r="K105" s="233"/>
      <c r="L105" s="53"/>
      <c r="M105" s="53"/>
      <c r="N105" s="53"/>
    </row>
    <row r="106" spans="1:14" ht="21.75" customHeight="1" x14ac:dyDescent="0.4">
      <c r="A106" s="55"/>
      <c r="B106" s="56"/>
      <c r="C106" s="56"/>
      <c r="D106" s="62">
        <v>1</v>
      </c>
      <c r="E106" s="63" t="s">
        <v>26</v>
      </c>
      <c r="F106" s="64"/>
      <c r="G106" s="65"/>
      <c r="H106" s="66"/>
      <c r="I106" s="67"/>
      <c r="J106" s="67">
        <v>0</v>
      </c>
      <c r="K106" s="233"/>
      <c r="L106" s="53"/>
      <c r="M106" s="53"/>
      <c r="N106" s="53"/>
    </row>
    <row r="107" spans="1:14" ht="21.75" customHeight="1" x14ac:dyDescent="0.4">
      <c r="A107" s="55"/>
      <c r="B107" s="56"/>
      <c r="C107" s="56"/>
      <c r="D107" s="69">
        <v>2</v>
      </c>
      <c r="E107" s="70" t="s">
        <v>27</v>
      </c>
      <c r="F107" s="71"/>
      <c r="G107" s="72"/>
      <c r="H107" s="66"/>
      <c r="I107" s="67"/>
      <c r="J107" s="67">
        <v>0</v>
      </c>
      <c r="K107" s="233"/>
      <c r="L107" s="53" t="s">
        <v>21</v>
      </c>
      <c r="M107" s="53" t="s">
        <v>21</v>
      </c>
      <c r="N107" s="53"/>
    </row>
    <row r="108" spans="1:14" ht="21.75" customHeight="1" x14ac:dyDescent="0.4">
      <c r="A108" s="55"/>
      <c r="B108" s="56"/>
      <c r="C108" s="56"/>
      <c r="D108" s="73"/>
      <c r="E108" s="74" t="s">
        <v>28</v>
      </c>
      <c r="F108" s="75"/>
      <c r="G108" s="76"/>
      <c r="H108" s="66"/>
      <c r="I108" s="67"/>
      <c r="J108" s="67">
        <v>0</v>
      </c>
      <c r="K108" s="233"/>
      <c r="L108" s="53"/>
      <c r="M108" s="53"/>
      <c r="N108" s="53"/>
    </row>
    <row r="109" spans="1:14" ht="21.75" customHeight="1" x14ac:dyDescent="0.4">
      <c r="A109" s="55"/>
      <c r="B109" s="56"/>
      <c r="C109" s="56"/>
      <c r="D109" s="73"/>
      <c r="E109" s="74" t="s">
        <v>29</v>
      </c>
      <c r="F109" s="75"/>
      <c r="G109" s="76"/>
      <c r="H109" s="66"/>
      <c r="I109" s="67"/>
      <c r="J109" s="67">
        <v>0</v>
      </c>
      <c r="K109" s="233"/>
      <c r="L109" s="53"/>
      <c r="M109" s="53"/>
      <c r="N109" s="53"/>
    </row>
    <row r="110" spans="1:14" ht="21.75" customHeight="1" x14ac:dyDescent="0.4">
      <c r="A110" s="55"/>
      <c r="B110" s="56"/>
      <c r="C110" s="56"/>
      <c r="D110" s="73"/>
      <c r="E110" s="77"/>
      <c r="F110" s="74" t="s">
        <v>66</v>
      </c>
      <c r="G110" s="76"/>
      <c r="H110" s="60" t="s">
        <v>63</v>
      </c>
      <c r="I110" s="67">
        <f ca="1">IFERROR(__xludf.DUMMYFUNCTION("IMPORTRANGE(""https://docs.google.com/spreadsheets/d/1C3CXT74ZlgGe6_JY_1olB1XN4rF0dxEuIIF-xsYjHgg/edit?usp=sharing"",""พรบ!AK36"")"),0)</f>
        <v>0</v>
      </c>
      <c r="J110" s="67">
        <v>0</v>
      </c>
      <c r="K110" s="233">
        <f t="shared" ref="K110:K111" ca="1" si="26">IF(I110&gt;0,J110*100/I110,0)</f>
        <v>0</v>
      </c>
      <c r="L110" s="53">
        <f ca="1">IFERROR(__xludf.DUMMYFUNCTION("IMPORTRANGE(""https://docs.google.com/spreadsheets/d/1C3CXT74ZlgGe6_JY_1olB1XN4rF0dxEuIIF-xsYjHgg/edit?usp=sharing"",""กปร!D36"")"),0)</f>
        <v>0</v>
      </c>
      <c r="M110" s="53">
        <v>0</v>
      </c>
      <c r="N110" s="53">
        <f t="shared" ref="N110:N111" ca="1" si="27">+IF(L110&gt;0,M110*100/L110,0)</f>
        <v>0</v>
      </c>
    </row>
    <row r="111" spans="1:14" ht="21.75" customHeight="1" x14ac:dyDescent="0.4">
      <c r="A111" s="55"/>
      <c r="B111" s="56"/>
      <c r="C111" s="56"/>
      <c r="D111" s="73"/>
      <c r="E111" s="77"/>
      <c r="F111" s="74" t="s">
        <v>67</v>
      </c>
      <c r="G111" s="76"/>
      <c r="H111" s="60" t="s">
        <v>63</v>
      </c>
      <c r="I111" s="67">
        <f ca="1">IFERROR(__xludf.DUMMYFUNCTION("IMPORTRANGE(""https://docs.google.com/spreadsheets/d/1C3CXT74ZlgGe6_JY_1olB1XN4rF0dxEuIIF-xsYjHgg/edit?usp=sharing"",""พรบ!AL36"")"),0)</f>
        <v>0</v>
      </c>
      <c r="J111" s="67">
        <v>0</v>
      </c>
      <c r="K111" s="233">
        <f t="shared" ca="1" si="26"/>
        <v>0</v>
      </c>
      <c r="L111" s="53">
        <f ca="1">IFERROR(__xludf.DUMMYFUNCTION("IMPORTRANGE(""https://docs.google.com/spreadsheets/d/1C3CXT74ZlgGe6_JY_1olB1XN4rF0dxEuIIF-xsYjHgg/edit?usp=sharing"",""กปร!E36"")"),0)</f>
        <v>0</v>
      </c>
      <c r="M111" s="53">
        <v>0</v>
      </c>
      <c r="N111" s="53">
        <f t="shared" ca="1" si="27"/>
        <v>0</v>
      </c>
    </row>
    <row r="112" spans="1:14" ht="21.75" customHeight="1" x14ac:dyDescent="0.4">
      <c r="A112" s="55"/>
      <c r="B112" s="56"/>
      <c r="C112" s="56"/>
      <c r="D112" s="73"/>
      <c r="E112" s="74" t="s">
        <v>35</v>
      </c>
      <c r="F112" s="75"/>
      <c r="G112" s="76"/>
      <c r="H112" s="66"/>
      <c r="I112" s="67"/>
      <c r="J112" s="67">
        <v>0</v>
      </c>
      <c r="K112" s="233"/>
      <c r="L112" s="53"/>
      <c r="M112" s="53"/>
      <c r="N112" s="53"/>
    </row>
    <row r="113" spans="1:14" ht="21.75" customHeight="1" x14ac:dyDescent="0.4">
      <c r="A113" s="55"/>
      <c r="B113" s="56"/>
      <c r="C113" s="56"/>
      <c r="D113" s="81">
        <v>3</v>
      </c>
      <c r="E113" s="82" t="s">
        <v>36</v>
      </c>
      <c r="F113" s="83"/>
      <c r="G113" s="84"/>
      <c r="H113" s="66"/>
      <c r="I113" s="67"/>
      <c r="J113" s="360">
        <v>0</v>
      </c>
      <c r="K113" s="233"/>
      <c r="L113" s="53"/>
      <c r="M113" s="53"/>
      <c r="N113" s="53"/>
    </row>
    <row r="114" spans="1:14" ht="21.75" customHeight="1" x14ac:dyDescent="0.4">
      <c r="A114" s="141"/>
      <c r="B114" s="142"/>
      <c r="C114" s="143" t="s">
        <v>68</v>
      </c>
      <c r="D114" s="143"/>
      <c r="E114" s="143"/>
      <c r="F114" s="143"/>
      <c r="G114" s="144"/>
      <c r="H114" s="152" t="s">
        <v>69</v>
      </c>
      <c r="I114" s="150">
        <f t="shared" ref="I114:J114" ca="1" si="28">I125</f>
        <v>100000</v>
      </c>
      <c r="J114" s="150">
        <f t="shared" si="28"/>
        <v>0</v>
      </c>
      <c r="K114" s="151">
        <f ca="1">IF(I114&gt;0,J114*100/I114,0)</f>
        <v>0</v>
      </c>
      <c r="L114" s="148">
        <f ca="1">L115+L116</f>
        <v>34000</v>
      </c>
      <c r="M114" s="148">
        <f>SUM(M115:M116)</f>
        <v>0</v>
      </c>
      <c r="N114" s="148">
        <f t="shared" ref="N114:N117" ca="1" si="29">+IF(L114&gt;0,M114*100/L114,0)</f>
        <v>0</v>
      </c>
    </row>
    <row r="115" spans="1:14" ht="21.75" customHeight="1" x14ac:dyDescent="0.4">
      <c r="A115" s="42"/>
      <c r="B115" s="43"/>
      <c r="C115" s="43" t="s">
        <v>17</v>
      </c>
      <c r="D115" s="44" t="s">
        <v>18</v>
      </c>
      <c r="E115" s="45"/>
      <c r="F115" s="45"/>
      <c r="G115" s="46" t="s">
        <v>19</v>
      </c>
      <c r="H115" s="47" t="s">
        <v>20</v>
      </c>
      <c r="I115" s="48" t="s">
        <v>21</v>
      </c>
      <c r="J115" s="48"/>
      <c r="K115" s="49"/>
      <c r="L115" s="50">
        <v>0</v>
      </c>
      <c r="M115" s="50">
        <v>0</v>
      </c>
      <c r="N115" s="50">
        <f t="shared" si="29"/>
        <v>0</v>
      </c>
    </row>
    <row r="116" spans="1:14" ht="21.75" customHeight="1" x14ac:dyDescent="0.4">
      <c r="A116" s="42"/>
      <c r="B116" s="43"/>
      <c r="C116" s="43"/>
      <c r="D116" s="51"/>
      <c r="E116" s="45"/>
      <c r="F116" s="45" t="s">
        <v>21</v>
      </c>
      <c r="G116" s="46" t="s">
        <v>22</v>
      </c>
      <c r="H116" s="47" t="s">
        <v>20</v>
      </c>
      <c r="I116" s="48"/>
      <c r="J116" s="48"/>
      <c r="K116" s="49"/>
      <c r="L116" s="50">
        <f ca="1">SUM(L117)</f>
        <v>34000</v>
      </c>
      <c r="M116" s="50">
        <f>M117</f>
        <v>0</v>
      </c>
      <c r="N116" s="50">
        <f t="shared" ca="1" si="29"/>
        <v>0</v>
      </c>
    </row>
    <row r="117" spans="1:14" ht="21.75" customHeight="1" x14ac:dyDescent="0.4">
      <c r="A117" s="42"/>
      <c r="B117" s="43"/>
      <c r="C117" s="43"/>
      <c r="D117" s="51"/>
      <c r="E117" s="45"/>
      <c r="F117" s="45"/>
      <c r="G117" s="52" t="s">
        <v>24</v>
      </c>
      <c r="H117" s="47" t="s">
        <v>20</v>
      </c>
      <c r="I117" s="48"/>
      <c r="J117" s="48"/>
      <c r="K117" s="49"/>
      <c r="L117" s="53">
        <f ca="1">IFERROR(__xludf.DUMMYFUNCTION("IMPORTRANGE(""https://docs.google.com/spreadsheets/d/1C3CXT74ZlgGe6_JY_1olB1XN4rF0dxEuIIF-xsYjHgg/edit?usp=sharing"",""พรบ!AM36"")"),34000)</f>
        <v>34000</v>
      </c>
      <c r="M117" s="54">
        <v>0</v>
      </c>
      <c r="N117" s="53">
        <f t="shared" ca="1" si="29"/>
        <v>0</v>
      </c>
    </row>
    <row r="118" spans="1:14" ht="21.75" customHeight="1" x14ac:dyDescent="0.4">
      <c r="A118" s="55"/>
      <c r="B118" s="56"/>
      <c r="C118" s="43" t="s">
        <v>17</v>
      </c>
      <c r="D118" s="57" t="s">
        <v>25</v>
      </c>
      <c r="E118" s="58"/>
      <c r="F118" s="58"/>
      <c r="G118" s="59"/>
      <c r="H118" s="60"/>
      <c r="I118" s="48"/>
      <c r="J118" s="48"/>
      <c r="K118" s="49"/>
      <c r="L118" s="61"/>
      <c r="M118" s="61"/>
      <c r="N118" s="61"/>
    </row>
    <row r="119" spans="1:14" ht="21.75" customHeight="1" x14ac:dyDescent="0.4">
      <c r="A119" s="55"/>
      <c r="B119" s="56"/>
      <c r="C119" s="56"/>
      <c r="D119" s="62">
        <v>1</v>
      </c>
      <c r="E119" s="63" t="s">
        <v>26</v>
      </c>
      <c r="F119" s="64"/>
      <c r="G119" s="65"/>
      <c r="H119" s="66"/>
      <c r="I119" s="67"/>
      <c r="J119" s="68">
        <v>0</v>
      </c>
      <c r="K119" s="49"/>
      <c r="L119" s="61"/>
      <c r="M119" s="61"/>
      <c r="N119" s="61"/>
    </row>
    <row r="120" spans="1:14" ht="21.75" customHeight="1" x14ac:dyDescent="0.4">
      <c r="A120" s="55"/>
      <c r="B120" s="56"/>
      <c r="C120" s="56"/>
      <c r="D120" s="69">
        <v>2</v>
      </c>
      <c r="E120" s="70" t="s">
        <v>27</v>
      </c>
      <c r="F120" s="71"/>
      <c r="G120" s="72"/>
      <c r="H120" s="66"/>
      <c r="I120" s="67"/>
      <c r="J120" s="68">
        <v>1</v>
      </c>
      <c r="K120" s="49"/>
      <c r="L120" s="61" t="s">
        <v>21</v>
      </c>
      <c r="M120" s="61" t="s">
        <v>21</v>
      </c>
      <c r="N120" s="61"/>
    </row>
    <row r="121" spans="1:14" ht="21.75" customHeight="1" x14ac:dyDescent="0.4">
      <c r="A121" s="55"/>
      <c r="B121" s="56"/>
      <c r="C121" s="56"/>
      <c r="D121" s="73"/>
      <c r="E121" s="74" t="s">
        <v>28</v>
      </c>
      <c r="F121" s="75"/>
      <c r="G121" s="76"/>
      <c r="H121" s="66"/>
      <c r="I121" s="67"/>
      <c r="J121" s="68">
        <v>0</v>
      </c>
      <c r="K121" s="49"/>
      <c r="L121" s="61"/>
      <c r="M121" s="61"/>
      <c r="N121" s="61"/>
    </row>
    <row r="122" spans="1:14" ht="21.75" customHeight="1" x14ac:dyDescent="0.4">
      <c r="A122" s="55"/>
      <c r="B122" s="56"/>
      <c r="C122" s="56"/>
      <c r="D122" s="73"/>
      <c r="E122" s="74" t="s">
        <v>29</v>
      </c>
      <c r="F122" s="75"/>
      <c r="G122" s="76"/>
      <c r="H122" s="66"/>
      <c r="I122" s="67"/>
      <c r="J122" s="68">
        <v>0</v>
      </c>
      <c r="K122" s="49"/>
      <c r="L122" s="61"/>
      <c r="M122" s="61"/>
      <c r="N122" s="61"/>
    </row>
    <row r="123" spans="1:14" ht="21.75" customHeight="1" x14ac:dyDescent="0.4">
      <c r="A123" s="55"/>
      <c r="B123" s="56"/>
      <c r="C123" s="56"/>
      <c r="D123" s="73"/>
      <c r="E123" s="75"/>
      <c r="F123" s="75" t="s">
        <v>70</v>
      </c>
      <c r="G123" s="76"/>
      <c r="H123" s="60"/>
      <c r="I123" s="67"/>
      <c r="J123" s="67"/>
      <c r="K123" s="49"/>
      <c r="L123" s="61"/>
      <c r="M123" s="61"/>
      <c r="N123" s="61"/>
    </row>
    <row r="124" spans="1:14" ht="21.75" customHeight="1" x14ac:dyDescent="0.4">
      <c r="A124" s="55"/>
      <c r="B124" s="56"/>
      <c r="C124" s="56"/>
      <c r="D124" s="73"/>
      <c r="E124" s="77"/>
      <c r="F124" s="75"/>
      <c r="G124" s="74" t="s">
        <v>71</v>
      </c>
      <c r="H124" s="60" t="s">
        <v>69</v>
      </c>
      <c r="I124" s="67">
        <f ca="1">IFERROR(__xludf.DUMMYFUNCTION("IMPORTRANGE(""https://docs.google.com/spreadsheets/d/1C3CXT74ZlgGe6_JY_1olB1XN4rF0dxEuIIF-xsYjHgg/edit?usp=sharing"",""พรบ!AO36"")"),100000)</f>
        <v>100000</v>
      </c>
      <c r="J124" s="68">
        <v>0</v>
      </c>
      <c r="K124" s="49">
        <f t="shared" ref="K124:K126" ca="1" si="30">IF(I124&gt;0,J124*100/I124,0)</f>
        <v>0</v>
      </c>
      <c r="L124" s="53">
        <f ca="1">IFERROR(__xludf.DUMMYFUNCTION("IMPORTRANGE(""https://docs.google.com/spreadsheets/d/1C3CXT74ZlgGe6_JY_1olB1XN4rF0dxEuIIF-xsYjHgg/edit?usp=sharing"",""กปร!F36"")"),25000)</f>
        <v>25000</v>
      </c>
      <c r="M124" s="359">
        <v>0</v>
      </c>
      <c r="N124" s="53">
        <f t="shared" ref="N124:N125" ca="1" si="31">+IF(L124&gt;0,M124*100/L124,0)</f>
        <v>0</v>
      </c>
    </row>
    <row r="125" spans="1:14" ht="21.75" customHeight="1" x14ac:dyDescent="0.4">
      <c r="A125" s="55"/>
      <c r="B125" s="56"/>
      <c r="C125" s="56"/>
      <c r="D125" s="73"/>
      <c r="E125" s="77"/>
      <c r="F125" s="75"/>
      <c r="G125" s="74" t="s">
        <v>72</v>
      </c>
      <c r="H125" s="60" t="s">
        <v>69</v>
      </c>
      <c r="I125" s="67">
        <f ca="1">IFERROR(__xludf.DUMMYFUNCTION("IMPORTRANGE(""https://docs.google.com/spreadsheets/d/1C3CXT74ZlgGe6_JY_1olB1XN4rF0dxEuIIF-xsYjHgg/edit?usp=sharing"",""พรบ!AP36"")"),100000)</f>
        <v>100000</v>
      </c>
      <c r="J125" s="68">
        <v>0</v>
      </c>
      <c r="K125" s="49">
        <f t="shared" ca="1" si="30"/>
        <v>0</v>
      </c>
      <c r="L125" s="53">
        <f ca="1">IFERROR(__xludf.DUMMYFUNCTION("IMPORTRANGE(""https://docs.google.com/spreadsheets/d/1C3CXT74ZlgGe6_JY_1olB1XN4rF0dxEuIIF-xsYjHgg/edit?usp=sharing"",""กปร!G36"")"),0)</f>
        <v>0</v>
      </c>
      <c r="M125" s="53">
        <v>0</v>
      </c>
      <c r="N125" s="53">
        <f t="shared" ca="1" si="31"/>
        <v>0</v>
      </c>
    </row>
    <row r="126" spans="1:14" ht="21.75" customHeight="1" x14ac:dyDescent="0.4">
      <c r="A126" s="55"/>
      <c r="B126" s="56"/>
      <c r="C126" s="56"/>
      <c r="D126" s="73"/>
      <c r="E126" s="77"/>
      <c r="F126" s="75" t="s">
        <v>73</v>
      </c>
      <c r="G126" s="76"/>
      <c r="H126" s="60" t="s">
        <v>16</v>
      </c>
      <c r="I126" s="67">
        <f ca="1">IFERROR(__xludf.DUMMYFUNCTION("IMPORTRANGE(""https://docs.google.com/spreadsheets/d/1C3CXT74ZlgGe6_JY_1olB1XN4rF0dxEuIIF-xsYjHgg/edit?usp=sharing"",""พรบ!AQ36"")"),0)</f>
        <v>0</v>
      </c>
      <c r="J126" s="68">
        <v>0</v>
      </c>
      <c r="K126" s="49">
        <f t="shared" ca="1" si="30"/>
        <v>0</v>
      </c>
      <c r="L126" s="61"/>
      <c r="M126" s="61"/>
      <c r="N126" s="61"/>
    </row>
    <row r="127" spans="1:14" ht="21.75" customHeight="1" x14ac:dyDescent="0.4">
      <c r="A127" s="55"/>
      <c r="B127" s="56"/>
      <c r="C127" s="56"/>
      <c r="D127" s="73"/>
      <c r="E127" s="74" t="s">
        <v>35</v>
      </c>
      <c r="F127" s="75"/>
      <c r="G127" s="76"/>
      <c r="H127" s="66"/>
      <c r="I127" s="67"/>
      <c r="J127" s="68">
        <v>0</v>
      </c>
      <c r="K127" s="49"/>
      <c r="L127" s="61"/>
      <c r="M127" s="61"/>
      <c r="N127" s="61"/>
    </row>
    <row r="128" spans="1:14" ht="21.75" customHeight="1" x14ac:dyDescent="0.4">
      <c r="A128" s="105"/>
      <c r="B128" s="106"/>
      <c r="C128" s="106"/>
      <c r="D128" s="107">
        <v>3</v>
      </c>
      <c r="E128" s="108" t="s">
        <v>36</v>
      </c>
      <c r="F128" s="109"/>
      <c r="G128" s="110"/>
      <c r="H128" s="111"/>
      <c r="I128" s="112"/>
      <c r="J128" s="113">
        <v>0</v>
      </c>
      <c r="K128" s="114"/>
      <c r="L128" s="115"/>
      <c r="M128" s="115"/>
      <c r="N128" s="115"/>
    </row>
    <row r="129" spans="1:14" ht="21.75" customHeight="1" x14ac:dyDescent="0.4">
      <c r="A129" s="141"/>
      <c r="B129" s="142"/>
      <c r="C129" s="153" t="s">
        <v>74</v>
      </c>
      <c r="D129" s="143"/>
      <c r="E129" s="143"/>
      <c r="F129" s="143"/>
      <c r="G129" s="144"/>
      <c r="H129" s="152" t="s">
        <v>16</v>
      </c>
      <c r="I129" s="150">
        <f t="shared" ref="I129:J129" ca="1" si="32">I138</f>
        <v>0</v>
      </c>
      <c r="J129" s="150">
        <f t="shared" si="32"/>
        <v>0</v>
      </c>
      <c r="K129" s="151">
        <f ca="1">IF(I129&gt;0,J129*100/I129,0)</f>
        <v>0</v>
      </c>
      <c r="L129" s="148">
        <f ca="1">L130+L131</f>
        <v>0</v>
      </c>
      <c r="M129" s="148">
        <f>SUM(M130:M131)</f>
        <v>0</v>
      </c>
      <c r="N129" s="148">
        <f t="shared" ref="N129:N132" ca="1" si="33">+IF(L129&gt;0,M129*100/L129,0)</f>
        <v>0</v>
      </c>
    </row>
    <row r="130" spans="1:14" ht="21.75" customHeight="1" x14ac:dyDescent="0.4">
      <c r="A130" s="42"/>
      <c r="B130" s="43"/>
      <c r="C130" s="43" t="s">
        <v>17</v>
      </c>
      <c r="D130" s="44" t="s">
        <v>18</v>
      </c>
      <c r="E130" s="45"/>
      <c r="F130" s="45"/>
      <c r="G130" s="46" t="s">
        <v>19</v>
      </c>
      <c r="H130" s="47" t="s">
        <v>20</v>
      </c>
      <c r="I130" s="67" t="s">
        <v>21</v>
      </c>
      <c r="J130" s="67"/>
      <c r="K130" s="233"/>
      <c r="L130" s="50">
        <v>0</v>
      </c>
      <c r="M130" s="50">
        <v>0</v>
      </c>
      <c r="N130" s="50">
        <f t="shared" si="33"/>
        <v>0</v>
      </c>
    </row>
    <row r="131" spans="1:14" ht="21.75" customHeight="1" x14ac:dyDescent="0.4">
      <c r="A131" s="42"/>
      <c r="B131" s="43"/>
      <c r="C131" s="43"/>
      <c r="D131" s="51"/>
      <c r="E131" s="45"/>
      <c r="F131" s="45" t="s">
        <v>21</v>
      </c>
      <c r="G131" s="46" t="s">
        <v>22</v>
      </c>
      <c r="H131" s="47" t="s">
        <v>20</v>
      </c>
      <c r="I131" s="67"/>
      <c r="J131" s="67"/>
      <c r="K131" s="233"/>
      <c r="L131" s="50">
        <f ca="1">SUM(L132)</f>
        <v>0</v>
      </c>
      <c r="M131" s="50">
        <f>M132</f>
        <v>0</v>
      </c>
      <c r="N131" s="50">
        <f t="shared" ca="1" si="33"/>
        <v>0</v>
      </c>
    </row>
    <row r="132" spans="1:14" ht="21.75" customHeight="1" x14ac:dyDescent="0.4">
      <c r="A132" s="42"/>
      <c r="B132" s="43"/>
      <c r="C132" s="43"/>
      <c r="D132" s="51"/>
      <c r="E132" s="45"/>
      <c r="F132" s="45"/>
      <c r="G132" s="52" t="s">
        <v>24</v>
      </c>
      <c r="H132" s="47" t="s">
        <v>20</v>
      </c>
      <c r="I132" s="67"/>
      <c r="J132" s="67"/>
      <c r="K132" s="233"/>
      <c r="L132" s="53">
        <f ca="1">IFERROR(__xludf.DUMMYFUNCTION("IMPORTRANGE(""https://docs.google.com/spreadsheets/d/1C3CXT74ZlgGe6_JY_1olB1XN4rF0dxEuIIF-xsYjHgg/edit?usp=sharing"",""พรบ!AR36"")"),0)</f>
        <v>0</v>
      </c>
      <c r="M132" s="53">
        <v>0</v>
      </c>
      <c r="N132" s="53">
        <f t="shared" ca="1" si="33"/>
        <v>0</v>
      </c>
    </row>
    <row r="133" spans="1:14" ht="21.75" customHeight="1" x14ac:dyDescent="0.4">
      <c r="A133" s="55"/>
      <c r="B133" s="56"/>
      <c r="C133" s="43" t="s">
        <v>17</v>
      </c>
      <c r="D133" s="57" t="s">
        <v>25</v>
      </c>
      <c r="E133" s="58"/>
      <c r="F133" s="58"/>
      <c r="G133" s="59"/>
      <c r="H133" s="60"/>
      <c r="I133" s="67"/>
      <c r="J133" s="67"/>
      <c r="K133" s="233"/>
      <c r="L133" s="53"/>
      <c r="M133" s="53"/>
      <c r="N133" s="53"/>
    </row>
    <row r="134" spans="1:14" ht="21.75" customHeight="1" x14ac:dyDescent="0.4">
      <c r="A134" s="55"/>
      <c r="B134" s="56"/>
      <c r="C134" s="56"/>
      <c r="D134" s="62">
        <v>1</v>
      </c>
      <c r="E134" s="63" t="s">
        <v>26</v>
      </c>
      <c r="F134" s="64"/>
      <c r="G134" s="65"/>
      <c r="H134" s="66"/>
      <c r="I134" s="67"/>
      <c r="J134" s="67">
        <v>0</v>
      </c>
      <c r="K134" s="233"/>
      <c r="L134" s="53"/>
      <c r="M134" s="53"/>
      <c r="N134" s="53"/>
    </row>
    <row r="135" spans="1:14" ht="21.75" customHeight="1" x14ac:dyDescent="0.4">
      <c r="A135" s="55"/>
      <c r="B135" s="56"/>
      <c r="C135" s="56"/>
      <c r="D135" s="69">
        <v>2</v>
      </c>
      <c r="E135" s="70" t="s">
        <v>27</v>
      </c>
      <c r="F135" s="71"/>
      <c r="G135" s="72"/>
      <c r="H135" s="66"/>
      <c r="I135" s="67"/>
      <c r="J135" s="67">
        <v>0</v>
      </c>
      <c r="K135" s="233"/>
      <c r="L135" s="53" t="s">
        <v>21</v>
      </c>
      <c r="M135" s="53" t="s">
        <v>21</v>
      </c>
      <c r="N135" s="53"/>
    </row>
    <row r="136" spans="1:14" ht="21.75" customHeight="1" x14ac:dyDescent="0.4">
      <c r="A136" s="55"/>
      <c r="B136" s="56"/>
      <c r="C136" s="56"/>
      <c r="D136" s="73"/>
      <c r="E136" s="74" t="s">
        <v>28</v>
      </c>
      <c r="F136" s="75"/>
      <c r="G136" s="76"/>
      <c r="H136" s="66"/>
      <c r="I136" s="67"/>
      <c r="J136" s="67">
        <v>0</v>
      </c>
      <c r="K136" s="233"/>
      <c r="L136" s="53"/>
      <c r="M136" s="53"/>
      <c r="N136" s="53"/>
    </row>
    <row r="137" spans="1:14" ht="21.75" customHeight="1" x14ac:dyDescent="0.4">
      <c r="A137" s="55"/>
      <c r="B137" s="56"/>
      <c r="C137" s="56"/>
      <c r="D137" s="73"/>
      <c r="E137" s="74" t="s">
        <v>29</v>
      </c>
      <c r="F137" s="75"/>
      <c r="G137" s="76"/>
      <c r="H137" s="66"/>
      <c r="I137" s="67"/>
      <c r="J137" s="67">
        <v>0</v>
      </c>
      <c r="K137" s="233"/>
      <c r="L137" s="53"/>
      <c r="M137" s="53"/>
      <c r="N137" s="53"/>
    </row>
    <row r="138" spans="1:14" ht="21.75" customHeight="1" x14ac:dyDescent="0.4">
      <c r="A138" s="55"/>
      <c r="B138" s="56"/>
      <c r="C138" s="56"/>
      <c r="D138" s="73"/>
      <c r="E138" s="77"/>
      <c r="F138" s="75" t="s">
        <v>75</v>
      </c>
      <c r="G138" s="76"/>
      <c r="H138" s="60" t="s">
        <v>16</v>
      </c>
      <c r="I138" s="67">
        <f ca="1">IFERROR(__xludf.DUMMYFUNCTION("IMPORTRANGE(""https://docs.google.com/spreadsheets/d/1C3CXT74ZlgGe6_JY_1olB1XN4rF0dxEuIIF-xsYjHgg/edit?usp=sharing"",""พรบ!AS36"")"),0)</f>
        <v>0</v>
      </c>
      <c r="J138" s="67">
        <v>0</v>
      </c>
      <c r="K138" s="233">
        <f ca="1">IF(I138&gt;0,J138*100/I138,0)</f>
        <v>0</v>
      </c>
      <c r="L138" s="53">
        <f ca="1">IFERROR(__xludf.DUMMYFUNCTION("IMPORTRANGE(""https://docs.google.com/spreadsheets/d/1C3CXT74ZlgGe6_JY_1olB1XN4rF0dxEuIIF-xsYjHgg/edit?usp=sharing"",""กปร!H36"")"),0)</f>
        <v>0</v>
      </c>
      <c r="M138" s="53">
        <v>0</v>
      </c>
      <c r="N138" s="53">
        <f ca="1">+IF(L138&gt;0,M138*100/L138,0)</f>
        <v>0</v>
      </c>
    </row>
    <row r="139" spans="1:14" ht="21.75" customHeight="1" x14ac:dyDescent="0.4">
      <c r="A139" s="55"/>
      <c r="B139" s="56"/>
      <c r="C139" s="56"/>
      <c r="D139" s="73"/>
      <c r="E139" s="77"/>
      <c r="F139" s="74" t="s">
        <v>34</v>
      </c>
      <c r="G139" s="76"/>
      <c r="H139" s="60"/>
      <c r="I139" s="67"/>
      <c r="J139" s="67"/>
      <c r="K139" s="233"/>
      <c r="L139" s="53"/>
      <c r="M139" s="53"/>
      <c r="N139" s="53"/>
    </row>
    <row r="140" spans="1:14" ht="21.75" customHeight="1" x14ac:dyDescent="0.4">
      <c r="A140" s="55"/>
      <c r="B140" s="56"/>
      <c r="C140" s="56"/>
      <c r="D140" s="73"/>
      <c r="E140" s="77"/>
      <c r="F140" s="75"/>
      <c r="G140" s="99" t="s">
        <v>76</v>
      </c>
      <c r="H140" s="60" t="s">
        <v>16</v>
      </c>
      <c r="I140" s="67">
        <f ca="1">IFERROR(__xludf.DUMMYFUNCTION("IMPORTRANGE(""https://docs.google.com/spreadsheets/d/1C3CXT74ZlgGe6_JY_1olB1XN4rF0dxEuIIF-xsYjHgg/edit?usp=sharing"",""พรบ!AT36"")"),0)</f>
        <v>0</v>
      </c>
      <c r="J140" s="67">
        <v>0</v>
      </c>
      <c r="K140" s="233">
        <f t="shared" ref="K140:K141" ca="1" si="34">IF(I140&gt;0,J140*100/I140,0)</f>
        <v>0</v>
      </c>
      <c r="L140" s="53">
        <f ca="1">IFERROR(__xludf.DUMMYFUNCTION("IMPORTRANGE(""https://docs.google.com/spreadsheets/d/1C3CXT74ZlgGe6_JY_1olB1XN4rF0dxEuIIF-xsYjHgg/edit?usp=sharing"",""กปร!I36"")"),0)</f>
        <v>0</v>
      </c>
      <c r="M140" s="53">
        <v>0</v>
      </c>
      <c r="N140" s="53">
        <f t="shared" ref="N140:N141" ca="1" si="35">+IF(L140&gt;0,M140*100/L140,0)</f>
        <v>0</v>
      </c>
    </row>
    <row r="141" spans="1:14" ht="21.75" customHeight="1" x14ac:dyDescent="0.4">
      <c r="A141" s="55"/>
      <c r="B141" s="56"/>
      <c r="C141" s="56"/>
      <c r="D141" s="73"/>
      <c r="E141" s="77"/>
      <c r="F141" s="75"/>
      <c r="G141" s="99" t="s">
        <v>77</v>
      </c>
      <c r="H141" s="60" t="s">
        <v>40</v>
      </c>
      <c r="I141" s="67">
        <f ca="1">IFERROR(__xludf.DUMMYFUNCTION("IMPORTRANGE(""https://docs.google.com/spreadsheets/d/1C3CXT74ZlgGe6_JY_1olB1XN4rF0dxEuIIF-xsYjHgg/edit?usp=sharing"",""พรบ!AU36"")"),0)</f>
        <v>0</v>
      </c>
      <c r="J141" s="67">
        <v>0</v>
      </c>
      <c r="K141" s="233">
        <f t="shared" ca="1" si="34"/>
        <v>0</v>
      </c>
      <c r="L141" s="53">
        <f ca="1">IFERROR(__xludf.DUMMYFUNCTION("IMPORTRANGE(""https://docs.google.com/spreadsheets/d/1C3CXT74ZlgGe6_JY_1olB1XN4rF0dxEuIIF-xsYjHgg/edit?usp=sharing"",""กปร!J36"")"),0)</f>
        <v>0</v>
      </c>
      <c r="M141" s="53">
        <v>0</v>
      </c>
      <c r="N141" s="53">
        <f t="shared" ca="1" si="35"/>
        <v>0</v>
      </c>
    </row>
    <row r="142" spans="1:14" ht="21.75" customHeight="1" x14ac:dyDescent="0.4">
      <c r="A142" s="55"/>
      <c r="B142" s="56"/>
      <c r="C142" s="56"/>
      <c r="D142" s="73"/>
      <c r="E142" s="74" t="s">
        <v>35</v>
      </c>
      <c r="F142" s="75"/>
      <c r="G142" s="76"/>
      <c r="H142" s="66"/>
      <c r="I142" s="67"/>
      <c r="J142" s="67">
        <v>0</v>
      </c>
      <c r="K142" s="233"/>
      <c r="L142" s="53"/>
      <c r="M142" s="53"/>
      <c r="N142" s="53"/>
    </row>
    <row r="143" spans="1:14" ht="21.75" customHeight="1" x14ac:dyDescent="0.4">
      <c r="A143" s="105"/>
      <c r="B143" s="106"/>
      <c r="C143" s="106"/>
      <c r="D143" s="107">
        <v>3</v>
      </c>
      <c r="E143" s="108" t="s">
        <v>36</v>
      </c>
      <c r="F143" s="109"/>
      <c r="G143" s="110"/>
      <c r="H143" s="111"/>
      <c r="I143" s="112"/>
      <c r="J143" s="356">
        <v>0</v>
      </c>
      <c r="K143" s="357"/>
      <c r="L143" s="358"/>
      <c r="M143" s="358"/>
      <c r="N143" s="358"/>
    </row>
    <row r="144" spans="1:14" ht="21.75" customHeight="1" x14ac:dyDescent="0.4">
      <c r="A144" s="132"/>
      <c r="B144" s="133" t="s">
        <v>78</v>
      </c>
      <c r="C144" s="134"/>
      <c r="D144" s="133"/>
      <c r="E144" s="133"/>
      <c r="F144" s="133"/>
      <c r="G144" s="135"/>
      <c r="H144" s="136" t="s">
        <v>16</v>
      </c>
      <c r="I144" s="137">
        <f t="shared" ref="I144:J144" ca="1" si="36">+I149+I158</f>
        <v>15</v>
      </c>
      <c r="J144" s="137">
        <f t="shared" si="36"/>
        <v>0</v>
      </c>
      <c r="K144" s="138">
        <f ca="1">IF(I144&gt;0,J144*100/I144,0)</f>
        <v>0</v>
      </c>
      <c r="L144" s="139">
        <f ca="1">L145+L146</f>
        <v>21125</v>
      </c>
      <c r="M144" s="139">
        <f>SUM(M145:M146)</f>
        <v>0</v>
      </c>
      <c r="N144" s="138">
        <f ca="1">IF(L144&gt;0,M144*100/L144,0)</f>
        <v>0</v>
      </c>
    </row>
    <row r="145" spans="1:14" ht="21.75" customHeight="1" x14ac:dyDescent="0.4">
      <c r="A145" s="42"/>
      <c r="B145" s="43"/>
      <c r="C145" s="43" t="s">
        <v>17</v>
      </c>
      <c r="D145" s="44" t="s">
        <v>18</v>
      </c>
      <c r="E145" s="45"/>
      <c r="F145" s="45"/>
      <c r="G145" s="46" t="s">
        <v>19</v>
      </c>
      <c r="H145" s="47" t="s">
        <v>20</v>
      </c>
      <c r="I145" s="48" t="s">
        <v>21</v>
      </c>
      <c r="J145" s="48"/>
      <c r="K145" s="49"/>
      <c r="L145" s="50">
        <v>0</v>
      </c>
      <c r="M145" s="50">
        <v>0</v>
      </c>
      <c r="N145" s="50">
        <f t="shared" ref="N145:N148" si="37">+IF(L145&gt;0,M145*100/L145,0)</f>
        <v>0</v>
      </c>
    </row>
    <row r="146" spans="1:14" ht="21.75" customHeight="1" x14ac:dyDescent="0.4">
      <c r="A146" s="42"/>
      <c r="B146" s="43"/>
      <c r="C146" s="43"/>
      <c r="D146" s="51"/>
      <c r="E146" s="45"/>
      <c r="F146" s="45" t="s">
        <v>21</v>
      </c>
      <c r="G146" s="46" t="s">
        <v>22</v>
      </c>
      <c r="H146" s="47" t="s">
        <v>20</v>
      </c>
      <c r="I146" s="48"/>
      <c r="J146" s="48"/>
      <c r="K146" s="49"/>
      <c r="L146" s="50">
        <f t="shared" ref="L146:M146" ca="1" si="38">SUM(L147:L148)</f>
        <v>21125</v>
      </c>
      <c r="M146" s="50">
        <f t="shared" si="38"/>
        <v>0</v>
      </c>
      <c r="N146" s="50">
        <f t="shared" ca="1" si="37"/>
        <v>0</v>
      </c>
    </row>
    <row r="147" spans="1:14" ht="21.75" customHeight="1" x14ac:dyDescent="0.4">
      <c r="A147" s="42"/>
      <c r="B147" s="43"/>
      <c r="C147" s="43"/>
      <c r="D147" s="51"/>
      <c r="E147" s="45"/>
      <c r="F147" s="45"/>
      <c r="G147" s="52" t="s">
        <v>23</v>
      </c>
      <c r="H147" s="47" t="s">
        <v>20</v>
      </c>
      <c r="I147" s="48"/>
      <c r="J147" s="48"/>
      <c r="K147" s="49"/>
      <c r="L147" s="53">
        <v>0</v>
      </c>
      <c r="M147" s="53">
        <v>0</v>
      </c>
      <c r="N147" s="53">
        <f t="shared" si="37"/>
        <v>0</v>
      </c>
    </row>
    <row r="148" spans="1:14" ht="21.75" customHeight="1" x14ac:dyDescent="0.4">
      <c r="A148" s="42"/>
      <c r="B148" s="43"/>
      <c r="C148" s="43"/>
      <c r="D148" s="51"/>
      <c r="E148" s="45"/>
      <c r="F148" s="45"/>
      <c r="G148" s="52" t="s">
        <v>24</v>
      </c>
      <c r="H148" s="47" t="s">
        <v>20</v>
      </c>
      <c r="I148" s="48"/>
      <c r="J148" s="48"/>
      <c r="K148" s="49"/>
      <c r="L148" s="53">
        <f ca="1">IFERROR(__xludf.DUMMYFUNCTION("IMPORTRANGE(""https://docs.google.com/spreadsheets/d/1C3CXT74ZlgGe6_JY_1olB1XN4rF0dxEuIIF-xsYjHgg/edit?usp=sharing"",""พรบ!AY36"")"),21125)</f>
        <v>21125</v>
      </c>
      <c r="M148" s="361">
        <v>0</v>
      </c>
      <c r="N148" s="53">
        <f t="shared" ca="1" si="37"/>
        <v>0</v>
      </c>
    </row>
    <row r="149" spans="1:14" ht="21.75" customHeight="1" x14ac:dyDescent="0.4">
      <c r="A149" s="55"/>
      <c r="B149" s="155"/>
      <c r="C149" s="134" t="s">
        <v>79</v>
      </c>
      <c r="D149" s="133"/>
      <c r="E149" s="133"/>
      <c r="F149" s="133"/>
      <c r="G149" s="135"/>
      <c r="H149" s="136" t="s">
        <v>16</v>
      </c>
      <c r="I149" s="137">
        <f ca="1">I155</f>
        <v>15</v>
      </c>
      <c r="J149" s="137">
        <f>+J155</f>
        <v>0</v>
      </c>
      <c r="K149" s="138">
        <f ca="1">IF(I149&gt;0,J149*100/I149,0)</f>
        <v>0</v>
      </c>
      <c r="L149" s="140"/>
      <c r="M149" s="140"/>
      <c r="N149" s="140"/>
    </row>
    <row r="150" spans="1:14" ht="21.75" customHeight="1" x14ac:dyDescent="0.4">
      <c r="A150" s="55"/>
      <c r="B150" s="56"/>
      <c r="C150" s="43" t="s">
        <v>17</v>
      </c>
      <c r="D150" s="57" t="s">
        <v>25</v>
      </c>
      <c r="E150" s="58"/>
      <c r="F150" s="58"/>
      <c r="G150" s="59"/>
      <c r="H150" s="60"/>
      <c r="I150" s="48"/>
      <c r="J150" s="48"/>
      <c r="K150" s="49"/>
      <c r="L150" s="61"/>
      <c r="M150" s="61"/>
      <c r="N150" s="61"/>
    </row>
    <row r="151" spans="1:14" ht="21.75" customHeight="1" x14ac:dyDescent="0.4">
      <c r="A151" s="55"/>
      <c r="B151" s="56"/>
      <c r="C151" s="56"/>
      <c r="D151" s="62">
        <v>1</v>
      </c>
      <c r="E151" s="63" t="s">
        <v>26</v>
      </c>
      <c r="F151" s="64"/>
      <c r="G151" s="65"/>
      <c r="H151" s="66"/>
      <c r="I151" s="67"/>
      <c r="J151" s="68">
        <v>0</v>
      </c>
      <c r="K151" s="49"/>
      <c r="L151" s="61"/>
      <c r="M151" s="61"/>
      <c r="N151" s="61"/>
    </row>
    <row r="152" spans="1:14" ht="21.75" customHeight="1" x14ac:dyDescent="0.4">
      <c r="A152" s="55"/>
      <c r="B152" s="56"/>
      <c r="C152" s="56"/>
      <c r="D152" s="69">
        <v>2</v>
      </c>
      <c r="E152" s="70" t="s">
        <v>27</v>
      </c>
      <c r="F152" s="71"/>
      <c r="G152" s="72"/>
      <c r="H152" s="66"/>
      <c r="I152" s="67"/>
      <c r="J152" s="68">
        <v>1</v>
      </c>
      <c r="K152" s="49"/>
      <c r="L152" s="61" t="s">
        <v>21</v>
      </c>
      <c r="M152" s="61" t="s">
        <v>21</v>
      </c>
      <c r="N152" s="61"/>
    </row>
    <row r="153" spans="1:14" ht="21.75" customHeight="1" x14ac:dyDescent="0.4">
      <c r="A153" s="55"/>
      <c r="B153" s="56"/>
      <c r="C153" s="56"/>
      <c r="D153" s="73"/>
      <c r="E153" s="74" t="s">
        <v>28</v>
      </c>
      <c r="F153" s="75"/>
      <c r="G153" s="76"/>
      <c r="H153" s="66"/>
      <c r="I153" s="67"/>
      <c r="J153" s="68">
        <v>1</v>
      </c>
      <c r="K153" s="49"/>
      <c r="L153" s="61"/>
      <c r="M153" s="61"/>
      <c r="N153" s="61"/>
    </row>
    <row r="154" spans="1:14" ht="21.75" customHeight="1" x14ac:dyDescent="0.4">
      <c r="A154" s="55"/>
      <c r="B154" s="56"/>
      <c r="C154" s="56"/>
      <c r="D154" s="73"/>
      <c r="E154" s="74" t="s">
        <v>29</v>
      </c>
      <c r="F154" s="75"/>
      <c r="G154" s="76"/>
      <c r="H154" s="66"/>
      <c r="I154" s="67"/>
      <c r="J154" s="68">
        <v>1</v>
      </c>
      <c r="K154" s="49"/>
      <c r="L154" s="61"/>
      <c r="M154" s="61"/>
      <c r="N154" s="61"/>
    </row>
    <row r="155" spans="1:14" ht="21.75" customHeight="1" x14ac:dyDescent="0.4">
      <c r="A155" s="55"/>
      <c r="B155" s="56"/>
      <c r="C155" s="56"/>
      <c r="D155" s="73"/>
      <c r="E155" s="77"/>
      <c r="F155" s="75"/>
      <c r="G155" s="99" t="s">
        <v>50</v>
      </c>
      <c r="H155" s="66" t="s">
        <v>16</v>
      </c>
      <c r="I155" s="67">
        <f ca="1">IFERROR(__xludf.DUMMYFUNCTION("IMPORTRANGE(""https://docs.google.com/spreadsheets/d/1C3CXT74ZlgGe6_JY_1olB1XN4rF0dxEuIIF-xsYjHgg/edit?usp=sharing"",""พรบ!BA36"")"),15)</f>
        <v>15</v>
      </c>
      <c r="J155" s="68">
        <v>0</v>
      </c>
      <c r="K155" s="49">
        <f ca="1">IF(I155&gt;0,J155*100/I155,0)</f>
        <v>0</v>
      </c>
      <c r="L155" s="61"/>
      <c r="M155" s="61"/>
      <c r="N155" s="61"/>
    </row>
    <row r="156" spans="1:14" ht="21.75" customHeight="1" x14ac:dyDescent="0.4">
      <c r="A156" s="55"/>
      <c r="B156" s="56"/>
      <c r="C156" s="56"/>
      <c r="D156" s="73"/>
      <c r="E156" s="74" t="s">
        <v>35</v>
      </c>
      <c r="F156" s="75"/>
      <c r="G156" s="76"/>
      <c r="H156" s="66"/>
      <c r="I156" s="67"/>
      <c r="J156" s="68">
        <v>0</v>
      </c>
      <c r="K156" s="49"/>
      <c r="L156" s="61"/>
      <c r="M156" s="61"/>
      <c r="N156" s="61"/>
    </row>
    <row r="157" spans="1:14" ht="21.75" customHeight="1" x14ac:dyDescent="0.4">
      <c r="A157" s="55"/>
      <c r="B157" s="56"/>
      <c r="C157" s="56"/>
      <c r="D157" s="81">
        <v>3</v>
      </c>
      <c r="E157" s="82" t="s">
        <v>36</v>
      </c>
      <c r="F157" s="83"/>
      <c r="G157" s="84"/>
      <c r="H157" s="66"/>
      <c r="I157" s="67"/>
      <c r="J157" s="85">
        <v>0</v>
      </c>
      <c r="K157" s="49"/>
      <c r="L157" s="61"/>
      <c r="M157" s="61"/>
      <c r="N157" s="61"/>
    </row>
    <row r="158" spans="1:14" ht="21.75" customHeight="1" x14ac:dyDescent="0.4">
      <c r="A158" s="55"/>
      <c r="B158" s="56"/>
      <c r="C158" s="134" t="s">
        <v>81</v>
      </c>
      <c r="D158" s="156"/>
      <c r="E158" s="133"/>
      <c r="F158" s="133"/>
      <c r="G158" s="135"/>
      <c r="H158" s="136" t="s">
        <v>16</v>
      </c>
      <c r="I158" s="137">
        <f>I164</f>
        <v>0</v>
      </c>
      <c r="J158" s="137">
        <f>+J164</f>
        <v>0</v>
      </c>
      <c r="K158" s="138">
        <f>IF(I158&gt;0,J158*100/I158,0)</f>
        <v>0</v>
      </c>
      <c r="L158" s="61"/>
      <c r="M158" s="61"/>
      <c r="N158" s="61"/>
    </row>
    <row r="159" spans="1:14" ht="21.75" customHeight="1" x14ac:dyDescent="0.4">
      <c r="A159" s="55"/>
      <c r="B159" s="56"/>
      <c r="C159" s="43" t="s">
        <v>17</v>
      </c>
      <c r="D159" s="57" t="s">
        <v>25</v>
      </c>
      <c r="E159" s="58"/>
      <c r="F159" s="58"/>
      <c r="G159" s="59"/>
      <c r="H159" s="60"/>
      <c r="I159" s="48"/>
      <c r="J159" s="48"/>
      <c r="K159" s="49"/>
      <c r="L159" s="61"/>
      <c r="M159" s="61"/>
      <c r="N159" s="61"/>
    </row>
    <row r="160" spans="1:14" ht="21.75" customHeight="1" x14ac:dyDescent="0.4">
      <c r="A160" s="55"/>
      <c r="B160" s="56"/>
      <c r="C160" s="56"/>
      <c r="D160" s="62">
        <v>1</v>
      </c>
      <c r="E160" s="63" t="s">
        <v>26</v>
      </c>
      <c r="F160" s="64"/>
      <c r="G160" s="65"/>
      <c r="H160" s="66"/>
      <c r="I160" s="67"/>
      <c r="J160" s="67">
        <v>0</v>
      </c>
      <c r="K160" s="49"/>
      <c r="L160" s="61"/>
      <c r="M160" s="61"/>
      <c r="N160" s="61"/>
    </row>
    <row r="161" spans="1:14" ht="21.75" customHeight="1" x14ac:dyDescent="0.4">
      <c r="A161" s="55"/>
      <c r="B161" s="56"/>
      <c r="C161" s="56"/>
      <c r="D161" s="69">
        <v>2</v>
      </c>
      <c r="E161" s="70" t="s">
        <v>27</v>
      </c>
      <c r="F161" s="71"/>
      <c r="G161" s="72"/>
      <c r="H161" s="66"/>
      <c r="I161" s="67"/>
      <c r="J161" s="67">
        <v>0</v>
      </c>
      <c r="K161" s="49"/>
      <c r="L161" s="61" t="s">
        <v>21</v>
      </c>
      <c r="M161" s="61" t="s">
        <v>21</v>
      </c>
      <c r="N161" s="61"/>
    </row>
    <row r="162" spans="1:14" ht="21.75" customHeight="1" x14ac:dyDescent="0.4">
      <c r="A162" s="55"/>
      <c r="B162" s="56"/>
      <c r="C162" s="56"/>
      <c r="D162" s="73"/>
      <c r="E162" s="74" t="s">
        <v>28</v>
      </c>
      <c r="F162" s="75"/>
      <c r="G162" s="76"/>
      <c r="H162" s="66"/>
      <c r="I162" s="67"/>
      <c r="J162" s="67">
        <v>0</v>
      </c>
      <c r="K162" s="49"/>
      <c r="L162" s="61"/>
      <c r="M162" s="61"/>
      <c r="N162" s="61"/>
    </row>
    <row r="163" spans="1:14" ht="21.75" customHeight="1" x14ac:dyDescent="0.4">
      <c r="A163" s="55"/>
      <c r="B163" s="56"/>
      <c r="C163" s="56"/>
      <c r="D163" s="73"/>
      <c r="E163" s="74" t="s">
        <v>29</v>
      </c>
      <c r="F163" s="75"/>
      <c r="G163" s="76"/>
      <c r="H163" s="66"/>
      <c r="I163" s="67"/>
      <c r="J163" s="67">
        <v>0</v>
      </c>
      <c r="K163" s="49"/>
      <c r="L163" s="61"/>
      <c r="M163" s="61"/>
      <c r="N163" s="61"/>
    </row>
    <row r="164" spans="1:14" ht="21.75" customHeight="1" x14ac:dyDescent="0.4">
      <c r="A164" s="55"/>
      <c r="B164" s="56"/>
      <c r="C164" s="56"/>
      <c r="D164" s="73"/>
      <c r="E164" s="75"/>
      <c r="F164" s="74" t="s">
        <v>82</v>
      </c>
      <c r="G164" s="75"/>
      <c r="H164" s="66" t="s">
        <v>16</v>
      </c>
      <c r="I164" s="67">
        <v>0</v>
      </c>
      <c r="J164" s="67">
        <v>0</v>
      </c>
      <c r="K164" s="49">
        <f>IF(I164&gt;0,J164*100/I164,0)</f>
        <v>0</v>
      </c>
      <c r="L164" s="61"/>
      <c r="M164" s="61"/>
      <c r="N164" s="61"/>
    </row>
    <row r="165" spans="1:14" ht="21.75" customHeight="1" x14ac:dyDescent="0.4">
      <c r="A165" s="55"/>
      <c r="B165" s="56"/>
      <c r="C165" s="56"/>
      <c r="D165" s="73"/>
      <c r="E165" s="74" t="s">
        <v>35</v>
      </c>
      <c r="F165" s="75"/>
      <c r="G165" s="76"/>
      <c r="H165" s="66"/>
      <c r="I165" s="67"/>
      <c r="J165" s="67">
        <v>0</v>
      </c>
      <c r="K165" s="49"/>
      <c r="L165" s="61"/>
      <c r="M165" s="61"/>
      <c r="N165" s="61"/>
    </row>
    <row r="166" spans="1:14" ht="21.75" customHeight="1" x14ac:dyDescent="0.4">
      <c r="A166" s="105"/>
      <c r="B166" s="106"/>
      <c r="C166" s="106"/>
      <c r="D166" s="107">
        <v>3</v>
      </c>
      <c r="E166" s="108" t="s">
        <v>36</v>
      </c>
      <c r="F166" s="109"/>
      <c r="G166" s="110"/>
      <c r="H166" s="111"/>
      <c r="I166" s="112"/>
      <c r="J166" s="356">
        <v>0</v>
      </c>
      <c r="K166" s="114"/>
      <c r="L166" s="115"/>
      <c r="M166" s="115"/>
      <c r="N166" s="115"/>
    </row>
    <row r="167" spans="1:14" ht="21.75" customHeight="1" x14ac:dyDescent="0.4">
      <c r="A167" s="157" t="s">
        <v>83</v>
      </c>
      <c r="B167" s="158"/>
      <c r="C167" s="158"/>
      <c r="D167" s="158"/>
      <c r="E167" s="159"/>
      <c r="F167" s="159"/>
      <c r="G167" s="160"/>
      <c r="H167" s="161"/>
      <c r="I167" s="162"/>
      <c r="J167" s="162"/>
      <c r="K167" s="163"/>
      <c r="L167" s="164"/>
      <c r="M167" s="164"/>
      <c r="N167" s="165"/>
    </row>
    <row r="168" spans="1:14" ht="21.75" customHeight="1" x14ac:dyDescent="0.4">
      <c r="A168" s="166" t="s">
        <v>84</v>
      </c>
      <c r="B168" s="167"/>
      <c r="C168" s="167"/>
      <c r="D168" s="168"/>
      <c r="E168" s="168"/>
      <c r="F168" s="168"/>
      <c r="G168" s="169"/>
      <c r="H168" s="170"/>
      <c r="I168" s="171"/>
      <c r="J168" s="171"/>
      <c r="K168" s="172"/>
      <c r="L168" s="172"/>
      <c r="M168" s="172"/>
      <c r="N168" s="173"/>
    </row>
    <row r="169" spans="1:14" ht="21.75" customHeight="1" x14ac:dyDescent="0.4">
      <c r="A169" s="174"/>
      <c r="B169" s="175" t="s">
        <v>85</v>
      </c>
      <c r="C169" s="175"/>
      <c r="D169" s="175"/>
      <c r="E169" s="175"/>
      <c r="F169" s="175"/>
      <c r="G169" s="176"/>
      <c r="H169" s="177" t="s">
        <v>16</v>
      </c>
      <c r="I169" s="178">
        <f ca="1">I180</f>
        <v>20</v>
      </c>
      <c r="J169" s="178">
        <f>+J180</f>
        <v>0</v>
      </c>
      <c r="K169" s="179">
        <f ca="1">IF(I169&gt;0,J169*100/I169,0)</f>
        <v>0</v>
      </c>
      <c r="L169" s="180">
        <f ca="1">L170+L171</f>
        <v>203400</v>
      </c>
      <c r="M169" s="180">
        <f>SUM(M170:M171)</f>
        <v>0</v>
      </c>
      <c r="N169" s="179">
        <f ca="1">IF(L169&gt;0,M169*100/L169,0)</f>
        <v>0</v>
      </c>
    </row>
    <row r="170" spans="1:14" ht="21.75" customHeight="1" x14ac:dyDescent="0.4">
      <c r="A170" s="42"/>
      <c r="B170" s="43"/>
      <c r="C170" s="43" t="s">
        <v>17</v>
      </c>
      <c r="D170" s="44" t="s">
        <v>18</v>
      </c>
      <c r="E170" s="45"/>
      <c r="F170" s="45"/>
      <c r="G170" s="46" t="s">
        <v>19</v>
      </c>
      <c r="H170" s="47" t="s">
        <v>20</v>
      </c>
      <c r="I170" s="48" t="s">
        <v>21</v>
      </c>
      <c r="J170" s="48"/>
      <c r="K170" s="49"/>
      <c r="L170" s="50">
        <v>0</v>
      </c>
      <c r="M170" s="50">
        <v>0</v>
      </c>
      <c r="N170" s="50">
        <f t="shared" ref="N170:N173" si="39">+IF(L170&gt;0,M170*100/L170,0)</f>
        <v>0</v>
      </c>
    </row>
    <row r="171" spans="1:14" ht="21.75" customHeight="1" x14ac:dyDescent="0.4">
      <c r="A171" s="42"/>
      <c r="B171" s="43"/>
      <c r="C171" s="43"/>
      <c r="D171" s="51"/>
      <c r="E171" s="45"/>
      <c r="F171" s="45" t="s">
        <v>21</v>
      </c>
      <c r="G171" s="46" t="s">
        <v>22</v>
      </c>
      <c r="H171" s="47" t="s">
        <v>20</v>
      </c>
      <c r="I171" s="48"/>
      <c r="J171" s="48"/>
      <c r="K171" s="49"/>
      <c r="L171" s="50">
        <f t="shared" ref="L171:M171" ca="1" si="40">SUM(L172:L173)</f>
        <v>203400</v>
      </c>
      <c r="M171" s="50">
        <f t="shared" si="40"/>
        <v>0</v>
      </c>
      <c r="N171" s="50">
        <f t="shared" ca="1" si="39"/>
        <v>0</v>
      </c>
    </row>
    <row r="172" spans="1:14" ht="21.75" customHeight="1" x14ac:dyDescent="0.4">
      <c r="A172" s="42"/>
      <c r="B172" s="43"/>
      <c r="C172" s="43"/>
      <c r="D172" s="51"/>
      <c r="E172" s="45"/>
      <c r="F172" s="45"/>
      <c r="G172" s="52" t="s">
        <v>23</v>
      </c>
      <c r="H172" s="47" t="s">
        <v>20</v>
      </c>
      <c r="I172" s="48"/>
      <c r="J172" s="48"/>
      <c r="K172" s="49"/>
      <c r="L172" s="53">
        <f ca="1">IFERROR(__xludf.DUMMYFUNCTION("IMPORTRANGE(""https://docs.google.com/spreadsheets/d/1C3CXT74ZlgGe6_JY_1olB1XN4rF0dxEuIIF-xsYjHgg/edit?usp=sharing"",""พรบ!BD36"")"),132000)</f>
        <v>132000</v>
      </c>
      <c r="M172" s="54">
        <v>0</v>
      </c>
      <c r="N172" s="53">
        <f t="shared" ca="1" si="39"/>
        <v>0</v>
      </c>
    </row>
    <row r="173" spans="1:14" ht="21.75" customHeight="1" x14ac:dyDescent="0.4">
      <c r="A173" s="42"/>
      <c r="B173" s="43"/>
      <c r="C173" s="43"/>
      <c r="D173" s="51"/>
      <c r="E173" s="45"/>
      <c r="F173" s="45"/>
      <c r="G173" s="52" t="s">
        <v>24</v>
      </c>
      <c r="H173" s="47" t="s">
        <v>20</v>
      </c>
      <c r="I173" s="48"/>
      <c r="J173" s="48"/>
      <c r="K173" s="49"/>
      <c r="L173" s="53">
        <f ca="1">IFERROR(__xludf.DUMMYFUNCTION("IMPORTRANGE(""https://docs.google.com/spreadsheets/d/1C3CXT74ZlgGe6_JY_1olB1XN4rF0dxEuIIF-xsYjHgg/edit?usp=sharing"",""พรบ!BE36"")"),71400)</f>
        <v>71400</v>
      </c>
      <c r="M173" s="54">
        <v>0</v>
      </c>
      <c r="N173" s="53">
        <f t="shared" ca="1" si="39"/>
        <v>0</v>
      </c>
    </row>
    <row r="174" spans="1:14" ht="21.75" customHeight="1" x14ac:dyDescent="0.4">
      <c r="A174" s="55"/>
      <c r="B174" s="56"/>
      <c r="C174" s="43" t="s">
        <v>17</v>
      </c>
      <c r="D174" s="57" t="s">
        <v>25</v>
      </c>
      <c r="E174" s="58"/>
      <c r="F174" s="58"/>
      <c r="G174" s="59"/>
      <c r="H174" s="60"/>
      <c r="I174" s="48"/>
      <c r="J174" s="48"/>
      <c r="K174" s="49"/>
      <c r="L174" s="61"/>
      <c r="M174" s="61"/>
      <c r="N174" s="61"/>
    </row>
    <row r="175" spans="1:14" ht="21.75" customHeight="1" x14ac:dyDescent="0.4">
      <c r="A175" s="55"/>
      <c r="B175" s="56"/>
      <c r="C175" s="56"/>
      <c r="D175" s="62">
        <v>1</v>
      </c>
      <c r="E175" s="63" t="s">
        <v>26</v>
      </c>
      <c r="F175" s="64"/>
      <c r="G175" s="65"/>
      <c r="H175" s="66"/>
      <c r="I175" s="67"/>
      <c r="J175" s="68">
        <v>0</v>
      </c>
      <c r="K175" s="49"/>
      <c r="L175" s="61"/>
      <c r="M175" s="61"/>
      <c r="N175" s="61"/>
    </row>
    <row r="176" spans="1:14" ht="21.75" customHeight="1" x14ac:dyDescent="0.4">
      <c r="A176" s="55"/>
      <c r="B176" s="56"/>
      <c r="C176" s="56"/>
      <c r="D176" s="69">
        <v>2</v>
      </c>
      <c r="E176" s="70" t="s">
        <v>27</v>
      </c>
      <c r="F176" s="71"/>
      <c r="G176" s="72"/>
      <c r="H176" s="66"/>
      <c r="I176" s="67"/>
      <c r="J176" s="68">
        <v>1</v>
      </c>
      <c r="K176" s="49"/>
      <c r="L176" s="61" t="s">
        <v>21</v>
      </c>
      <c r="M176" s="61" t="s">
        <v>21</v>
      </c>
      <c r="N176" s="61"/>
    </row>
    <row r="177" spans="1:14" ht="21.75" customHeight="1" x14ac:dyDescent="0.4">
      <c r="A177" s="55"/>
      <c r="B177" s="56"/>
      <c r="C177" s="56"/>
      <c r="D177" s="73"/>
      <c r="E177" s="74" t="s">
        <v>28</v>
      </c>
      <c r="F177" s="75"/>
      <c r="G177" s="76"/>
      <c r="H177" s="66"/>
      <c r="I177" s="67"/>
      <c r="J177" s="68">
        <v>0</v>
      </c>
      <c r="K177" s="49"/>
      <c r="L177" s="61"/>
      <c r="M177" s="61"/>
      <c r="N177" s="61"/>
    </row>
    <row r="178" spans="1:14" ht="21.75" customHeight="1" x14ac:dyDescent="0.4">
      <c r="A178" s="55"/>
      <c r="B178" s="56"/>
      <c r="C178" s="56"/>
      <c r="D178" s="73"/>
      <c r="E178" s="74" t="s">
        <v>29</v>
      </c>
      <c r="F178" s="75"/>
      <c r="G178" s="76"/>
      <c r="H178" s="66"/>
      <c r="I178" s="67"/>
      <c r="J178" s="68">
        <v>0</v>
      </c>
      <c r="K178" s="49"/>
      <c r="L178" s="61"/>
      <c r="M178" s="61"/>
      <c r="N178" s="61"/>
    </row>
    <row r="179" spans="1:14" ht="21.75" customHeight="1" x14ac:dyDescent="0.4">
      <c r="A179" s="55"/>
      <c r="B179" s="56"/>
      <c r="C179" s="56"/>
      <c r="D179" s="73"/>
      <c r="E179" s="77"/>
      <c r="F179" s="74" t="s">
        <v>86</v>
      </c>
      <c r="G179" s="76"/>
      <c r="H179" s="60" t="s">
        <v>40</v>
      </c>
      <c r="I179" s="67">
        <f ca="1">IFERROR(__xludf.DUMMYFUNCTION("IMPORTRANGE(""https://docs.google.com/spreadsheets/d/1C3CXT74ZlgGe6_JY_1olB1XN4rF0dxEuIIF-xsYjHgg/edit?usp=sharing"",""พรบ!BF36"")"),1)</f>
        <v>1</v>
      </c>
      <c r="J179" s="68">
        <v>0</v>
      </c>
      <c r="K179" s="49">
        <f t="shared" ref="K179:K182" ca="1" si="41">IF(I179&gt;0,J179*100/I179,0)</f>
        <v>0</v>
      </c>
      <c r="L179" s="61"/>
      <c r="M179" s="61"/>
      <c r="N179" s="61"/>
    </row>
    <row r="180" spans="1:14" ht="21.75" customHeight="1" x14ac:dyDescent="0.4">
      <c r="A180" s="55"/>
      <c r="B180" s="56"/>
      <c r="C180" s="56"/>
      <c r="D180" s="73"/>
      <c r="E180" s="77"/>
      <c r="F180" s="74" t="s">
        <v>87</v>
      </c>
      <c r="G180" s="76"/>
      <c r="H180" s="60" t="s">
        <v>16</v>
      </c>
      <c r="I180" s="67">
        <f ca="1">IFERROR(__xludf.DUMMYFUNCTION("IMPORTRANGE(""https://docs.google.com/spreadsheets/d/1C3CXT74ZlgGe6_JY_1olB1XN4rF0dxEuIIF-xsYjHgg/edit?usp=sharing"",""พรบ!BG36"")"),20)</f>
        <v>20</v>
      </c>
      <c r="J180" s="68">
        <v>0</v>
      </c>
      <c r="K180" s="49">
        <f t="shared" ca="1" si="41"/>
        <v>0</v>
      </c>
      <c r="L180" s="61"/>
      <c r="M180" s="61"/>
      <c r="N180" s="61"/>
    </row>
    <row r="181" spans="1:14" ht="21.75" customHeight="1" x14ac:dyDescent="0.4">
      <c r="A181" s="55"/>
      <c r="B181" s="56"/>
      <c r="C181" s="56"/>
      <c r="D181" s="73"/>
      <c r="E181" s="77"/>
      <c r="F181" s="74" t="s">
        <v>88</v>
      </c>
      <c r="G181" s="76"/>
      <c r="H181" s="60" t="s">
        <v>16</v>
      </c>
      <c r="I181" s="67">
        <f ca="1">IFERROR(__xludf.DUMMYFUNCTION("IMPORTRANGE(""https://docs.google.com/spreadsheets/d/1C3CXT74ZlgGe6_JY_1olB1XN4rF0dxEuIIF-xsYjHgg/edit?usp=sharing"",""พรบ!BH36"")"),20)</f>
        <v>20</v>
      </c>
      <c r="J181" s="68">
        <v>0</v>
      </c>
      <c r="K181" s="49">
        <f t="shared" ca="1" si="41"/>
        <v>0</v>
      </c>
      <c r="L181" s="61"/>
      <c r="M181" s="61"/>
      <c r="N181" s="61"/>
    </row>
    <row r="182" spans="1:14" ht="21.75" customHeight="1" x14ac:dyDescent="0.4">
      <c r="A182" s="55"/>
      <c r="B182" s="56"/>
      <c r="C182" s="56"/>
      <c r="D182" s="73"/>
      <c r="E182" s="77"/>
      <c r="F182" s="74" t="s">
        <v>89</v>
      </c>
      <c r="G182" s="76"/>
      <c r="H182" s="60" t="s">
        <v>16</v>
      </c>
      <c r="I182" s="67">
        <f ca="1">IFERROR(__xludf.DUMMYFUNCTION("IMPORTRANGE(""https://docs.google.com/spreadsheets/d/1C3CXT74ZlgGe6_JY_1olB1XN4rF0dxEuIIF-xsYjHgg/edit?usp=sharing"",""พรบ!BI36"")"),1)</f>
        <v>1</v>
      </c>
      <c r="J182" s="68">
        <v>0</v>
      </c>
      <c r="K182" s="49">
        <f t="shared" ca="1" si="41"/>
        <v>0</v>
      </c>
      <c r="L182" s="61"/>
      <c r="M182" s="61"/>
      <c r="N182" s="61"/>
    </row>
    <row r="183" spans="1:14" ht="21.75" customHeight="1" x14ac:dyDescent="0.4">
      <c r="A183" s="55"/>
      <c r="B183" s="56"/>
      <c r="C183" s="56"/>
      <c r="D183" s="73"/>
      <c r="E183" s="74" t="s">
        <v>35</v>
      </c>
      <c r="F183" s="75"/>
      <c r="G183" s="76"/>
      <c r="H183" s="66"/>
      <c r="I183" s="67"/>
      <c r="J183" s="68">
        <v>0</v>
      </c>
      <c r="K183" s="49"/>
      <c r="L183" s="61"/>
      <c r="M183" s="61"/>
      <c r="N183" s="61"/>
    </row>
    <row r="184" spans="1:14" ht="21.75" customHeight="1" x14ac:dyDescent="0.4">
      <c r="A184" s="105"/>
      <c r="B184" s="106"/>
      <c r="C184" s="106"/>
      <c r="D184" s="107">
        <v>3</v>
      </c>
      <c r="E184" s="108" t="s">
        <v>36</v>
      </c>
      <c r="F184" s="109"/>
      <c r="G184" s="110"/>
      <c r="H184" s="111"/>
      <c r="I184" s="112"/>
      <c r="J184" s="113">
        <v>0</v>
      </c>
      <c r="K184" s="114"/>
      <c r="L184" s="115"/>
      <c r="M184" s="115"/>
      <c r="N184" s="115"/>
    </row>
    <row r="185" spans="1:14" ht="21.75" customHeight="1" x14ac:dyDescent="0.4">
      <c r="A185" s="174"/>
      <c r="B185" s="175" t="s">
        <v>90</v>
      </c>
      <c r="C185" s="175"/>
      <c r="D185" s="175"/>
      <c r="E185" s="175"/>
      <c r="F185" s="175"/>
      <c r="G185" s="176"/>
      <c r="H185" s="177" t="s">
        <v>16</v>
      </c>
      <c r="I185" s="178">
        <f ca="1">I195</f>
        <v>20</v>
      </c>
      <c r="J185" s="178">
        <f>+J195</f>
        <v>0</v>
      </c>
      <c r="K185" s="179">
        <f ca="1">IF(I185&gt;0,J185*100/I185,0)</f>
        <v>0</v>
      </c>
      <c r="L185" s="180">
        <f ca="1">L186+L187</f>
        <v>183600</v>
      </c>
      <c r="M185" s="180">
        <f>SUM(M186:M187)</f>
        <v>0</v>
      </c>
      <c r="N185" s="179">
        <f ca="1">IF(L185&gt;0,M185*100/L185,0)</f>
        <v>0</v>
      </c>
    </row>
    <row r="186" spans="1:14" ht="21.75" customHeight="1" x14ac:dyDescent="0.4">
      <c r="A186" s="42"/>
      <c r="B186" s="43"/>
      <c r="C186" s="43" t="s">
        <v>17</v>
      </c>
      <c r="D186" s="44" t="s">
        <v>18</v>
      </c>
      <c r="E186" s="45"/>
      <c r="F186" s="45"/>
      <c r="G186" s="46" t="s">
        <v>19</v>
      </c>
      <c r="H186" s="47" t="s">
        <v>20</v>
      </c>
      <c r="I186" s="48" t="s">
        <v>21</v>
      </c>
      <c r="J186" s="48"/>
      <c r="K186" s="49"/>
      <c r="L186" s="50">
        <v>0</v>
      </c>
      <c r="M186" s="50">
        <v>0</v>
      </c>
      <c r="N186" s="50">
        <f t="shared" ref="N186:N189" si="42">+IF(L186&gt;0,M186*100/L186,0)</f>
        <v>0</v>
      </c>
    </row>
    <row r="187" spans="1:14" ht="21.75" customHeight="1" x14ac:dyDescent="0.4">
      <c r="A187" s="42"/>
      <c r="B187" s="43"/>
      <c r="C187" s="43"/>
      <c r="D187" s="51"/>
      <c r="E187" s="45"/>
      <c r="F187" s="45" t="s">
        <v>21</v>
      </c>
      <c r="G187" s="46" t="s">
        <v>22</v>
      </c>
      <c r="H187" s="47" t="s">
        <v>20</v>
      </c>
      <c r="I187" s="48"/>
      <c r="J187" s="48"/>
      <c r="K187" s="49"/>
      <c r="L187" s="50">
        <f t="shared" ref="L187:M187" ca="1" si="43">SUM(L188:L189)</f>
        <v>183600</v>
      </c>
      <c r="M187" s="50">
        <f t="shared" si="43"/>
        <v>0</v>
      </c>
      <c r="N187" s="50">
        <f t="shared" ca="1" si="42"/>
        <v>0</v>
      </c>
    </row>
    <row r="188" spans="1:14" ht="21.75" customHeight="1" x14ac:dyDescent="0.4">
      <c r="A188" s="42"/>
      <c r="B188" s="43"/>
      <c r="C188" s="43"/>
      <c r="D188" s="51"/>
      <c r="E188" s="45"/>
      <c r="F188" s="45"/>
      <c r="G188" s="52" t="s">
        <v>23</v>
      </c>
      <c r="H188" s="47" t="s">
        <v>20</v>
      </c>
      <c r="I188" s="48"/>
      <c r="J188" s="48"/>
      <c r="K188" s="49"/>
      <c r="L188" s="53">
        <f ca="1">IFERROR(__xludf.DUMMYFUNCTION("IMPORTRANGE(""https://docs.google.com/spreadsheets/d/1C3CXT74ZlgGe6_JY_1olB1XN4rF0dxEuIIF-xsYjHgg/edit?usp=sharing"",""พรบ!BK36"")"),0)</f>
        <v>0</v>
      </c>
      <c r="M188" s="54">
        <v>0</v>
      </c>
      <c r="N188" s="53">
        <f t="shared" ca="1" si="42"/>
        <v>0</v>
      </c>
    </row>
    <row r="189" spans="1:14" ht="21.75" customHeight="1" x14ac:dyDescent="0.4">
      <c r="A189" s="42"/>
      <c r="B189" s="43"/>
      <c r="C189" s="43"/>
      <c r="D189" s="51"/>
      <c r="E189" s="45"/>
      <c r="F189" s="45"/>
      <c r="G189" s="52" t="s">
        <v>24</v>
      </c>
      <c r="H189" s="47" t="s">
        <v>20</v>
      </c>
      <c r="I189" s="48"/>
      <c r="J189" s="48"/>
      <c r="K189" s="49"/>
      <c r="L189" s="53">
        <f ca="1">IFERROR(__xludf.DUMMYFUNCTION("IMPORTRANGE(""https://docs.google.com/spreadsheets/d/1C3CXT74ZlgGe6_JY_1olB1XN4rF0dxEuIIF-xsYjHgg/edit?usp=sharing"",""พรบ!BL36"")"),183600)</f>
        <v>183600</v>
      </c>
      <c r="M189" s="54">
        <v>0</v>
      </c>
      <c r="N189" s="53">
        <f t="shared" ca="1" si="42"/>
        <v>0</v>
      </c>
    </row>
    <row r="190" spans="1:14" ht="21.75" customHeight="1" x14ac:dyDescent="0.4">
      <c r="A190" s="55"/>
      <c r="B190" s="56"/>
      <c r="C190" s="43" t="s">
        <v>17</v>
      </c>
      <c r="D190" s="57" t="s">
        <v>25</v>
      </c>
      <c r="E190" s="58"/>
      <c r="F190" s="58"/>
      <c r="G190" s="59"/>
      <c r="H190" s="60"/>
      <c r="I190" s="48"/>
      <c r="J190" s="48"/>
      <c r="K190" s="49"/>
      <c r="L190" s="61"/>
      <c r="M190" s="61"/>
      <c r="N190" s="61"/>
    </row>
    <row r="191" spans="1:14" ht="21.75" customHeight="1" x14ac:dyDescent="0.4">
      <c r="A191" s="55"/>
      <c r="B191" s="56"/>
      <c r="C191" s="56"/>
      <c r="D191" s="62">
        <v>1</v>
      </c>
      <c r="E191" s="63" t="s">
        <v>26</v>
      </c>
      <c r="F191" s="64"/>
      <c r="G191" s="65"/>
      <c r="H191" s="66"/>
      <c r="I191" s="67"/>
      <c r="J191" s="68">
        <v>0</v>
      </c>
      <c r="K191" s="49"/>
      <c r="L191" s="61"/>
      <c r="M191" s="61"/>
      <c r="N191" s="61"/>
    </row>
    <row r="192" spans="1:14" ht="21.75" customHeight="1" x14ac:dyDescent="0.4">
      <c r="A192" s="55"/>
      <c r="B192" s="56"/>
      <c r="C192" s="56"/>
      <c r="D192" s="69">
        <v>2</v>
      </c>
      <c r="E192" s="70" t="s">
        <v>27</v>
      </c>
      <c r="F192" s="71"/>
      <c r="G192" s="72"/>
      <c r="H192" s="66"/>
      <c r="I192" s="67"/>
      <c r="J192" s="68">
        <v>1</v>
      </c>
      <c r="K192" s="49"/>
      <c r="L192" s="61"/>
      <c r="M192" s="61"/>
      <c r="N192" s="61"/>
    </row>
    <row r="193" spans="1:14" ht="21.75" customHeight="1" x14ac:dyDescent="0.4">
      <c r="A193" s="55"/>
      <c r="B193" s="56"/>
      <c r="C193" s="56"/>
      <c r="D193" s="73"/>
      <c r="E193" s="74" t="s">
        <v>28</v>
      </c>
      <c r="F193" s="75"/>
      <c r="G193" s="76"/>
      <c r="H193" s="66"/>
      <c r="I193" s="67"/>
      <c r="J193" s="68">
        <v>0</v>
      </c>
      <c r="K193" s="49"/>
      <c r="L193" s="61"/>
      <c r="M193" s="61"/>
      <c r="N193" s="61"/>
    </row>
    <row r="194" spans="1:14" ht="21.75" customHeight="1" x14ac:dyDescent="0.4">
      <c r="A194" s="55"/>
      <c r="B194" s="56"/>
      <c r="C194" s="56"/>
      <c r="D194" s="73"/>
      <c r="E194" s="74" t="s">
        <v>29</v>
      </c>
      <c r="F194" s="75"/>
      <c r="G194" s="76"/>
      <c r="H194" s="66"/>
      <c r="I194" s="67"/>
      <c r="J194" s="68">
        <v>0</v>
      </c>
      <c r="K194" s="49"/>
      <c r="L194" s="61"/>
      <c r="M194" s="61"/>
      <c r="N194" s="61"/>
    </row>
    <row r="195" spans="1:14" ht="21.75" customHeight="1" x14ac:dyDescent="0.4">
      <c r="A195" s="55"/>
      <c r="B195" s="56"/>
      <c r="C195" s="56"/>
      <c r="D195" s="73"/>
      <c r="E195" s="75"/>
      <c r="F195" s="74" t="s">
        <v>91</v>
      </c>
      <c r="G195" s="76"/>
      <c r="H195" s="66" t="s">
        <v>16</v>
      </c>
      <c r="I195" s="67">
        <f ca="1">IFERROR(__xludf.DUMMYFUNCTION("IMPORTRANGE(""https://docs.google.com/spreadsheets/d/1C3CXT74ZlgGe6_JY_1olB1XN4rF0dxEuIIF-xsYjHgg/edit?usp=sharing"",""พรบ!BM36"")"),20)</f>
        <v>20</v>
      </c>
      <c r="J195" s="68">
        <v>0</v>
      </c>
      <c r="K195" s="49">
        <f ca="1">IF(I195&gt;0,J195*100/I195,0)</f>
        <v>0</v>
      </c>
      <c r="L195" s="61"/>
      <c r="M195" s="61"/>
      <c r="N195" s="61"/>
    </row>
    <row r="196" spans="1:14" ht="21.75" customHeight="1" x14ac:dyDescent="0.4">
      <c r="A196" s="55"/>
      <c r="B196" s="56"/>
      <c r="C196" s="56"/>
      <c r="D196" s="73"/>
      <c r="E196" s="74" t="s">
        <v>35</v>
      </c>
      <c r="F196" s="75"/>
      <c r="G196" s="76"/>
      <c r="H196" s="66"/>
      <c r="I196" s="67"/>
      <c r="J196" s="68">
        <v>0</v>
      </c>
      <c r="K196" s="49"/>
      <c r="L196" s="61"/>
      <c r="M196" s="61"/>
      <c r="N196" s="61"/>
    </row>
    <row r="197" spans="1:14" ht="21.75" customHeight="1" x14ac:dyDescent="0.4">
      <c r="A197" s="55"/>
      <c r="B197" s="56"/>
      <c r="C197" s="56"/>
      <c r="D197" s="81">
        <v>3</v>
      </c>
      <c r="E197" s="82" t="s">
        <v>36</v>
      </c>
      <c r="F197" s="83"/>
      <c r="G197" s="84"/>
      <c r="H197" s="66"/>
      <c r="I197" s="67"/>
      <c r="J197" s="85">
        <v>0</v>
      </c>
      <c r="K197" s="49"/>
      <c r="L197" s="61"/>
      <c r="M197" s="61"/>
      <c r="N197" s="61"/>
    </row>
    <row r="198" spans="1:14" ht="21.75" customHeight="1" x14ac:dyDescent="0.4">
      <c r="A198" s="166" t="s">
        <v>92</v>
      </c>
      <c r="B198" s="167"/>
      <c r="C198" s="167"/>
      <c r="D198" s="168"/>
      <c r="E198" s="167"/>
      <c r="F198" s="167"/>
      <c r="G198" s="181"/>
      <c r="H198" s="182"/>
      <c r="I198" s="183"/>
      <c r="J198" s="183"/>
      <c r="K198" s="184"/>
      <c r="L198" s="184"/>
      <c r="M198" s="184"/>
      <c r="N198" s="173"/>
    </row>
    <row r="199" spans="1:14" ht="21.75" customHeight="1" x14ac:dyDescent="0.4">
      <c r="A199" s="185"/>
      <c r="B199" s="175" t="s">
        <v>93</v>
      </c>
      <c r="C199" s="186"/>
      <c r="D199" s="187"/>
      <c r="E199" s="175"/>
      <c r="F199" s="175"/>
      <c r="G199" s="176"/>
      <c r="H199" s="177" t="s">
        <v>16</v>
      </c>
      <c r="I199" s="178">
        <f t="shared" ref="I199:J199" ca="1" si="44">I209</f>
        <v>40</v>
      </c>
      <c r="J199" s="178">
        <f t="shared" si="44"/>
        <v>0</v>
      </c>
      <c r="K199" s="179">
        <f ca="1">IF(I199&gt;0,J199*100/I199,0)</f>
        <v>0</v>
      </c>
      <c r="L199" s="180">
        <f ca="1">L200+L201</f>
        <v>120760</v>
      </c>
      <c r="M199" s="180">
        <f>SUM(M200:M201)</f>
        <v>0</v>
      </c>
      <c r="N199" s="179">
        <f ca="1">IF(L199&gt;0,M199*100/L199,0)</f>
        <v>0</v>
      </c>
    </row>
    <row r="200" spans="1:14" ht="21.75" customHeight="1" x14ac:dyDescent="0.4">
      <c r="A200" s="42"/>
      <c r="B200" s="43"/>
      <c r="C200" s="43" t="s">
        <v>17</v>
      </c>
      <c r="D200" s="44" t="s">
        <v>18</v>
      </c>
      <c r="E200" s="45"/>
      <c r="F200" s="45"/>
      <c r="G200" s="46" t="s">
        <v>19</v>
      </c>
      <c r="H200" s="47" t="s">
        <v>20</v>
      </c>
      <c r="I200" s="48" t="s">
        <v>21</v>
      </c>
      <c r="J200" s="48"/>
      <c r="K200" s="49"/>
      <c r="L200" s="50">
        <v>0</v>
      </c>
      <c r="M200" s="50">
        <v>0</v>
      </c>
      <c r="N200" s="50">
        <f t="shared" ref="N200:N203" si="45">+IF(L200&gt;0,M200*100/L200,0)</f>
        <v>0</v>
      </c>
    </row>
    <row r="201" spans="1:14" ht="21.75" customHeight="1" x14ac:dyDescent="0.4">
      <c r="A201" s="42"/>
      <c r="B201" s="43"/>
      <c r="C201" s="43"/>
      <c r="D201" s="51"/>
      <c r="E201" s="45"/>
      <c r="F201" s="45" t="s">
        <v>21</v>
      </c>
      <c r="G201" s="46" t="s">
        <v>22</v>
      </c>
      <c r="H201" s="47" t="s">
        <v>20</v>
      </c>
      <c r="I201" s="48"/>
      <c r="J201" s="48"/>
      <c r="K201" s="49"/>
      <c r="L201" s="50">
        <f t="shared" ref="L201:M201" ca="1" si="46">SUM(L202:L203)</f>
        <v>120760</v>
      </c>
      <c r="M201" s="50">
        <f t="shared" si="46"/>
        <v>0</v>
      </c>
      <c r="N201" s="50">
        <f t="shared" ca="1" si="45"/>
        <v>0</v>
      </c>
    </row>
    <row r="202" spans="1:14" ht="21.75" customHeight="1" x14ac:dyDescent="0.4">
      <c r="A202" s="42"/>
      <c r="B202" s="43"/>
      <c r="C202" s="43"/>
      <c r="D202" s="51"/>
      <c r="E202" s="45"/>
      <c r="F202" s="45"/>
      <c r="G202" s="52" t="s">
        <v>23</v>
      </c>
      <c r="H202" s="47" t="s">
        <v>20</v>
      </c>
      <c r="I202" s="48"/>
      <c r="J202" s="48"/>
      <c r="K202" s="49"/>
      <c r="L202" s="53">
        <v>0</v>
      </c>
      <c r="M202" s="53">
        <v>0</v>
      </c>
      <c r="N202" s="53">
        <f t="shared" si="45"/>
        <v>0</v>
      </c>
    </row>
    <row r="203" spans="1:14" ht="21.75" customHeight="1" x14ac:dyDescent="0.4">
      <c r="A203" s="42"/>
      <c r="B203" s="43"/>
      <c r="C203" s="43"/>
      <c r="D203" s="51"/>
      <c r="E203" s="45"/>
      <c r="F203" s="45"/>
      <c r="G203" s="52" t="s">
        <v>24</v>
      </c>
      <c r="H203" s="47" t="s">
        <v>20</v>
      </c>
      <c r="I203" s="48"/>
      <c r="J203" s="48"/>
      <c r="K203" s="49"/>
      <c r="L203" s="53">
        <f ca="1">IFERROR(__xludf.DUMMYFUNCTION("IMPORTRANGE(""https://docs.google.com/spreadsheets/d/1C3CXT74ZlgGe6_JY_1olB1XN4rF0dxEuIIF-xsYjHgg/edit?usp=sharing"",""พรบ!BP36"")"),120760)</f>
        <v>120760</v>
      </c>
      <c r="M203" s="54">
        <v>0</v>
      </c>
      <c r="N203" s="53">
        <f t="shared" ca="1" si="45"/>
        <v>0</v>
      </c>
    </row>
    <row r="204" spans="1:14" ht="21.75" customHeight="1" x14ac:dyDescent="0.4">
      <c r="A204" s="55"/>
      <c r="B204" s="56"/>
      <c r="C204" s="43" t="s">
        <v>17</v>
      </c>
      <c r="D204" s="57" t="s">
        <v>25</v>
      </c>
      <c r="E204" s="58"/>
      <c r="F204" s="58"/>
      <c r="G204" s="59"/>
      <c r="H204" s="60"/>
      <c r="I204" s="48"/>
      <c r="J204" s="48"/>
      <c r="K204" s="49"/>
      <c r="L204" s="61"/>
      <c r="M204" s="61"/>
      <c r="N204" s="61"/>
    </row>
    <row r="205" spans="1:14" ht="21.75" customHeight="1" x14ac:dyDescent="0.4">
      <c r="A205" s="55"/>
      <c r="B205" s="56"/>
      <c r="C205" s="56"/>
      <c r="D205" s="62">
        <v>1</v>
      </c>
      <c r="E205" s="63" t="s">
        <v>26</v>
      </c>
      <c r="F205" s="64"/>
      <c r="G205" s="65"/>
      <c r="H205" s="66"/>
      <c r="I205" s="67"/>
      <c r="J205" s="68">
        <v>0</v>
      </c>
      <c r="K205" s="49"/>
      <c r="L205" s="61"/>
      <c r="M205" s="61"/>
      <c r="N205" s="61"/>
    </row>
    <row r="206" spans="1:14" ht="21.75" customHeight="1" x14ac:dyDescent="0.4">
      <c r="A206" s="55"/>
      <c r="B206" s="56"/>
      <c r="C206" s="56"/>
      <c r="D206" s="69">
        <v>2</v>
      </c>
      <c r="E206" s="70" t="s">
        <v>27</v>
      </c>
      <c r="F206" s="71"/>
      <c r="G206" s="72"/>
      <c r="H206" s="66"/>
      <c r="I206" s="67"/>
      <c r="J206" s="68">
        <v>1</v>
      </c>
      <c r="K206" s="49"/>
      <c r="L206" s="61" t="s">
        <v>21</v>
      </c>
      <c r="M206" s="61" t="s">
        <v>21</v>
      </c>
      <c r="N206" s="61"/>
    </row>
    <row r="207" spans="1:14" ht="21.75" customHeight="1" x14ac:dyDescent="0.4">
      <c r="A207" s="55"/>
      <c r="B207" s="56"/>
      <c r="C207" s="56"/>
      <c r="D207" s="73"/>
      <c r="E207" s="74" t="s">
        <v>28</v>
      </c>
      <c r="F207" s="75"/>
      <c r="G207" s="76"/>
      <c r="H207" s="66"/>
      <c r="I207" s="67"/>
      <c r="J207" s="68">
        <v>1</v>
      </c>
      <c r="K207" s="49"/>
      <c r="L207" s="61"/>
      <c r="M207" s="61"/>
      <c r="N207" s="61"/>
    </row>
    <row r="208" spans="1:14" ht="21.75" customHeight="1" x14ac:dyDescent="0.4">
      <c r="A208" s="55"/>
      <c r="B208" s="56"/>
      <c r="C208" s="56"/>
      <c r="D208" s="73"/>
      <c r="E208" s="74" t="s">
        <v>29</v>
      </c>
      <c r="F208" s="75"/>
      <c r="G208" s="76"/>
      <c r="H208" s="66"/>
      <c r="I208" s="67"/>
      <c r="J208" s="68">
        <v>1</v>
      </c>
      <c r="K208" s="49"/>
      <c r="L208" s="61"/>
      <c r="M208" s="61"/>
      <c r="N208" s="61"/>
    </row>
    <row r="209" spans="1:14" ht="21.75" customHeight="1" x14ac:dyDescent="0.4">
      <c r="A209" s="55"/>
      <c r="B209" s="56"/>
      <c r="C209" s="56"/>
      <c r="D209" s="73"/>
      <c r="E209" s="77"/>
      <c r="F209" s="74" t="s">
        <v>94</v>
      </c>
      <c r="G209" s="76"/>
      <c r="H209" s="60" t="s">
        <v>16</v>
      </c>
      <c r="I209" s="67">
        <f ca="1">IFERROR(__xludf.DUMMYFUNCTION("IMPORTRANGE(""https://docs.google.com/spreadsheets/d/1C3CXT74ZlgGe6_JY_1olB1XN4rF0dxEuIIF-xsYjHgg/edit?usp=sharing"",""พรบ!BQ36"")"),40)</f>
        <v>40</v>
      </c>
      <c r="J209" s="68">
        <v>0</v>
      </c>
      <c r="K209" s="49">
        <f ca="1">IF(I209&gt;0,J209*100/I209,0)</f>
        <v>0</v>
      </c>
      <c r="L209" s="61"/>
      <c r="M209" s="61"/>
      <c r="N209" s="61"/>
    </row>
    <row r="210" spans="1:14" ht="21.75" customHeight="1" x14ac:dyDescent="0.4">
      <c r="A210" s="55"/>
      <c r="B210" s="56"/>
      <c r="C210" s="56"/>
      <c r="D210" s="73"/>
      <c r="E210" s="77"/>
      <c r="F210" s="74" t="s">
        <v>95</v>
      </c>
      <c r="G210" s="76"/>
      <c r="H210" s="60"/>
      <c r="I210" s="67"/>
      <c r="J210" s="67"/>
      <c r="K210" s="49"/>
      <c r="L210" s="61"/>
      <c r="M210" s="61"/>
      <c r="N210" s="61"/>
    </row>
    <row r="211" spans="1:14" ht="21.75" customHeight="1" x14ac:dyDescent="0.4">
      <c r="A211" s="55"/>
      <c r="B211" s="56"/>
      <c r="C211" s="56"/>
      <c r="D211" s="73"/>
      <c r="E211" s="77"/>
      <c r="F211" s="75" t="s">
        <v>34</v>
      </c>
      <c r="G211" s="76"/>
      <c r="H211" s="60" t="s">
        <v>16</v>
      </c>
      <c r="I211" s="67">
        <f ca="1">IFERROR(__xludf.DUMMYFUNCTION("IMPORTRANGE(""https://docs.google.com/spreadsheets/d/1C3CXT74ZlgGe6_JY_1olB1XN4rF0dxEuIIF-xsYjHgg/edit?usp=sharing"",""พรบ!BR36"")"),40)</f>
        <v>40</v>
      </c>
      <c r="J211" s="68">
        <v>0</v>
      </c>
      <c r="K211" s="49">
        <f ca="1">IF(I211&gt;0,J211*100/I211,0)</f>
        <v>0</v>
      </c>
      <c r="L211" s="61"/>
      <c r="M211" s="61"/>
      <c r="N211" s="61"/>
    </row>
    <row r="212" spans="1:14" ht="21.75" customHeight="1" x14ac:dyDescent="0.4">
      <c r="A212" s="55"/>
      <c r="B212" s="56"/>
      <c r="C212" s="56"/>
      <c r="D212" s="73"/>
      <c r="E212" s="74" t="s">
        <v>35</v>
      </c>
      <c r="F212" s="75"/>
      <c r="G212" s="76"/>
      <c r="H212" s="66"/>
      <c r="I212" s="67"/>
      <c r="J212" s="68">
        <v>0</v>
      </c>
      <c r="K212" s="49"/>
      <c r="L212" s="61"/>
      <c r="M212" s="61"/>
      <c r="N212" s="61"/>
    </row>
    <row r="213" spans="1:14" ht="21.75" customHeight="1" x14ac:dyDescent="0.4">
      <c r="A213" s="55"/>
      <c r="B213" s="56"/>
      <c r="C213" s="56"/>
      <c r="D213" s="81">
        <v>3</v>
      </c>
      <c r="E213" s="82" t="s">
        <v>36</v>
      </c>
      <c r="F213" s="83"/>
      <c r="G213" s="84"/>
      <c r="H213" s="66"/>
      <c r="I213" s="67"/>
      <c r="J213" s="188">
        <v>0</v>
      </c>
      <c r="K213" s="49"/>
      <c r="L213" s="61"/>
      <c r="M213" s="61"/>
      <c r="N213" s="61"/>
    </row>
    <row r="214" spans="1:14" ht="21.75" customHeight="1" x14ac:dyDescent="0.4">
      <c r="A214" s="189"/>
      <c r="B214" s="190" t="s">
        <v>96</v>
      </c>
      <c r="C214" s="191"/>
      <c r="D214" s="192"/>
      <c r="E214" s="190"/>
      <c r="F214" s="190"/>
      <c r="G214" s="193"/>
      <c r="H214" s="194" t="s">
        <v>97</v>
      </c>
      <c r="I214" s="195">
        <f t="shared" ref="I214:J214" ca="1" si="47">I224</f>
        <v>1</v>
      </c>
      <c r="J214" s="195">
        <f t="shared" si="47"/>
        <v>0</v>
      </c>
      <c r="K214" s="196">
        <f ca="1">IF(I214&gt;0,J214*100/I214,0)</f>
        <v>0</v>
      </c>
      <c r="L214" s="197">
        <f ca="1">L215+L216</f>
        <v>262600</v>
      </c>
      <c r="M214" s="197">
        <f>SUM(M215:M216)</f>
        <v>11240</v>
      </c>
      <c r="N214" s="196">
        <f ca="1">IF(L214&gt;0,M214*100/L214,0)</f>
        <v>4.2802741812642804</v>
      </c>
    </row>
    <row r="215" spans="1:14" ht="21.75" customHeight="1" x14ac:dyDescent="0.4">
      <c r="A215" s="42"/>
      <c r="B215" s="43"/>
      <c r="C215" s="43" t="s">
        <v>17</v>
      </c>
      <c r="D215" s="44" t="s">
        <v>18</v>
      </c>
      <c r="E215" s="45"/>
      <c r="F215" s="45"/>
      <c r="G215" s="46" t="s">
        <v>19</v>
      </c>
      <c r="H215" s="47" t="s">
        <v>20</v>
      </c>
      <c r="I215" s="48" t="s">
        <v>21</v>
      </c>
      <c r="J215" s="48"/>
      <c r="K215" s="49"/>
      <c r="L215" s="50">
        <v>0</v>
      </c>
      <c r="M215" s="53">
        <v>0</v>
      </c>
      <c r="N215" s="53">
        <f t="shared" ref="N215:N218" si="48">+IF(L215&gt;0,M215*100/L215,0)</f>
        <v>0</v>
      </c>
    </row>
    <row r="216" spans="1:14" ht="21.75" customHeight="1" x14ac:dyDescent="0.4">
      <c r="A216" s="42"/>
      <c r="B216" s="43"/>
      <c r="C216" s="43"/>
      <c r="D216" s="51"/>
      <c r="E216" s="45"/>
      <c r="F216" s="45" t="s">
        <v>21</v>
      </c>
      <c r="G216" s="46" t="s">
        <v>22</v>
      </c>
      <c r="H216" s="47" t="s">
        <v>20</v>
      </c>
      <c r="I216" s="48"/>
      <c r="J216" s="48"/>
      <c r="K216" s="49"/>
      <c r="L216" s="50">
        <f t="shared" ref="L216:M216" ca="1" si="49">SUM(L217:L218)</f>
        <v>262600</v>
      </c>
      <c r="M216" s="53">
        <f t="shared" si="49"/>
        <v>11240</v>
      </c>
      <c r="N216" s="53">
        <f t="shared" ca="1" si="48"/>
        <v>4.2802741812642804</v>
      </c>
    </row>
    <row r="217" spans="1:14" ht="21.75" customHeight="1" x14ac:dyDescent="0.4">
      <c r="A217" s="42"/>
      <c r="B217" s="43"/>
      <c r="C217" s="43"/>
      <c r="D217" s="51"/>
      <c r="E217" s="45"/>
      <c r="F217" s="45"/>
      <c r="G217" s="52" t="s">
        <v>23</v>
      </c>
      <c r="H217" s="47" t="s">
        <v>20</v>
      </c>
      <c r="I217" s="48"/>
      <c r="J217" s="48"/>
      <c r="K217" s="49"/>
      <c r="L217" s="53">
        <v>0</v>
      </c>
      <c r="M217" s="53">
        <v>0</v>
      </c>
      <c r="N217" s="53">
        <f t="shared" si="48"/>
        <v>0</v>
      </c>
    </row>
    <row r="218" spans="1:14" ht="21.75" customHeight="1" x14ac:dyDescent="0.4">
      <c r="A218" s="42"/>
      <c r="B218" s="43"/>
      <c r="C218" s="43"/>
      <c r="D218" s="51"/>
      <c r="E218" s="45"/>
      <c r="F218" s="45"/>
      <c r="G218" s="52" t="s">
        <v>24</v>
      </c>
      <c r="H218" s="47" t="s">
        <v>20</v>
      </c>
      <c r="I218" s="48"/>
      <c r="J218" s="48"/>
      <c r="K218" s="49"/>
      <c r="L218" s="53">
        <f ca="1">IFERROR(__xludf.DUMMYFUNCTION("IMPORTRANGE(""https://docs.google.com/spreadsheets/d/1C3CXT74ZlgGe6_JY_1olB1XN4rF0dxEuIIF-xsYjHgg/edit?usp=sharing"",""พรบ!BU36"")"),262600)</f>
        <v>262600</v>
      </c>
      <c r="M218" s="54">
        <v>11240</v>
      </c>
      <c r="N218" s="53">
        <f t="shared" ca="1" si="48"/>
        <v>4.2802741812642804</v>
      </c>
    </row>
    <row r="219" spans="1:14" ht="21.75" customHeight="1" x14ac:dyDescent="0.4">
      <c r="A219" s="55"/>
      <c r="B219" s="56"/>
      <c r="C219" s="43" t="s">
        <v>17</v>
      </c>
      <c r="D219" s="57" t="s">
        <v>25</v>
      </c>
      <c r="E219" s="58"/>
      <c r="F219" s="58"/>
      <c r="G219" s="59"/>
      <c r="H219" s="60"/>
      <c r="I219" s="48"/>
      <c r="J219" s="48"/>
      <c r="K219" s="49"/>
      <c r="L219" s="61"/>
      <c r="M219" s="61"/>
      <c r="N219" s="61"/>
    </row>
    <row r="220" spans="1:14" ht="21.75" customHeight="1" x14ac:dyDescent="0.4">
      <c r="A220" s="55"/>
      <c r="B220" s="56"/>
      <c r="C220" s="56"/>
      <c r="D220" s="62">
        <v>1</v>
      </c>
      <c r="E220" s="63" t="s">
        <v>26</v>
      </c>
      <c r="F220" s="64"/>
      <c r="G220" s="65"/>
      <c r="H220" s="66"/>
      <c r="I220" s="67"/>
      <c r="J220" s="68">
        <v>0</v>
      </c>
      <c r="K220" s="49"/>
      <c r="L220" s="61"/>
      <c r="M220" s="61"/>
      <c r="N220" s="61"/>
    </row>
    <row r="221" spans="1:14" ht="21.75" customHeight="1" x14ac:dyDescent="0.4">
      <c r="A221" s="55"/>
      <c r="B221" s="56"/>
      <c r="C221" s="56"/>
      <c r="D221" s="69">
        <v>2</v>
      </c>
      <c r="E221" s="70" t="s">
        <v>27</v>
      </c>
      <c r="F221" s="71"/>
      <c r="G221" s="72"/>
      <c r="H221" s="66"/>
      <c r="I221" s="67"/>
      <c r="J221" s="68">
        <v>1</v>
      </c>
      <c r="K221" s="49"/>
      <c r="L221" s="61" t="s">
        <v>21</v>
      </c>
      <c r="M221" s="61" t="s">
        <v>21</v>
      </c>
      <c r="N221" s="61"/>
    </row>
    <row r="222" spans="1:14" ht="21.75" customHeight="1" x14ac:dyDescent="0.4">
      <c r="A222" s="55"/>
      <c r="B222" s="56"/>
      <c r="C222" s="56"/>
      <c r="D222" s="73"/>
      <c r="E222" s="74" t="s">
        <v>28</v>
      </c>
      <c r="F222" s="75"/>
      <c r="G222" s="76"/>
      <c r="H222" s="66"/>
      <c r="I222" s="67"/>
      <c r="J222" s="68">
        <v>1</v>
      </c>
      <c r="K222" s="49"/>
      <c r="L222" s="61"/>
      <c r="M222" s="61"/>
      <c r="N222" s="61"/>
    </row>
    <row r="223" spans="1:14" ht="21.75" customHeight="1" x14ac:dyDescent="0.4">
      <c r="A223" s="55"/>
      <c r="B223" s="56"/>
      <c r="C223" s="56"/>
      <c r="D223" s="73"/>
      <c r="E223" s="74" t="s">
        <v>29</v>
      </c>
      <c r="F223" s="75"/>
      <c r="G223" s="76"/>
      <c r="H223" s="66"/>
      <c r="I223" s="67"/>
      <c r="J223" s="68">
        <v>1</v>
      </c>
      <c r="K223" s="49"/>
      <c r="L223" s="61"/>
      <c r="M223" s="61"/>
      <c r="N223" s="61"/>
    </row>
    <row r="224" spans="1:14" ht="21.75" customHeight="1" x14ac:dyDescent="0.4">
      <c r="A224" s="55"/>
      <c r="B224" s="56"/>
      <c r="C224" s="56"/>
      <c r="D224" s="73"/>
      <c r="E224" s="77"/>
      <c r="F224" s="74" t="s">
        <v>98</v>
      </c>
      <c r="G224" s="76"/>
      <c r="H224" s="66" t="s">
        <v>97</v>
      </c>
      <c r="I224" s="67">
        <f ca="1">IFERROR(__xludf.DUMMYFUNCTION("IMPORTRANGE(""https://docs.google.com/spreadsheets/d/1C3CXT74ZlgGe6_JY_1olB1XN4rF0dxEuIIF-xsYjHgg/edit?usp=sharing"",""พรบ!BV36"")"),1)</f>
        <v>1</v>
      </c>
      <c r="J224" s="68">
        <v>0</v>
      </c>
      <c r="K224" s="49">
        <f ca="1">IF(I224&gt;0,J224*100/I224,0)</f>
        <v>0</v>
      </c>
      <c r="L224" s="61"/>
      <c r="M224" s="61"/>
      <c r="N224" s="61"/>
    </row>
    <row r="225" spans="1:14" ht="21.75" customHeight="1" x14ac:dyDescent="0.4">
      <c r="A225" s="55"/>
      <c r="B225" s="56"/>
      <c r="C225" s="56"/>
      <c r="D225" s="73"/>
      <c r="E225" s="74" t="s">
        <v>35</v>
      </c>
      <c r="F225" s="75"/>
      <c r="G225" s="76"/>
      <c r="H225" s="66"/>
      <c r="I225" s="67"/>
      <c r="J225" s="68">
        <v>0</v>
      </c>
      <c r="K225" s="49"/>
      <c r="L225" s="61"/>
      <c r="M225" s="61"/>
      <c r="N225" s="61"/>
    </row>
    <row r="226" spans="1:14" ht="21.75" customHeight="1" x14ac:dyDescent="0.4">
      <c r="A226" s="55"/>
      <c r="B226" s="56"/>
      <c r="C226" s="56"/>
      <c r="D226" s="81">
        <v>3</v>
      </c>
      <c r="E226" s="82" t="s">
        <v>36</v>
      </c>
      <c r="F226" s="83"/>
      <c r="G226" s="84"/>
      <c r="H226" s="66"/>
      <c r="I226" s="67"/>
      <c r="J226" s="85">
        <v>0</v>
      </c>
      <c r="K226" s="49"/>
      <c r="L226" s="61"/>
      <c r="M226" s="61"/>
      <c r="N226" s="61"/>
    </row>
    <row r="227" spans="1:14" ht="21.75" customHeight="1" x14ac:dyDescent="0.4">
      <c r="A227" s="166" t="s">
        <v>99</v>
      </c>
      <c r="B227" s="167"/>
      <c r="C227" s="167"/>
      <c r="D227" s="168"/>
      <c r="E227" s="167"/>
      <c r="F227" s="167"/>
      <c r="G227" s="181"/>
      <c r="H227" s="170"/>
      <c r="I227" s="171"/>
      <c r="J227" s="171"/>
      <c r="K227" s="172"/>
      <c r="L227" s="172"/>
      <c r="M227" s="172"/>
      <c r="N227" s="173"/>
    </row>
    <row r="228" spans="1:14" ht="21.75" customHeight="1" x14ac:dyDescent="0.4">
      <c r="A228" s="174"/>
      <c r="B228" s="175" t="s">
        <v>100</v>
      </c>
      <c r="C228" s="187"/>
      <c r="D228" s="175"/>
      <c r="E228" s="175"/>
      <c r="F228" s="175"/>
      <c r="G228" s="176"/>
      <c r="H228" s="177" t="s">
        <v>16</v>
      </c>
      <c r="I228" s="198">
        <f ca="1">I236</f>
        <v>215</v>
      </c>
      <c r="J228" s="198">
        <f ca="1">J240</f>
        <v>0</v>
      </c>
      <c r="K228" s="179">
        <f ca="1">IF(I228&gt;0,J228*100/I228,0)</f>
        <v>0</v>
      </c>
      <c r="L228" s="180">
        <f ca="1">L229+L230</f>
        <v>910670</v>
      </c>
      <c r="M228" s="180">
        <f>SUM(M229:M230)</f>
        <v>8690</v>
      </c>
      <c r="N228" s="179">
        <f ca="1">IF(L228&gt;0,M228*100/L228,0)</f>
        <v>0.95424248081083163</v>
      </c>
    </row>
    <row r="229" spans="1:14" ht="21.75" customHeight="1" x14ac:dyDescent="0.4">
      <c r="A229" s="42"/>
      <c r="B229" s="43"/>
      <c r="C229" s="43" t="s">
        <v>17</v>
      </c>
      <c r="D229" s="44" t="s">
        <v>18</v>
      </c>
      <c r="E229" s="45"/>
      <c r="F229" s="45"/>
      <c r="G229" s="46" t="s">
        <v>19</v>
      </c>
      <c r="H229" s="47" t="s">
        <v>20</v>
      </c>
      <c r="I229" s="48" t="s">
        <v>21</v>
      </c>
      <c r="J229" s="48"/>
      <c r="K229" s="49"/>
      <c r="L229" s="50">
        <v>0</v>
      </c>
      <c r="M229" s="53">
        <v>0</v>
      </c>
      <c r="N229" s="53">
        <f t="shared" ref="N229:N232" si="50">+IF(L229&gt;0,M229*100/L229,0)</f>
        <v>0</v>
      </c>
    </row>
    <row r="230" spans="1:14" ht="21.75" customHeight="1" x14ac:dyDescent="0.4">
      <c r="A230" s="42"/>
      <c r="B230" s="43"/>
      <c r="C230" s="43"/>
      <c r="D230" s="51"/>
      <c r="E230" s="45"/>
      <c r="F230" s="45" t="s">
        <v>21</v>
      </c>
      <c r="G230" s="46" t="s">
        <v>22</v>
      </c>
      <c r="H230" s="47" t="s">
        <v>20</v>
      </c>
      <c r="I230" s="48"/>
      <c r="J230" s="48"/>
      <c r="K230" s="49"/>
      <c r="L230" s="50">
        <f t="shared" ref="L230:M230" ca="1" si="51">SUM(L231:L232)</f>
        <v>910670</v>
      </c>
      <c r="M230" s="53">
        <f t="shared" si="51"/>
        <v>8690</v>
      </c>
      <c r="N230" s="53">
        <f t="shared" ca="1" si="50"/>
        <v>0.95424248081083163</v>
      </c>
    </row>
    <row r="231" spans="1:14" ht="21.75" customHeight="1" x14ac:dyDescent="0.4">
      <c r="A231" s="42"/>
      <c r="B231" s="43"/>
      <c r="C231" s="43"/>
      <c r="D231" s="51"/>
      <c r="E231" s="45"/>
      <c r="F231" s="45"/>
      <c r="G231" s="52" t="s">
        <v>23</v>
      </c>
      <c r="H231" s="47" t="s">
        <v>20</v>
      </c>
      <c r="I231" s="48"/>
      <c r="J231" s="48"/>
      <c r="K231" s="49"/>
      <c r="L231" s="53">
        <f ca="1">IFERROR(__xludf.DUMMYFUNCTION("IMPORTRANGE(""https://docs.google.com/spreadsheets/d/1C3CXT74ZlgGe6_JY_1olB1XN4rF0dxEuIIF-xsYjHgg/edit?usp=sharing"",""พรบ!BX36"")"),500400)</f>
        <v>500400</v>
      </c>
      <c r="M231" s="54">
        <v>8690</v>
      </c>
      <c r="N231" s="53">
        <f t="shared" ca="1" si="50"/>
        <v>1.7366107114308553</v>
      </c>
    </row>
    <row r="232" spans="1:14" ht="21.75" customHeight="1" x14ac:dyDescent="0.4">
      <c r="A232" s="42"/>
      <c r="B232" s="43"/>
      <c r="C232" s="43"/>
      <c r="D232" s="51"/>
      <c r="E232" s="45"/>
      <c r="F232" s="45"/>
      <c r="G232" s="52" t="s">
        <v>24</v>
      </c>
      <c r="H232" s="47" t="s">
        <v>20</v>
      </c>
      <c r="I232" s="48"/>
      <c r="J232" s="48"/>
      <c r="K232" s="49"/>
      <c r="L232" s="53">
        <f ca="1">IFERROR(__xludf.DUMMYFUNCTION("IMPORTRANGE(""https://docs.google.com/spreadsheets/d/1C3CXT74ZlgGe6_JY_1olB1XN4rF0dxEuIIF-xsYjHgg/edit?usp=sharing"",""พรบ!BY36"")"),410270)</f>
        <v>410270</v>
      </c>
      <c r="M232" s="54">
        <v>0</v>
      </c>
      <c r="N232" s="53">
        <f t="shared" ca="1" si="50"/>
        <v>0</v>
      </c>
    </row>
    <row r="233" spans="1:14" ht="21.75" customHeight="1" x14ac:dyDescent="0.4">
      <c r="A233" s="55"/>
      <c r="B233" s="155"/>
      <c r="C233" s="199" t="s">
        <v>101</v>
      </c>
      <c r="D233" s="75"/>
      <c r="E233" s="75"/>
      <c r="F233" s="75"/>
      <c r="G233" s="76"/>
      <c r="H233" s="60"/>
      <c r="I233" s="200"/>
      <c r="J233" s="200"/>
      <c r="K233" s="201"/>
      <c r="L233" s="61"/>
      <c r="M233" s="61"/>
      <c r="N233" s="202"/>
    </row>
    <row r="234" spans="1:14" ht="21.75" customHeight="1" x14ac:dyDescent="0.4">
      <c r="A234" s="55"/>
      <c r="B234" s="155"/>
      <c r="C234" s="56"/>
      <c r="D234" s="75"/>
      <c r="E234" s="74" t="s">
        <v>102</v>
      </c>
      <c r="F234" s="75"/>
      <c r="G234" s="76"/>
      <c r="H234" s="60" t="s">
        <v>16</v>
      </c>
      <c r="I234" s="67">
        <v>0</v>
      </c>
      <c r="J234" s="67">
        <f ca="1">IFERROR(__xludf.DUMMYFUNCTION("IMPORTRANGE(""https://docs.google.com/spreadsheets/d/1AGHcLOeeYFL3K4b9R1dSzyJy00PE_ra89DNTVfnxSWM/edit?usp=sharing"",""รวมที่ทำกิน!J25"")"),0)</f>
        <v>0</v>
      </c>
      <c r="K234" s="201">
        <f t="shared" ref="K234:K241" si="52">IF(I234&gt;0,J234*100/I234,0)</f>
        <v>0</v>
      </c>
      <c r="L234" s="61"/>
      <c r="M234" s="61"/>
      <c r="N234" s="202"/>
    </row>
    <row r="235" spans="1:14" ht="21.75" customHeight="1" x14ac:dyDescent="0.4">
      <c r="A235" s="55"/>
      <c r="B235" s="155"/>
      <c r="C235" s="56"/>
      <c r="D235" s="75"/>
      <c r="E235" s="75"/>
      <c r="F235" s="75"/>
      <c r="G235" s="76"/>
      <c r="H235" s="60" t="s">
        <v>103</v>
      </c>
      <c r="I235" s="67">
        <f ca="1">IFERROR(__xludf.DUMMYFUNCTION("IMPORTRANGE(""https://docs.google.com/spreadsheets/d/1C3CXT74ZlgGe6_JY_1olB1XN4rF0dxEuIIF-xsYjHgg/edit?usp=sharing"",""พรบ!BZ36"")"),2000)</f>
        <v>2000</v>
      </c>
      <c r="J235" s="67">
        <f ca="1">IFERROR(__xludf.DUMMYFUNCTION("IMPORTRANGE(""https://docs.google.com/spreadsheets/d/1AGHcLOeeYFL3K4b9R1dSzyJy00PE_ra89DNTVfnxSWM/edit?usp=sharing"",""รวมที่ทำกิน!L25"")"),0)</f>
        <v>0</v>
      </c>
      <c r="K235" s="201">
        <f t="shared" ca="1" si="52"/>
        <v>0</v>
      </c>
      <c r="L235" s="61"/>
      <c r="M235" s="61"/>
      <c r="N235" s="202"/>
    </row>
    <row r="236" spans="1:14" ht="21.75" customHeight="1" x14ac:dyDescent="0.4">
      <c r="A236" s="55"/>
      <c r="B236" s="155"/>
      <c r="C236" s="56"/>
      <c r="D236" s="75"/>
      <c r="E236" s="74" t="s">
        <v>104</v>
      </c>
      <c r="F236" s="75"/>
      <c r="G236" s="76"/>
      <c r="H236" s="60" t="s">
        <v>16</v>
      </c>
      <c r="I236" s="67">
        <f ca="1">IFERROR(__xludf.DUMMYFUNCTION("IMPORTRANGE(""https://docs.google.com/spreadsheets/d/1C3CXT74ZlgGe6_JY_1olB1XN4rF0dxEuIIF-xsYjHgg/edit?usp=sharing"",""พรบ!CA36"")"),215)</f>
        <v>215</v>
      </c>
      <c r="J236" s="67">
        <f ca="1">IFERROR(__xludf.DUMMYFUNCTION("IMPORTRANGE(""https://docs.google.com/spreadsheets/d/1AGHcLOeeYFL3K4b9R1dSzyJy00PE_ra89DNTVfnxSWM/edit?usp=sharing"",""รวมที่ทำกิน!O25"")"),0)</f>
        <v>0</v>
      </c>
      <c r="K236" s="201">
        <f t="shared" ca="1" si="52"/>
        <v>0</v>
      </c>
      <c r="L236" s="61"/>
      <c r="M236" s="61"/>
      <c r="N236" s="202"/>
    </row>
    <row r="237" spans="1:14" ht="21.75" customHeight="1" x14ac:dyDescent="0.4">
      <c r="A237" s="55"/>
      <c r="B237" s="155"/>
      <c r="C237" s="56"/>
      <c r="D237" s="75"/>
      <c r="E237" s="75"/>
      <c r="F237" s="75"/>
      <c r="G237" s="76"/>
      <c r="H237" s="60" t="s">
        <v>103</v>
      </c>
      <c r="I237" s="200">
        <v>0</v>
      </c>
      <c r="J237" s="67">
        <f ca="1">IFERROR(__xludf.DUMMYFUNCTION("IMPORTRANGE(""https://docs.google.com/spreadsheets/d/1AGHcLOeeYFL3K4b9R1dSzyJy00PE_ra89DNTVfnxSWM/edit?usp=sharing"",""รวมที่ทำกิน!Q25"")"),0)</f>
        <v>0</v>
      </c>
      <c r="K237" s="201">
        <f t="shared" si="52"/>
        <v>0</v>
      </c>
      <c r="L237" s="61"/>
      <c r="M237" s="61"/>
      <c r="N237" s="202"/>
    </row>
    <row r="238" spans="1:14" ht="21.75" customHeight="1" x14ac:dyDescent="0.4">
      <c r="A238" s="55"/>
      <c r="B238" s="155"/>
      <c r="C238" s="56"/>
      <c r="D238" s="75"/>
      <c r="E238" s="74" t="s">
        <v>105</v>
      </c>
      <c r="F238" s="75"/>
      <c r="G238" s="76"/>
      <c r="H238" s="60" t="s">
        <v>16</v>
      </c>
      <c r="I238" s="67">
        <f ca="1">IFERROR(__xludf.DUMMYFUNCTION("IMPORTRANGE(""https://docs.google.com/spreadsheets/d/1C3CXT74ZlgGe6_JY_1olB1XN4rF0dxEuIIF-xsYjHgg/edit?usp=sharing"",""พรบ!CB36"")"),215)</f>
        <v>215</v>
      </c>
      <c r="J238" s="67">
        <f ca="1">IFERROR(__xludf.DUMMYFUNCTION("IMPORTRANGE(""https://docs.google.com/spreadsheets/d/1AGHcLOeeYFL3K4b9R1dSzyJy00PE_ra89DNTVfnxSWM/edit?usp=sharing"",""รวมที่ทำกิน!S25"")"),0)</f>
        <v>0</v>
      </c>
      <c r="K238" s="201">
        <f t="shared" ca="1" si="52"/>
        <v>0</v>
      </c>
      <c r="L238" s="61"/>
      <c r="M238" s="61"/>
      <c r="N238" s="202"/>
    </row>
    <row r="239" spans="1:14" ht="21.75" customHeight="1" x14ac:dyDescent="0.4">
      <c r="A239" s="55"/>
      <c r="B239" s="155"/>
      <c r="C239" s="56"/>
      <c r="D239" s="75"/>
      <c r="E239" s="75"/>
      <c r="F239" s="75"/>
      <c r="G239" s="76"/>
      <c r="H239" s="60" t="s">
        <v>103</v>
      </c>
      <c r="I239" s="200">
        <v>0</v>
      </c>
      <c r="J239" s="67">
        <f ca="1">IFERROR(__xludf.DUMMYFUNCTION("IMPORTRANGE(""https://docs.google.com/spreadsheets/d/1AGHcLOeeYFL3K4b9R1dSzyJy00PE_ra89DNTVfnxSWM/edit?usp=sharing"",""รวมที่ทำกิน!U25"")"),0)</f>
        <v>0</v>
      </c>
      <c r="K239" s="201">
        <f t="shared" si="52"/>
        <v>0</v>
      </c>
      <c r="L239" s="61"/>
      <c r="M239" s="61"/>
      <c r="N239" s="202"/>
    </row>
    <row r="240" spans="1:14" ht="21.75" customHeight="1" x14ac:dyDescent="0.4">
      <c r="A240" s="55"/>
      <c r="B240" s="155"/>
      <c r="C240" s="56"/>
      <c r="D240" s="75"/>
      <c r="E240" s="74" t="s">
        <v>106</v>
      </c>
      <c r="F240" s="75"/>
      <c r="G240" s="76"/>
      <c r="H240" s="60" t="s">
        <v>16</v>
      </c>
      <c r="I240" s="67">
        <f ca="1">IFERROR(__xludf.DUMMYFUNCTION("IMPORTRANGE(""https://docs.google.com/spreadsheets/d/1C3CXT74ZlgGe6_JY_1olB1XN4rF0dxEuIIF-xsYjHgg/edit?usp=sharing"",""พรบ!CC36"")"),215)</f>
        <v>215</v>
      </c>
      <c r="J240" s="67">
        <f ca="1">IFERROR(__xludf.DUMMYFUNCTION("IMPORTRANGE(""https://docs.google.com/spreadsheets/d/1AGHcLOeeYFL3K4b9R1dSzyJy00PE_ra89DNTVfnxSWM/edit?usp=sharing"",""รวมที่ทำกิน!W25"")"),0)</f>
        <v>0</v>
      </c>
      <c r="K240" s="201">
        <f t="shared" ca="1" si="52"/>
        <v>0</v>
      </c>
      <c r="L240" s="61"/>
      <c r="M240" s="61"/>
      <c r="N240" s="202"/>
    </row>
    <row r="241" spans="1:14" ht="21.75" customHeight="1" x14ac:dyDescent="0.4">
      <c r="A241" s="105"/>
      <c r="B241" s="203"/>
      <c r="C241" s="106"/>
      <c r="D241" s="203"/>
      <c r="E241" s="204"/>
      <c r="F241" s="204"/>
      <c r="G241" s="205"/>
      <c r="H241" s="206" t="s">
        <v>103</v>
      </c>
      <c r="I241" s="207">
        <v>0</v>
      </c>
      <c r="J241" s="67">
        <f ca="1">IFERROR(__xludf.DUMMYFUNCTION("IMPORTRANGE(""https://docs.google.com/spreadsheets/d/1AGHcLOeeYFL3K4b9R1dSzyJy00PE_ra89DNTVfnxSWM/edit?usp=sharing"",""รวมที่ทำกิน!Y25"")"),0)</f>
        <v>0</v>
      </c>
      <c r="K241" s="201">
        <f t="shared" si="52"/>
        <v>0</v>
      </c>
      <c r="L241" s="115"/>
      <c r="M241" s="115"/>
      <c r="N241" s="208"/>
    </row>
    <row r="242" spans="1:14" ht="21.75" customHeight="1" x14ac:dyDescent="0.4">
      <c r="A242" s="209" t="s">
        <v>107</v>
      </c>
      <c r="B242" s="210"/>
      <c r="C242" s="210"/>
      <c r="D242" s="210"/>
      <c r="E242" s="210"/>
      <c r="F242" s="210"/>
      <c r="G242" s="211"/>
      <c r="H242" s="212"/>
      <c r="I242" s="213"/>
      <c r="J242" s="213"/>
      <c r="K242" s="214"/>
      <c r="L242" s="214">
        <f t="shared" ref="L242:M242" ca="1" si="53">SUM(L244,L275,L296,L330,L350,L426,L444,L457,L473,L490)</f>
        <v>2182395</v>
      </c>
      <c r="M242" s="214">
        <f t="shared" si="53"/>
        <v>109155</v>
      </c>
      <c r="N242" s="214">
        <f ca="1">+IF(L242&gt;0,M242*100/L242,0)</f>
        <v>5.0016151979820336</v>
      </c>
    </row>
    <row r="243" spans="1:14" ht="21.75" customHeight="1" x14ac:dyDescent="0.4">
      <c r="A243" s="215" t="s">
        <v>108</v>
      </c>
      <c r="B243" s="216"/>
      <c r="C243" s="216"/>
      <c r="D243" s="216"/>
      <c r="E243" s="216"/>
      <c r="F243" s="216"/>
      <c r="G243" s="217"/>
      <c r="H243" s="218"/>
      <c r="I243" s="219"/>
      <c r="J243" s="219"/>
      <c r="K243" s="220"/>
      <c r="L243" s="220"/>
      <c r="M243" s="220"/>
      <c r="N243" s="221"/>
    </row>
    <row r="244" spans="1:14" ht="21.75" customHeight="1" x14ac:dyDescent="0.4">
      <c r="A244" s="222"/>
      <c r="B244" s="223">
        <v>1</v>
      </c>
      <c r="C244" s="224" t="s">
        <v>109</v>
      </c>
      <c r="D244" s="224"/>
      <c r="E244" s="224"/>
      <c r="F244" s="224"/>
      <c r="G244" s="225"/>
      <c r="H244" s="226" t="s">
        <v>103</v>
      </c>
      <c r="I244" s="227">
        <f t="shared" ref="I244:J244" ca="1" si="54">I270</f>
        <v>70</v>
      </c>
      <c r="J244" s="227">
        <f t="shared" si="54"/>
        <v>0</v>
      </c>
      <c r="K244" s="228">
        <f t="shared" ref="K244:K245" ca="1" si="55">IF(I244&gt;0,J244*100/I244,0)</f>
        <v>0</v>
      </c>
      <c r="L244" s="229">
        <f t="shared" ref="L244:M244" ca="1" si="56">SUM(L246:L247)</f>
        <v>303160</v>
      </c>
      <c r="M244" s="229">
        <f t="shared" si="56"/>
        <v>14880</v>
      </c>
      <c r="N244" s="229">
        <f ca="1">+IF(L244&gt;0,M244*100/L244,0)</f>
        <v>4.9082992479218897</v>
      </c>
    </row>
    <row r="245" spans="1:14" ht="21.75" customHeight="1" x14ac:dyDescent="0.4">
      <c r="A245" s="222"/>
      <c r="B245" s="223"/>
      <c r="C245" s="224"/>
      <c r="D245" s="224"/>
      <c r="E245" s="224"/>
      <c r="F245" s="224"/>
      <c r="G245" s="225"/>
      <c r="H245" s="226" t="s">
        <v>16</v>
      </c>
      <c r="I245" s="227">
        <f ca="1">I263</f>
        <v>40</v>
      </c>
      <c r="J245" s="227">
        <f>+J263</f>
        <v>0</v>
      </c>
      <c r="K245" s="228">
        <f t="shared" ca="1" si="55"/>
        <v>0</v>
      </c>
      <c r="L245" s="229"/>
      <c r="M245" s="229"/>
      <c r="N245" s="229"/>
    </row>
    <row r="246" spans="1:14" ht="21.75" customHeight="1" x14ac:dyDescent="0.4">
      <c r="A246" s="42"/>
      <c r="B246" s="43"/>
      <c r="C246" s="43" t="s">
        <v>17</v>
      </c>
      <c r="D246" s="44" t="s">
        <v>18</v>
      </c>
      <c r="E246" s="45"/>
      <c r="F246" s="45"/>
      <c r="G246" s="46" t="s">
        <v>19</v>
      </c>
      <c r="H246" s="47" t="s">
        <v>20</v>
      </c>
      <c r="I246" s="48" t="s">
        <v>21</v>
      </c>
      <c r="J246" s="48"/>
      <c r="K246" s="49"/>
      <c r="L246" s="50">
        <v>0</v>
      </c>
      <c r="M246" s="50">
        <v>0</v>
      </c>
      <c r="N246" s="50">
        <f t="shared" ref="N246:N249" si="57">+IF(L246&gt;0,M246*100/L246,0)</f>
        <v>0</v>
      </c>
    </row>
    <row r="247" spans="1:14" ht="21.75" customHeight="1" x14ac:dyDescent="0.4">
      <c r="A247" s="42"/>
      <c r="B247" s="43"/>
      <c r="C247" s="43"/>
      <c r="D247" s="51"/>
      <c r="E247" s="45"/>
      <c r="F247" s="45" t="s">
        <v>21</v>
      </c>
      <c r="G247" s="46" t="s">
        <v>22</v>
      </c>
      <c r="H247" s="47" t="s">
        <v>20</v>
      </c>
      <c r="I247" s="48"/>
      <c r="J247" s="48"/>
      <c r="K247" s="49"/>
      <c r="L247" s="50">
        <f t="shared" ref="L247:M247" ca="1" si="58">SUM(L248:L249)</f>
        <v>303160</v>
      </c>
      <c r="M247" s="50">
        <f t="shared" si="58"/>
        <v>14880</v>
      </c>
      <c r="N247" s="50">
        <f t="shared" ca="1" si="57"/>
        <v>4.9082992479218897</v>
      </c>
    </row>
    <row r="248" spans="1:14" ht="21.75" customHeight="1" x14ac:dyDescent="0.4">
      <c r="A248" s="42"/>
      <c r="B248" s="43"/>
      <c r="C248" s="43"/>
      <c r="D248" s="51"/>
      <c r="E248" s="45"/>
      <c r="F248" s="45"/>
      <c r="G248" s="52" t="s">
        <v>110</v>
      </c>
      <c r="H248" s="47" t="s">
        <v>20</v>
      </c>
      <c r="I248" s="48"/>
      <c r="J248" s="48"/>
      <c r="K248" s="49"/>
      <c r="L248" s="53">
        <f ca="1">IFERROR(__xludf.DUMMYFUNCTION("IMPORTRANGE(""https://docs.google.com/spreadsheets/d/1C3CXT74ZlgGe6_JY_1olB1XN4rF0dxEuIIF-xsYjHgg/edit?usp=sharing"",""งบกองทุน!d36"")"),0)</f>
        <v>0</v>
      </c>
      <c r="M248" s="53">
        <v>0</v>
      </c>
      <c r="N248" s="53">
        <f t="shared" ca="1" si="57"/>
        <v>0</v>
      </c>
    </row>
    <row r="249" spans="1:14" ht="21.75" customHeight="1" x14ac:dyDescent="0.4">
      <c r="A249" s="42"/>
      <c r="B249" s="43"/>
      <c r="C249" s="43"/>
      <c r="D249" s="51"/>
      <c r="E249" s="45"/>
      <c r="F249" s="45"/>
      <c r="G249" s="52" t="s">
        <v>111</v>
      </c>
      <c r="H249" s="47" t="s">
        <v>20</v>
      </c>
      <c r="I249" s="48"/>
      <c r="J249" s="48"/>
      <c r="K249" s="49"/>
      <c r="L249" s="53">
        <f ca="1">IFERROR(__xludf.DUMMYFUNCTION("IMPORTRANGE(""https://docs.google.com/spreadsheets/d/1C3CXT74ZlgGe6_JY_1olB1XN4rF0dxEuIIF-xsYjHgg/edit?usp=sharing"",""งบกองทุน!e36"")"),303160)</f>
        <v>303160</v>
      </c>
      <c r="M249" s="53">
        <f>SUM(M250:M253)</f>
        <v>14880</v>
      </c>
      <c r="N249" s="53">
        <f t="shared" ca="1" si="57"/>
        <v>4.9082992479218897</v>
      </c>
    </row>
    <row r="250" spans="1:14" ht="21.75" customHeight="1" x14ac:dyDescent="0.4">
      <c r="A250" s="230"/>
      <c r="B250" s="231"/>
      <c r="C250" s="43"/>
      <c r="D250" s="232"/>
      <c r="E250" s="45"/>
      <c r="F250" s="45"/>
      <c r="G250" s="46" t="s">
        <v>112</v>
      </c>
      <c r="H250" s="47" t="s">
        <v>20</v>
      </c>
      <c r="I250" s="67"/>
      <c r="J250" s="67"/>
      <c r="K250" s="233"/>
      <c r="L250" s="53"/>
      <c r="M250" s="54">
        <v>0</v>
      </c>
      <c r="N250" s="53"/>
    </row>
    <row r="251" spans="1:14" ht="21.75" customHeight="1" x14ac:dyDescent="0.4">
      <c r="A251" s="230"/>
      <c r="B251" s="231"/>
      <c r="C251" s="43"/>
      <c r="D251" s="232"/>
      <c r="E251" s="45"/>
      <c r="F251" s="45"/>
      <c r="G251" s="46" t="s">
        <v>113</v>
      </c>
      <c r="H251" s="47" t="s">
        <v>20</v>
      </c>
      <c r="I251" s="67"/>
      <c r="J251" s="67"/>
      <c r="K251" s="233"/>
      <c r="L251" s="53"/>
      <c r="M251" s="54">
        <v>0</v>
      </c>
      <c r="N251" s="53"/>
    </row>
    <row r="252" spans="1:14" ht="21.75" customHeight="1" x14ac:dyDescent="0.4">
      <c r="A252" s="230"/>
      <c r="B252" s="231"/>
      <c r="C252" s="43"/>
      <c r="D252" s="232"/>
      <c r="E252" s="45"/>
      <c r="F252" s="45"/>
      <c r="G252" s="46" t="s">
        <v>114</v>
      </c>
      <c r="H252" s="47" t="s">
        <v>20</v>
      </c>
      <c r="I252" s="67"/>
      <c r="J252" s="67"/>
      <c r="K252" s="233"/>
      <c r="L252" s="53"/>
      <c r="M252" s="54">
        <v>9580</v>
      </c>
      <c r="N252" s="53"/>
    </row>
    <row r="253" spans="1:14" ht="21.75" customHeight="1" x14ac:dyDescent="0.4">
      <c r="A253" s="230"/>
      <c r="B253" s="231"/>
      <c r="C253" s="43"/>
      <c r="D253" s="232"/>
      <c r="E253" s="45"/>
      <c r="F253" s="45"/>
      <c r="G253" s="46" t="s">
        <v>115</v>
      </c>
      <c r="H253" s="47" t="s">
        <v>20</v>
      </c>
      <c r="I253" s="67"/>
      <c r="J253" s="67"/>
      <c r="K253" s="233"/>
      <c r="L253" s="53"/>
      <c r="M253" s="54">
        <v>5300</v>
      </c>
      <c r="N253" s="53"/>
    </row>
    <row r="254" spans="1:14" ht="21.75" customHeight="1" x14ac:dyDescent="0.4">
      <c r="A254" s="55"/>
      <c r="B254" s="56"/>
      <c r="C254" s="43" t="s">
        <v>17</v>
      </c>
      <c r="D254" s="57" t="s">
        <v>25</v>
      </c>
      <c r="E254" s="58"/>
      <c r="F254" s="58"/>
      <c r="G254" s="59"/>
      <c r="H254" s="60"/>
      <c r="I254" s="48"/>
      <c r="J254" s="48"/>
      <c r="K254" s="49"/>
      <c r="L254" s="61"/>
      <c r="M254" s="61"/>
      <c r="N254" s="61"/>
    </row>
    <row r="255" spans="1:14" ht="21.75" customHeight="1" x14ac:dyDescent="0.4">
      <c r="A255" s="55"/>
      <c r="B255" s="56"/>
      <c r="C255" s="56"/>
      <c r="D255" s="62">
        <v>1</v>
      </c>
      <c r="E255" s="63" t="s">
        <v>26</v>
      </c>
      <c r="F255" s="64"/>
      <c r="G255" s="65"/>
      <c r="H255" s="66"/>
      <c r="I255" s="67"/>
      <c r="J255" s="68">
        <v>0</v>
      </c>
      <c r="K255" s="49"/>
      <c r="L255" s="61"/>
      <c r="M255" s="61"/>
      <c r="N255" s="61"/>
    </row>
    <row r="256" spans="1:14" ht="21.75" customHeight="1" x14ac:dyDescent="0.4">
      <c r="A256" s="55"/>
      <c r="B256" s="56"/>
      <c r="C256" s="56"/>
      <c r="D256" s="69">
        <v>2</v>
      </c>
      <c r="E256" s="70" t="s">
        <v>27</v>
      </c>
      <c r="F256" s="71"/>
      <c r="G256" s="72"/>
      <c r="H256" s="66"/>
      <c r="I256" s="67"/>
      <c r="J256" s="68">
        <v>1</v>
      </c>
      <c r="K256" s="49"/>
      <c r="L256" s="61" t="s">
        <v>21</v>
      </c>
      <c r="M256" s="61" t="s">
        <v>21</v>
      </c>
      <c r="N256" s="61"/>
    </row>
    <row r="257" spans="1:14" ht="21.75" customHeight="1" x14ac:dyDescent="0.4">
      <c r="A257" s="55"/>
      <c r="B257" s="56"/>
      <c r="C257" s="56"/>
      <c r="D257" s="73"/>
      <c r="E257" s="74" t="s">
        <v>28</v>
      </c>
      <c r="F257" s="75"/>
      <c r="G257" s="76"/>
      <c r="H257" s="66"/>
      <c r="I257" s="67"/>
      <c r="J257" s="68">
        <v>1</v>
      </c>
      <c r="K257" s="49"/>
      <c r="L257" s="61"/>
      <c r="M257" s="61"/>
      <c r="N257" s="61"/>
    </row>
    <row r="258" spans="1:14" ht="21.75" customHeight="1" x14ac:dyDescent="0.4">
      <c r="A258" s="55"/>
      <c r="B258" s="56"/>
      <c r="C258" s="56"/>
      <c r="D258" s="73"/>
      <c r="E258" s="74" t="s">
        <v>29</v>
      </c>
      <c r="F258" s="75"/>
      <c r="G258" s="76"/>
      <c r="H258" s="66"/>
      <c r="I258" s="67"/>
      <c r="J258" s="68">
        <v>1</v>
      </c>
      <c r="K258" s="49"/>
      <c r="L258" s="61"/>
      <c r="M258" s="61"/>
      <c r="N258" s="61"/>
    </row>
    <row r="259" spans="1:14" ht="21.75" hidden="1" customHeight="1" x14ac:dyDescent="0.4">
      <c r="A259" s="55"/>
      <c r="B259" s="56"/>
      <c r="C259" s="56"/>
      <c r="D259" s="73"/>
      <c r="E259" s="77"/>
      <c r="F259" s="74" t="s">
        <v>50</v>
      </c>
      <c r="G259" s="76"/>
      <c r="H259" s="60"/>
      <c r="I259" s="67"/>
      <c r="J259" s="67">
        <f>+J260+J263+J268</f>
        <v>0</v>
      </c>
      <c r="K259" s="49"/>
      <c r="L259" s="61"/>
      <c r="M259" s="61"/>
      <c r="N259" s="61"/>
    </row>
    <row r="260" spans="1:14" ht="21.75" hidden="1" customHeight="1" x14ac:dyDescent="0.4">
      <c r="A260" s="55"/>
      <c r="B260" s="56"/>
      <c r="C260" s="56"/>
      <c r="D260" s="73"/>
      <c r="E260" s="77"/>
      <c r="F260" s="75"/>
      <c r="G260" s="99" t="s">
        <v>116</v>
      </c>
      <c r="H260" s="60" t="s">
        <v>16</v>
      </c>
      <c r="I260" s="67">
        <f ca="1">IFERROR(__xludf.DUMMYFUNCTION("IMPORTRANGE(""https://docs.google.com/spreadsheets/d/1C3CXT74ZlgGe6_JY_1olB1XN4rF0dxEuIIF-xsYjHgg/edit?usp=sharing"",""งบกองทุน!f36"")"),0)</f>
        <v>0</v>
      </c>
      <c r="J260" s="67">
        <v>0</v>
      </c>
      <c r="K260" s="49">
        <f ca="1">IF(I260&gt;0,J260*100/I260,0)</f>
        <v>0</v>
      </c>
      <c r="L260" s="61"/>
      <c r="M260" s="61"/>
      <c r="N260" s="61"/>
    </row>
    <row r="261" spans="1:14" ht="21.75" hidden="1" customHeight="1" x14ac:dyDescent="0.4">
      <c r="A261" s="55"/>
      <c r="B261" s="56"/>
      <c r="C261" s="56"/>
      <c r="D261" s="73"/>
      <c r="E261" s="77"/>
      <c r="F261" s="75"/>
      <c r="G261" s="76" t="s">
        <v>117</v>
      </c>
      <c r="H261" s="60"/>
      <c r="I261" s="48"/>
      <c r="J261" s="67"/>
      <c r="K261" s="49"/>
      <c r="L261" s="61"/>
      <c r="M261" s="61"/>
      <c r="N261" s="61"/>
    </row>
    <row r="262" spans="1:14" ht="21.75" hidden="1" customHeight="1" x14ac:dyDescent="0.4">
      <c r="A262" s="55"/>
      <c r="B262" s="56"/>
      <c r="C262" s="56"/>
      <c r="D262" s="73"/>
      <c r="E262" s="77"/>
      <c r="F262" s="75"/>
      <c r="G262" s="99" t="s">
        <v>118</v>
      </c>
      <c r="H262" s="66" t="s">
        <v>103</v>
      </c>
      <c r="I262" s="67">
        <f t="shared" ref="I262:J262" ca="1" si="59">SUM(I264,I266)</f>
        <v>70</v>
      </c>
      <c r="J262" s="67">
        <f t="shared" si="59"/>
        <v>0</v>
      </c>
      <c r="K262" s="49">
        <f t="shared" ref="K262:K268" ca="1" si="60">IF(I262&gt;0,J262*100/I262,0)</f>
        <v>0</v>
      </c>
      <c r="L262" s="61"/>
      <c r="M262" s="61"/>
      <c r="N262" s="61"/>
    </row>
    <row r="263" spans="1:14" ht="21.75" customHeight="1" x14ac:dyDescent="0.4">
      <c r="A263" s="55"/>
      <c r="B263" s="56"/>
      <c r="C263" s="56"/>
      <c r="D263" s="73"/>
      <c r="E263" s="77"/>
      <c r="F263" s="99" t="s">
        <v>119</v>
      </c>
      <c r="G263" s="76"/>
      <c r="H263" s="66" t="s">
        <v>16</v>
      </c>
      <c r="I263" s="48">
        <f ca="1">IFERROR(__xludf.DUMMYFUNCTION("IMPORTRANGE(""https://docs.google.com/spreadsheets/d/1C3CXT74ZlgGe6_JY_1olB1XN4rF0dxEuIIF-xsYjHgg/edit?usp=sharing"",""งบกองทุน!H36"")"),40)</f>
        <v>40</v>
      </c>
      <c r="J263" s="67">
        <f>J267</f>
        <v>0</v>
      </c>
      <c r="K263" s="49">
        <f t="shared" ca="1" si="60"/>
        <v>0</v>
      </c>
      <c r="L263" s="61"/>
      <c r="M263" s="61"/>
      <c r="N263" s="61"/>
    </row>
    <row r="264" spans="1:14" ht="21.75" hidden="1" customHeight="1" x14ac:dyDescent="0.4">
      <c r="A264" s="55"/>
      <c r="B264" s="56"/>
      <c r="C264" s="56"/>
      <c r="D264" s="73"/>
      <c r="E264" s="77"/>
      <c r="F264" s="75"/>
      <c r="H264" s="60" t="s">
        <v>103</v>
      </c>
      <c r="I264" s="48">
        <f ca="1">IFERROR(__xludf.DUMMYFUNCTION("IMPORTRANGE(""https://docs.google.com/spreadsheets/d/1C3CXT74ZlgGe6_JY_1olB1XN4rF0dxEuIIF-xsYjHgg/edit?usp=sharing"",""งบกองทุน!i36"")"),50)</f>
        <v>50</v>
      </c>
      <c r="J264" s="68">
        <v>0</v>
      </c>
      <c r="K264" s="49">
        <f t="shared" ca="1" si="60"/>
        <v>0</v>
      </c>
      <c r="L264" s="61"/>
      <c r="M264" s="61"/>
      <c r="N264" s="61"/>
    </row>
    <row r="265" spans="1:14" ht="21.75" customHeight="1" x14ac:dyDescent="0.4">
      <c r="A265" s="55"/>
      <c r="B265" s="56"/>
      <c r="C265" s="56"/>
      <c r="D265" s="73"/>
      <c r="E265" s="77"/>
      <c r="F265" s="75"/>
      <c r="G265" s="99" t="s">
        <v>219</v>
      </c>
      <c r="H265" s="60" t="s">
        <v>16</v>
      </c>
      <c r="I265" s="48">
        <f ca="1">I263</f>
        <v>40</v>
      </c>
      <c r="J265" s="68">
        <v>0</v>
      </c>
      <c r="K265" s="49">
        <f t="shared" ca="1" si="60"/>
        <v>0</v>
      </c>
      <c r="L265" s="61"/>
      <c r="M265" s="61"/>
      <c r="N265" s="61"/>
    </row>
    <row r="266" spans="1:14" ht="21.75" hidden="1" customHeight="1" x14ac:dyDescent="0.4">
      <c r="A266" s="55"/>
      <c r="B266" s="56"/>
      <c r="C266" s="56"/>
      <c r="D266" s="73"/>
      <c r="E266" s="77"/>
      <c r="F266" s="75"/>
      <c r="G266" s="76"/>
      <c r="H266" s="60" t="s">
        <v>103</v>
      </c>
      <c r="I266" s="48">
        <f ca="1">IFERROR(__xludf.DUMMYFUNCTION("IMPORTRANGE(""https://docs.google.com/spreadsheets/d/1C3CXT74ZlgGe6_JY_1olB1XN4rF0dxEuIIF-xsYjHgg/edit?usp=sharing"",""งบกองทุน!k36"")"),20)</f>
        <v>20</v>
      </c>
      <c r="J266" s="68">
        <v>0</v>
      </c>
      <c r="K266" s="49">
        <f t="shared" ca="1" si="60"/>
        <v>0</v>
      </c>
      <c r="L266" s="61"/>
      <c r="M266" s="61"/>
      <c r="N266" s="61"/>
    </row>
    <row r="267" spans="1:14" ht="21.75" customHeight="1" x14ac:dyDescent="0.4">
      <c r="A267" s="55"/>
      <c r="B267" s="56"/>
      <c r="C267" s="56"/>
      <c r="D267" s="73"/>
      <c r="E267" s="77"/>
      <c r="F267" s="75"/>
      <c r="G267" s="76" t="s">
        <v>220</v>
      </c>
      <c r="H267" s="60" t="s">
        <v>16</v>
      </c>
      <c r="I267" s="48">
        <f ca="1">I265</f>
        <v>40</v>
      </c>
      <c r="J267" s="68">
        <v>0</v>
      </c>
      <c r="K267" s="49">
        <f t="shared" ca="1" si="60"/>
        <v>0</v>
      </c>
      <c r="L267" s="61"/>
      <c r="M267" s="61"/>
      <c r="N267" s="61"/>
    </row>
    <row r="268" spans="1:14" ht="21.75" hidden="1" customHeight="1" x14ac:dyDescent="0.4">
      <c r="A268" s="55"/>
      <c r="B268" s="56"/>
      <c r="C268" s="56"/>
      <c r="D268" s="73"/>
      <c r="E268" s="77"/>
      <c r="F268" s="75"/>
      <c r="G268" s="99" t="s">
        <v>122</v>
      </c>
      <c r="H268" s="60" t="s">
        <v>16</v>
      </c>
      <c r="I268" s="67">
        <f ca="1">IFERROR(__xludf.DUMMYFUNCTION("IMPORTRANGE(""https://docs.google.com/spreadsheets/d/1C3CXT74ZlgGe6_JY_1olB1XN4rF0dxEuIIF-xsYjHgg/edit?usp=sharing"",""งบกองทุน!m36"")"),0)</f>
        <v>0</v>
      </c>
      <c r="J268" s="67">
        <v>0</v>
      </c>
      <c r="K268" s="49">
        <f t="shared" ca="1" si="60"/>
        <v>0</v>
      </c>
      <c r="L268" s="61"/>
      <c r="M268" s="61"/>
      <c r="N268" s="61"/>
    </row>
    <row r="269" spans="1:14" ht="21.75" hidden="1" customHeight="1" x14ac:dyDescent="0.4">
      <c r="A269" s="55"/>
      <c r="B269" s="56"/>
      <c r="C269" s="56"/>
      <c r="D269" s="73"/>
      <c r="E269" s="77"/>
      <c r="F269" s="75"/>
      <c r="G269" s="76" t="s">
        <v>123</v>
      </c>
      <c r="H269" s="60"/>
      <c r="I269" s="67"/>
      <c r="J269" s="67"/>
      <c r="K269" s="49"/>
      <c r="L269" s="61"/>
      <c r="M269" s="61"/>
      <c r="N269" s="61"/>
    </row>
    <row r="270" spans="1:14" ht="21.75" customHeight="1" x14ac:dyDescent="0.4">
      <c r="A270" s="55"/>
      <c r="B270" s="56"/>
      <c r="C270" s="56"/>
      <c r="D270" s="73"/>
      <c r="E270" s="75"/>
      <c r="F270" s="74" t="s">
        <v>34</v>
      </c>
      <c r="G270" s="76"/>
      <c r="H270" s="66" t="s">
        <v>103</v>
      </c>
      <c r="I270" s="67">
        <f t="shared" ref="I270:J270" ca="1" si="61">SUM(I271:I272)</f>
        <v>70</v>
      </c>
      <c r="J270" s="67">
        <f t="shared" si="61"/>
        <v>0</v>
      </c>
      <c r="K270" s="49">
        <f t="shared" ref="K270:K272" ca="1" si="62">IF(I270&gt;0,J270*100/I270,0)</f>
        <v>0</v>
      </c>
      <c r="L270" s="61"/>
      <c r="M270" s="61"/>
      <c r="N270" s="61"/>
    </row>
    <row r="271" spans="1:14" ht="21.75" customHeight="1" x14ac:dyDescent="0.4">
      <c r="A271" s="55"/>
      <c r="B271" s="56"/>
      <c r="C271" s="56"/>
      <c r="D271" s="73"/>
      <c r="E271" s="75"/>
      <c r="F271" s="75"/>
      <c r="G271" s="76" t="s">
        <v>124</v>
      </c>
      <c r="H271" s="66" t="s">
        <v>103</v>
      </c>
      <c r="I271" s="67">
        <f ca="1">IFERROR(__xludf.DUMMYFUNCTION("IMPORTRANGE(""https://docs.google.com/spreadsheets/d/1C3CXT74ZlgGe6_JY_1olB1XN4rF0dxEuIIF-xsYjHgg/edit?usp=sharing"",""งบกองทุน!o36"")"),20)</f>
        <v>20</v>
      </c>
      <c r="J271" s="68">
        <v>0</v>
      </c>
      <c r="K271" s="49">
        <f t="shared" ca="1" si="62"/>
        <v>0</v>
      </c>
      <c r="L271" s="61"/>
      <c r="M271" s="61"/>
      <c r="N271" s="61"/>
    </row>
    <row r="272" spans="1:14" ht="21.75" customHeight="1" x14ac:dyDescent="0.4">
      <c r="A272" s="55"/>
      <c r="B272" s="56"/>
      <c r="C272" s="56"/>
      <c r="D272" s="73"/>
      <c r="E272" s="75"/>
      <c r="F272" s="75"/>
      <c r="G272" s="76" t="s">
        <v>125</v>
      </c>
      <c r="H272" s="66" t="s">
        <v>103</v>
      </c>
      <c r="I272" s="67">
        <f ca="1">IFERROR(__xludf.DUMMYFUNCTION("IMPORTRANGE(""https://docs.google.com/spreadsheets/d/1C3CXT74ZlgGe6_JY_1olB1XN4rF0dxEuIIF-xsYjHgg/edit?usp=sharing"",""งบกองทุน!p36"")"),50)</f>
        <v>50</v>
      </c>
      <c r="J272" s="68">
        <v>0</v>
      </c>
      <c r="K272" s="49">
        <f t="shared" ca="1" si="62"/>
        <v>0</v>
      </c>
      <c r="L272" s="61"/>
      <c r="M272" s="61"/>
      <c r="N272" s="61"/>
    </row>
    <row r="273" spans="1:14" ht="21.75" customHeight="1" x14ac:dyDescent="0.4">
      <c r="A273" s="55"/>
      <c r="B273" s="56"/>
      <c r="C273" s="56"/>
      <c r="D273" s="73"/>
      <c r="E273" s="74" t="s">
        <v>35</v>
      </c>
      <c r="F273" s="75"/>
      <c r="G273" s="76"/>
      <c r="H273" s="66"/>
      <c r="I273" s="67"/>
      <c r="J273" s="68">
        <v>0</v>
      </c>
      <c r="K273" s="49"/>
      <c r="L273" s="61"/>
      <c r="M273" s="61"/>
      <c r="N273" s="61"/>
    </row>
    <row r="274" spans="1:14" ht="21.75" customHeight="1" x14ac:dyDescent="0.4">
      <c r="A274" s="55"/>
      <c r="B274" s="56"/>
      <c r="C274" s="56"/>
      <c r="D274" s="81">
        <v>3</v>
      </c>
      <c r="E274" s="82" t="s">
        <v>36</v>
      </c>
      <c r="F274" s="83"/>
      <c r="G274" s="84"/>
      <c r="H274" s="66"/>
      <c r="I274" s="67"/>
      <c r="J274" s="85">
        <v>0</v>
      </c>
      <c r="K274" s="49"/>
      <c r="L274" s="61"/>
      <c r="M274" s="61"/>
      <c r="N274" s="61"/>
    </row>
    <row r="275" spans="1:14" ht="21.75" customHeight="1" x14ac:dyDescent="0.4">
      <c r="A275" s="222"/>
      <c r="B275" s="223">
        <v>2</v>
      </c>
      <c r="C275" s="224" t="s">
        <v>126</v>
      </c>
      <c r="D275" s="224"/>
      <c r="E275" s="234"/>
      <c r="F275" s="234"/>
      <c r="G275" s="235"/>
      <c r="H275" s="226" t="s">
        <v>103</v>
      </c>
      <c r="I275" s="227">
        <f ca="1">I292</f>
        <v>1000</v>
      </c>
      <c r="J275" s="227">
        <f>+J292</f>
        <v>0</v>
      </c>
      <c r="K275" s="228">
        <f t="shared" ref="K275:K276" ca="1" si="63">IF(I275&gt;0,J275*100/I275,0)</f>
        <v>0</v>
      </c>
      <c r="L275" s="229">
        <f t="shared" ref="L275:M275" ca="1" si="64">SUM(L277:L278)</f>
        <v>1028520</v>
      </c>
      <c r="M275" s="229">
        <f t="shared" si="64"/>
        <v>23580</v>
      </c>
      <c r="N275" s="229">
        <f ca="1">+IF(L275&gt;0,M275*100/L275,0)</f>
        <v>2.2926146307315367</v>
      </c>
    </row>
    <row r="276" spans="1:14" ht="21.75" customHeight="1" x14ac:dyDescent="0.4">
      <c r="A276" s="222"/>
      <c r="B276" s="223"/>
      <c r="C276" s="224"/>
      <c r="D276" s="236"/>
      <c r="E276" s="237"/>
      <c r="F276" s="237"/>
      <c r="G276" s="238"/>
      <c r="H276" s="226" t="s">
        <v>16</v>
      </c>
      <c r="I276" s="227">
        <f ca="1">I291</f>
        <v>100</v>
      </c>
      <c r="J276" s="227">
        <f>+J291</f>
        <v>0</v>
      </c>
      <c r="K276" s="228">
        <f t="shared" ca="1" si="63"/>
        <v>0</v>
      </c>
      <c r="L276" s="229"/>
      <c r="M276" s="229"/>
      <c r="N276" s="229"/>
    </row>
    <row r="277" spans="1:14" ht="21.75" customHeight="1" x14ac:dyDescent="0.4">
      <c r="A277" s="42"/>
      <c r="B277" s="43"/>
      <c r="C277" s="43" t="s">
        <v>17</v>
      </c>
      <c r="D277" s="44" t="s">
        <v>18</v>
      </c>
      <c r="E277" s="45"/>
      <c r="F277" s="45"/>
      <c r="G277" s="46" t="s">
        <v>19</v>
      </c>
      <c r="H277" s="47" t="s">
        <v>20</v>
      </c>
      <c r="I277" s="48" t="s">
        <v>21</v>
      </c>
      <c r="J277" s="48"/>
      <c r="K277" s="49"/>
      <c r="L277" s="50">
        <v>0</v>
      </c>
      <c r="M277" s="50">
        <v>0</v>
      </c>
      <c r="N277" s="50">
        <f t="shared" ref="N277:N280" si="65">+IF(L277&gt;0,M277*100/L277,0)</f>
        <v>0</v>
      </c>
    </row>
    <row r="278" spans="1:14" ht="21.75" customHeight="1" x14ac:dyDescent="0.4">
      <c r="A278" s="42"/>
      <c r="B278" s="43"/>
      <c r="C278" s="43"/>
      <c r="D278" s="51"/>
      <c r="E278" s="45"/>
      <c r="F278" s="45" t="s">
        <v>21</v>
      </c>
      <c r="G278" s="46" t="s">
        <v>22</v>
      </c>
      <c r="H278" s="47" t="s">
        <v>20</v>
      </c>
      <c r="I278" s="48"/>
      <c r="J278" s="48"/>
      <c r="K278" s="49"/>
      <c r="L278" s="50">
        <f t="shared" ref="L278:M278" ca="1" si="66">SUM(L279:L280)</f>
        <v>1028520</v>
      </c>
      <c r="M278" s="50">
        <f t="shared" si="66"/>
        <v>23580</v>
      </c>
      <c r="N278" s="50">
        <f t="shared" ca="1" si="65"/>
        <v>2.2926146307315367</v>
      </c>
    </row>
    <row r="279" spans="1:14" ht="21.75" customHeight="1" x14ac:dyDescent="0.4">
      <c r="A279" s="42"/>
      <c r="B279" s="43"/>
      <c r="C279" s="43"/>
      <c r="D279" s="51"/>
      <c r="E279" s="45"/>
      <c r="F279" s="45"/>
      <c r="G279" s="52" t="s">
        <v>110</v>
      </c>
      <c r="H279" s="47" t="s">
        <v>20</v>
      </c>
      <c r="I279" s="48"/>
      <c r="J279" s="48"/>
      <c r="K279" s="49"/>
      <c r="L279" s="53">
        <f ca="1">IFERROR(__xludf.DUMMYFUNCTION("IMPORTRANGE(""https://docs.google.com/spreadsheets/d/1C3CXT74ZlgGe6_JY_1olB1XN4rF0dxEuIIF-xsYjHgg/edit?usp=sharing"",""งบกองทุน!r36"")"),0)</f>
        <v>0</v>
      </c>
      <c r="M279" s="53">
        <v>0</v>
      </c>
      <c r="N279" s="53">
        <f t="shared" ca="1" si="65"/>
        <v>0</v>
      </c>
    </row>
    <row r="280" spans="1:14" ht="21.75" customHeight="1" x14ac:dyDescent="0.4">
      <c r="A280" s="42"/>
      <c r="B280" s="43"/>
      <c r="C280" s="43"/>
      <c r="D280" s="51"/>
      <c r="E280" s="45"/>
      <c r="F280" s="45"/>
      <c r="G280" s="52" t="s">
        <v>111</v>
      </c>
      <c r="H280" s="47" t="s">
        <v>20</v>
      </c>
      <c r="I280" s="48"/>
      <c r="J280" s="48"/>
      <c r="K280" s="49"/>
      <c r="L280" s="53">
        <f ca="1">IFERROR(__xludf.DUMMYFUNCTION("IMPORTRANGE(""https://docs.google.com/spreadsheets/d/1C3CXT74ZlgGe6_JY_1olB1XN4rF0dxEuIIF-xsYjHgg/edit?usp=sharing"",""งบกองทุน!s36"")"),1028520)</f>
        <v>1028520</v>
      </c>
      <c r="M280" s="53">
        <f>SUM(M281:M284)</f>
        <v>23580</v>
      </c>
      <c r="N280" s="53">
        <f t="shared" ca="1" si="65"/>
        <v>2.2926146307315367</v>
      </c>
    </row>
    <row r="281" spans="1:14" ht="21.75" customHeight="1" x14ac:dyDescent="0.4">
      <c r="A281" s="230"/>
      <c r="B281" s="231"/>
      <c r="C281" s="43"/>
      <c r="D281" s="232"/>
      <c r="E281" s="45"/>
      <c r="F281" s="45"/>
      <c r="G281" s="46" t="s">
        <v>112</v>
      </c>
      <c r="H281" s="47" t="s">
        <v>20</v>
      </c>
      <c r="I281" s="67"/>
      <c r="J281" s="67"/>
      <c r="K281" s="233"/>
      <c r="L281" s="53"/>
      <c r="M281" s="54">
        <v>0</v>
      </c>
      <c r="N281" s="53"/>
    </row>
    <row r="282" spans="1:14" ht="21.75" customHeight="1" x14ac:dyDescent="0.4">
      <c r="A282" s="230"/>
      <c r="B282" s="231"/>
      <c r="C282" s="43"/>
      <c r="D282" s="232"/>
      <c r="E282" s="45"/>
      <c r="F282" s="45"/>
      <c r="G282" s="46" t="s">
        <v>113</v>
      </c>
      <c r="H282" s="47" t="s">
        <v>20</v>
      </c>
      <c r="I282" s="67"/>
      <c r="J282" s="67"/>
      <c r="K282" s="233"/>
      <c r="L282" s="53"/>
      <c r="M282" s="54">
        <v>0</v>
      </c>
      <c r="N282" s="53"/>
    </row>
    <row r="283" spans="1:14" ht="21.75" customHeight="1" x14ac:dyDescent="0.4">
      <c r="A283" s="230"/>
      <c r="B283" s="231"/>
      <c r="C283" s="43"/>
      <c r="D283" s="232"/>
      <c r="E283" s="45"/>
      <c r="F283" s="45"/>
      <c r="G283" s="46" t="s">
        <v>114</v>
      </c>
      <c r="H283" s="47" t="s">
        <v>20</v>
      </c>
      <c r="I283" s="67"/>
      <c r="J283" s="67"/>
      <c r="K283" s="233"/>
      <c r="L283" s="53"/>
      <c r="M283" s="54">
        <v>9580</v>
      </c>
      <c r="N283" s="53"/>
    </row>
    <row r="284" spans="1:14" ht="21.75" customHeight="1" x14ac:dyDescent="0.4">
      <c r="A284" s="230"/>
      <c r="B284" s="231"/>
      <c r="C284" s="43"/>
      <c r="D284" s="232"/>
      <c r="E284" s="45"/>
      <c r="F284" s="45"/>
      <c r="G284" s="46" t="s">
        <v>115</v>
      </c>
      <c r="H284" s="47" t="s">
        <v>20</v>
      </c>
      <c r="I284" s="67"/>
      <c r="J284" s="67"/>
      <c r="K284" s="233"/>
      <c r="L284" s="53"/>
      <c r="M284" s="54">
        <v>14000</v>
      </c>
      <c r="N284" s="53"/>
    </row>
    <row r="285" spans="1:14" ht="21.75" customHeight="1" x14ac:dyDescent="0.4">
      <c r="A285" s="55"/>
      <c r="B285" s="56"/>
      <c r="C285" s="43" t="s">
        <v>17</v>
      </c>
      <c r="D285" s="57" t="s">
        <v>25</v>
      </c>
      <c r="E285" s="58"/>
      <c r="F285" s="58"/>
      <c r="G285" s="59"/>
      <c r="H285" s="60"/>
      <c r="I285" s="48"/>
      <c r="J285" s="48"/>
      <c r="K285" s="49"/>
      <c r="L285" s="61"/>
      <c r="M285" s="61"/>
      <c r="N285" s="61"/>
    </row>
    <row r="286" spans="1:14" ht="21.75" customHeight="1" x14ac:dyDescent="0.4">
      <c r="A286" s="55"/>
      <c r="B286" s="56"/>
      <c r="C286" s="56"/>
      <c r="D286" s="62">
        <v>1</v>
      </c>
      <c r="E286" s="63" t="s">
        <v>26</v>
      </c>
      <c r="F286" s="64"/>
      <c r="G286" s="65"/>
      <c r="H286" s="66"/>
      <c r="I286" s="67"/>
      <c r="J286" s="68">
        <v>0</v>
      </c>
      <c r="K286" s="49"/>
      <c r="L286" s="61"/>
      <c r="M286" s="61"/>
      <c r="N286" s="61"/>
    </row>
    <row r="287" spans="1:14" ht="21.75" customHeight="1" x14ac:dyDescent="0.4">
      <c r="A287" s="55"/>
      <c r="B287" s="56"/>
      <c r="C287" s="56"/>
      <c r="D287" s="69">
        <v>2</v>
      </c>
      <c r="E287" s="70" t="s">
        <v>27</v>
      </c>
      <c r="F287" s="71"/>
      <c r="G287" s="72"/>
      <c r="H287" s="66"/>
      <c r="I287" s="67"/>
      <c r="J287" s="68">
        <v>1</v>
      </c>
      <c r="K287" s="49"/>
      <c r="L287" s="61" t="s">
        <v>21</v>
      </c>
      <c r="M287" s="61" t="s">
        <v>21</v>
      </c>
      <c r="N287" s="61"/>
    </row>
    <row r="288" spans="1:14" ht="21.75" customHeight="1" x14ac:dyDescent="0.4">
      <c r="A288" s="55"/>
      <c r="B288" s="56"/>
      <c r="C288" s="56"/>
      <c r="D288" s="73"/>
      <c r="E288" s="74" t="s">
        <v>28</v>
      </c>
      <c r="F288" s="75"/>
      <c r="G288" s="76"/>
      <c r="H288" s="66"/>
      <c r="I288" s="67"/>
      <c r="J288" s="68">
        <v>0</v>
      </c>
      <c r="K288" s="49"/>
      <c r="L288" s="61"/>
      <c r="M288" s="61"/>
      <c r="N288" s="61"/>
    </row>
    <row r="289" spans="1:14" ht="21.75" customHeight="1" x14ac:dyDescent="0.4">
      <c r="A289" s="55"/>
      <c r="B289" s="56"/>
      <c r="C289" s="56"/>
      <c r="D289" s="73"/>
      <c r="E289" s="74" t="s">
        <v>29</v>
      </c>
      <c r="F289" s="75"/>
      <c r="G289" s="76"/>
      <c r="H289" s="66"/>
      <c r="I289" s="67"/>
      <c r="J289" s="68">
        <v>0</v>
      </c>
      <c r="K289" s="49"/>
      <c r="L289" s="61"/>
      <c r="M289" s="61"/>
      <c r="N289" s="61"/>
    </row>
    <row r="290" spans="1:14" ht="21.75" customHeight="1" x14ac:dyDescent="0.4">
      <c r="A290" s="55"/>
      <c r="B290" s="56"/>
      <c r="C290" s="56"/>
      <c r="D290" s="73"/>
      <c r="E290" s="77"/>
      <c r="F290" s="74" t="s">
        <v>127</v>
      </c>
      <c r="G290" s="75"/>
      <c r="H290" s="66"/>
      <c r="I290" s="67"/>
      <c r="J290" s="67"/>
      <c r="K290" s="49"/>
      <c r="L290" s="61"/>
      <c r="M290" s="61"/>
      <c r="N290" s="61"/>
    </row>
    <row r="291" spans="1:14" ht="21.75" customHeight="1" x14ac:dyDescent="0.4">
      <c r="A291" s="55"/>
      <c r="B291" s="56"/>
      <c r="C291" s="56"/>
      <c r="D291" s="73"/>
      <c r="E291" s="77"/>
      <c r="F291" s="75"/>
      <c r="G291" s="99" t="s">
        <v>50</v>
      </c>
      <c r="H291" s="66" t="s">
        <v>16</v>
      </c>
      <c r="I291" s="67">
        <f ca="1">IFERROR(__xludf.DUMMYFUNCTION("IMPORTRANGE(""https://docs.google.com/spreadsheets/d/1C3CXT74ZlgGe6_JY_1olB1XN4rF0dxEuIIF-xsYjHgg/edit?usp=sharing"",""งบกองทุน!v36"")"),100)</f>
        <v>100</v>
      </c>
      <c r="J291" s="68">
        <v>0</v>
      </c>
      <c r="K291" s="49">
        <f t="shared" ref="K291:K293" ca="1" si="67">IF(I291&gt;0,J291*100/I291,0)</f>
        <v>0</v>
      </c>
      <c r="L291" s="61"/>
      <c r="M291" s="61"/>
      <c r="N291" s="61"/>
    </row>
    <row r="292" spans="1:14" ht="21.75" customHeight="1" x14ac:dyDescent="0.4">
      <c r="A292" s="55"/>
      <c r="B292" s="56"/>
      <c r="C292" s="56"/>
      <c r="D292" s="73"/>
      <c r="E292" s="77"/>
      <c r="F292" s="75"/>
      <c r="G292" s="76" t="s">
        <v>34</v>
      </c>
      <c r="H292" s="66" t="s">
        <v>103</v>
      </c>
      <c r="I292" s="67">
        <f ca="1">IFERROR(__xludf.DUMMYFUNCTION("IMPORTRANGE(""https://docs.google.com/spreadsheets/d/1C3CXT74ZlgGe6_JY_1olB1XN4rF0dxEuIIF-xsYjHgg/edit?usp=sharing"",""งบกองทุน!w36"")"),1000)</f>
        <v>1000</v>
      </c>
      <c r="J292" s="68">
        <v>0</v>
      </c>
      <c r="K292" s="49">
        <f t="shared" ca="1" si="67"/>
        <v>0</v>
      </c>
      <c r="L292" s="61"/>
      <c r="M292" s="61"/>
      <c r="N292" s="61"/>
    </row>
    <row r="293" spans="1:14" ht="21.75" customHeight="1" x14ac:dyDescent="0.4">
      <c r="A293" s="55"/>
      <c r="B293" s="56"/>
      <c r="C293" s="56"/>
      <c r="D293" s="73"/>
      <c r="E293" s="77"/>
      <c r="F293" s="75"/>
      <c r="G293" s="76"/>
      <c r="H293" s="66" t="s">
        <v>16</v>
      </c>
      <c r="I293" s="67">
        <f ca="1">IFERROR(__xludf.DUMMYFUNCTION("IMPORTRANGE(""https://docs.google.com/spreadsheets/d/1C3CXT74ZlgGe6_JY_1olB1XN4rF0dxEuIIF-xsYjHgg/edit?usp=sharing"",""งบกองทุน!x36"")"),100)</f>
        <v>100</v>
      </c>
      <c r="J293" s="68">
        <v>0</v>
      </c>
      <c r="K293" s="49">
        <f t="shared" ca="1" si="67"/>
        <v>0</v>
      </c>
      <c r="L293" s="61"/>
      <c r="M293" s="61"/>
      <c r="N293" s="61"/>
    </row>
    <row r="294" spans="1:14" ht="21.75" customHeight="1" x14ac:dyDescent="0.4">
      <c r="A294" s="55"/>
      <c r="B294" s="56"/>
      <c r="C294" s="56"/>
      <c r="D294" s="73"/>
      <c r="E294" s="74" t="s">
        <v>35</v>
      </c>
      <c r="F294" s="75"/>
      <c r="G294" s="76"/>
      <c r="H294" s="66"/>
      <c r="I294" s="67"/>
      <c r="J294" s="68">
        <v>0</v>
      </c>
      <c r="K294" s="49"/>
      <c r="L294" s="61"/>
      <c r="M294" s="61"/>
      <c r="N294" s="61"/>
    </row>
    <row r="295" spans="1:14" ht="21.75" customHeight="1" x14ac:dyDescent="0.4">
      <c r="A295" s="55"/>
      <c r="B295" s="56"/>
      <c r="C295" s="56"/>
      <c r="D295" s="81">
        <v>3</v>
      </c>
      <c r="E295" s="82" t="s">
        <v>36</v>
      </c>
      <c r="F295" s="83"/>
      <c r="G295" s="84"/>
      <c r="H295" s="66"/>
      <c r="I295" s="67"/>
      <c r="J295" s="85">
        <v>0</v>
      </c>
      <c r="K295" s="49"/>
      <c r="L295" s="61"/>
      <c r="M295" s="61"/>
      <c r="N295" s="61"/>
    </row>
    <row r="296" spans="1:14" ht="21.75" customHeight="1" x14ac:dyDescent="0.4">
      <c r="A296" s="222"/>
      <c r="B296" s="223">
        <v>3</v>
      </c>
      <c r="C296" s="223" t="s">
        <v>128</v>
      </c>
      <c r="D296" s="224"/>
      <c r="E296" s="224"/>
      <c r="F296" s="224"/>
      <c r="G296" s="225"/>
      <c r="H296" s="226" t="s">
        <v>103</v>
      </c>
      <c r="I296" s="227">
        <f ca="1">SUM(I313,I317,I322)</f>
        <v>150</v>
      </c>
      <c r="J296" s="227">
        <f>J313+J317+J322</f>
        <v>0</v>
      </c>
      <c r="K296" s="228">
        <f t="shared" ref="K296:K297" ca="1" si="68">IF(I296&gt;0,J296*100/I296,0)</f>
        <v>0</v>
      </c>
      <c r="L296" s="229">
        <f t="shared" ref="L296:M296" ca="1" si="69">SUM(L298:L299)</f>
        <v>177900</v>
      </c>
      <c r="M296" s="229">
        <f t="shared" si="69"/>
        <v>0</v>
      </c>
      <c r="N296" s="229">
        <f ca="1">+IF(L296&gt;0,M296*100/L296,0)</f>
        <v>0</v>
      </c>
    </row>
    <row r="297" spans="1:14" ht="21.75" customHeight="1" x14ac:dyDescent="0.4">
      <c r="A297" s="222"/>
      <c r="B297" s="223"/>
      <c r="C297" s="223"/>
      <c r="D297" s="236"/>
      <c r="E297" s="236"/>
      <c r="F297" s="236"/>
      <c r="G297" s="239"/>
      <c r="H297" s="226" t="s">
        <v>16</v>
      </c>
      <c r="I297" s="227">
        <f ca="1">SUM(I312,I316,I321)</f>
        <v>50</v>
      </c>
      <c r="J297" s="227">
        <f ca="1">J311</f>
        <v>0</v>
      </c>
      <c r="K297" s="228">
        <f t="shared" ca="1" si="68"/>
        <v>0</v>
      </c>
      <c r="L297" s="229"/>
      <c r="M297" s="229"/>
      <c r="N297" s="229"/>
    </row>
    <row r="298" spans="1:14" ht="21.75" customHeight="1" x14ac:dyDescent="0.4">
      <c r="A298" s="42"/>
      <c r="B298" s="43"/>
      <c r="C298" s="43" t="s">
        <v>17</v>
      </c>
      <c r="D298" s="44" t="s">
        <v>18</v>
      </c>
      <c r="E298" s="45"/>
      <c r="F298" s="45"/>
      <c r="G298" s="46" t="s">
        <v>19</v>
      </c>
      <c r="H298" s="47" t="s">
        <v>20</v>
      </c>
      <c r="I298" s="48" t="s">
        <v>21</v>
      </c>
      <c r="J298" s="48"/>
      <c r="K298" s="49"/>
      <c r="L298" s="50">
        <v>0</v>
      </c>
      <c r="M298" s="53">
        <v>0</v>
      </c>
      <c r="N298" s="53">
        <f t="shared" ref="N298:N301" si="70">+IF(L298&gt;0,M298*100/L298,0)</f>
        <v>0</v>
      </c>
    </row>
    <row r="299" spans="1:14" ht="21.75" customHeight="1" x14ac:dyDescent="0.4">
      <c r="A299" s="42"/>
      <c r="B299" s="43"/>
      <c r="C299" s="43"/>
      <c r="D299" s="51"/>
      <c r="E299" s="45"/>
      <c r="F299" s="45" t="s">
        <v>21</v>
      </c>
      <c r="G299" s="46" t="s">
        <v>22</v>
      </c>
      <c r="H299" s="47" t="s">
        <v>20</v>
      </c>
      <c r="I299" s="48"/>
      <c r="J299" s="48"/>
      <c r="K299" s="49"/>
      <c r="L299" s="50">
        <f t="shared" ref="L299:M299" ca="1" si="71">SUM(L300:L301)</f>
        <v>177900</v>
      </c>
      <c r="M299" s="53">
        <f t="shared" si="71"/>
        <v>0</v>
      </c>
      <c r="N299" s="53">
        <f t="shared" ca="1" si="70"/>
        <v>0</v>
      </c>
    </row>
    <row r="300" spans="1:14" ht="21.75" customHeight="1" x14ac:dyDescent="0.4">
      <c r="A300" s="42"/>
      <c r="B300" s="43"/>
      <c r="C300" s="43"/>
      <c r="D300" s="51"/>
      <c r="E300" s="45"/>
      <c r="F300" s="45"/>
      <c r="G300" s="52" t="s">
        <v>110</v>
      </c>
      <c r="H300" s="47" t="s">
        <v>20</v>
      </c>
      <c r="I300" s="48"/>
      <c r="J300" s="48"/>
      <c r="K300" s="49"/>
      <c r="L300" s="53">
        <f ca="1">IFERROR(__xludf.DUMMYFUNCTION("IMPORTRANGE(""https://docs.google.com/spreadsheets/d/1C3CXT74ZlgGe6_JY_1olB1XN4rF0dxEuIIF-xsYjHgg/edit?usp=sharing"",""งบกองทุน!z36"")"),0)</f>
        <v>0</v>
      </c>
      <c r="M300" s="53">
        <v>0</v>
      </c>
      <c r="N300" s="53">
        <f t="shared" ca="1" si="70"/>
        <v>0</v>
      </c>
    </row>
    <row r="301" spans="1:14" ht="21.75" customHeight="1" x14ac:dyDescent="0.4">
      <c r="A301" s="42"/>
      <c r="B301" s="43"/>
      <c r="C301" s="43"/>
      <c r="D301" s="51"/>
      <c r="E301" s="45"/>
      <c r="F301" s="45"/>
      <c r="G301" s="52" t="s">
        <v>111</v>
      </c>
      <c r="H301" s="47" t="s">
        <v>20</v>
      </c>
      <c r="I301" s="48"/>
      <c r="J301" s="48"/>
      <c r="K301" s="49"/>
      <c r="L301" s="53">
        <f ca="1">IFERROR(__xludf.DUMMYFUNCTION("IMPORTRANGE(""https://docs.google.com/spreadsheets/d/1C3CXT74ZlgGe6_JY_1olB1XN4rF0dxEuIIF-xsYjHgg/edit?usp=sharing"",""งบกองทุน!aa36"")"),177900)</f>
        <v>177900</v>
      </c>
      <c r="M301" s="53">
        <f>SUM(M302:M305)</f>
        <v>0</v>
      </c>
      <c r="N301" s="53">
        <f t="shared" ca="1" si="70"/>
        <v>0</v>
      </c>
    </row>
    <row r="302" spans="1:14" ht="21.75" customHeight="1" x14ac:dyDescent="0.4">
      <c r="A302" s="230"/>
      <c r="B302" s="231"/>
      <c r="C302" s="43"/>
      <c r="D302" s="232"/>
      <c r="E302" s="45"/>
      <c r="F302" s="45"/>
      <c r="G302" s="46" t="s">
        <v>112</v>
      </c>
      <c r="H302" s="47" t="s">
        <v>20</v>
      </c>
      <c r="I302" s="67"/>
      <c r="J302" s="67"/>
      <c r="K302" s="233"/>
      <c r="L302" s="53"/>
      <c r="M302" s="54">
        <v>0</v>
      </c>
      <c r="N302" s="53"/>
    </row>
    <row r="303" spans="1:14" ht="21.75" customHeight="1" x14ac:dyDescent="0.4">
      <c r="A303" s="230"/>
      <c r="B303" s="231"/>
      <c r="C303" s="43"/>
      <c r="D303" s="232"/>
      <c r="E303" s="45"/>
      <c r="F303" s="45"/>
      <c r="G303" s="46" t="s">
        <v>113</v>
      </c>
      <c r="H303" s="47" t="s">
        <v>20</v>
      </c>
      <c r="I303" s="67"/>
      <c r="J303" s="67"/>
      <c r="K303" s="233"/>
      <c r="L303" s="53"/>
      <c r="M303" s="54">
        <v>0</v>
      </c>
      <c r="N303" s="53"/>
    </row>
    <row r="304" spans="1:14" ht="21.75" customHeight="1" x14ac:dyDescent="0.4">
      <c r="A304" s="230"/>
      <c r="B304" s="231"/>
      <c r="C304" s="43"/>
      <c r="D304" s="232"/>
      <c r="E304" s="45"/>
      <c r="F304" s="45"/>
      <c r="G304" s="46" t="s">
        <v>114</v>
      </c>
      <c r="H304" s="47" t="s">
        <v>20</v>
      </c>
      <c r="I304" s="67"/>
      <c r="J304" s="67"/>
      <c r="K304" s="233"/>
      <c r="L304" s="53"/>
      <c r="M304" s="54">
        <v>0</v>
      </c>
      <c r="N304" s="53"/>
    </row>
    <row r="305" spans="1:14" ht="21.75" customHeight="1" x14ac:dyDescent="0.4">
      <c r="A305" s="230"/>
      <c r="B305" s="231"/>
      <c r="C305" s="43"/>
      <c r="D305" s="232"/>
      <c r="E305" s="45"/>
      <c r="F305" s="45"/>
      <c r="G305" s="46" t="s">
        <v>115</v>
      </c>
      <c r="H305" s="47" t="s">
        <v>20</v>
      </c>
      <c r="I305" s="67"/>
      <c r="J305" s="67"/>
      <c r="K305" s="233"/>
      <c r="L305" s="53"/>
      <c r="M305" s="54">
        <v>0</v>
      </c>
      <c r="N305" s="53"/>
    </row>
    <row r="306" spans="1:14" ht="21.75" customHeight="1" x14ac:dyDescent="0.4">
      <c r="A306" s="55"/>
      <c r="B306" s="56"/>
      <c r="C306" s="43" t="s">
        <v>17</v>
      </c>
      <c r="D306" s="57" t="s">
        <v>25</v>
      </c>
      <c r="E306" s="58"/>
      <c r="F306" s="58"/>
      <c r="G306" s="59"/>
      <c r="H306" s="60"/>
      <c r="I306" s="48"/>
      <c r="J306" s="48"/>
      <c r="K306" s="49"/>
      <c r="L306" s="61"/>
      <c r="M306" s="61"/>
      <c r="N306" s="61"/>
    </row>
    <row r="307" spans="1:14" ht="21.75" customHeight="1" x14ac:dyDescent="0.4">
      <c r="A307" s="55"/>
      <c r="B307" s="56"/>
      <c r="C307" s="56"/>
      <c r="D307" s="62">
        <v>1</v>
      </c>
      <c r="E307" s="63" t="s">
        <v>26</v>
      </c>
      <c r="F307" s="64"/>
      <c r="G307" s="65"/>
      <c r="H307" s="66"/>
      <c r="I307" s="67"/>
      <c r="J307" s="68">
        <v>0</v>
      </c>
      <c r="K307" s="49"/>
      <c r="L307" s="61"/>
      <c r="M307" s="61"/>
      <c r="N307" s="61"/>
    </row>
    <row r="308" spans="1:14" ht="21.75" customHeight="1" x14ac:dyDescent="0.4">
      <c r="A308" s="55"/>
      <c r="B308" s="56"/>
      <c r="C308" s="56"/>
      <c r="D308" s="69">
        <v>2</v>
      </c>
      <c r="E308" s="70" t="s">
        <v>27</v>
      </c>
      <c r="F308" s="71"/>
      <c r="G308" s="72"/>
      <c r="H308" s="66"/>
      <c r="I308" s="67"/>
      <c r="J308" s="68">
        <v>1</v>
      </c>
      <c r="K308" s="49"/>
      <c r="L308" s="61" t="s">
        <v>21</v>
      </c>
      <c r="M308" s="61" t="s">
        <v>21</v>
      </c>
      <c r="N308" s="61"/>
    </row>
    <row r="309" spans="1:14" ht="21.75" customHeight="1" x14ac:dyDescent="0.4">
      <c r="A309" s="55"/>
      <c r="B309" s="56"/>
      <c r="C309" s="56"/>
      <c r="D309" s="73"/>
      <c r="E309" s="74" t="s">
        <v>28</v>
      </c>
      <c r="F309" s="75"/>
      <c r="G309" s="76"/>
      <c r="H309" s="66"/>
      <c r="I309" s="67"/>
      <c r="J309" s="68">
        <v>0</v>
      </c>
      <c r="K309" s="49"/>
      <c r="L309" s="61"/>
      <c r="M309" s="61"/>
      <c r="N309" s="61"/>
    </row>
    <row r="310" spans="1:14" ht="21.75" customHeight="1" x14ac:dyDescent="0.4">
      <c r="A310" s="55"/>
      <c r="B310" s="56"/>
      <c r="C310" s="56"/>
      <c r="D310" s="73"/>
      <c r="E310" s="74" t="s">
        <v>29</v>
      </c>
      <c r="F310" s="75"/>
      <c r="G310" s="76"/>
      <c r="H310" s="66"/>
      <c r="I310" s="67"/>
      <c r="J310" s="68">
        <v>0</v>
      </c>
      <c r="K310" s="49"/>
      <c r="L310" s="61"/>
      <c r="M310" s="61"/>
      <c r="N310" s="61"/>
    </row>
    <row r="311" spans="1:14" ht="21.75" customHeight="1" x14ac:dyDescent="0.4">
      <c r="A311" s="55"/>
      <c r="B311" s="56"/>
      <c r="C311" s="56"/>
      <c r="D311" s="73"/>
      <c r="E311" s="77"/>
      <c r="F311" s="74" t="s">
        <v>50</v>
      </c>
      <c r="G311" s="240"/>
      <c r="H311" s="241" t="s">
        <v>16</v>
      </c>
      <c r="I311" s="79">
        <f t="shared" ref="I311:J311" ca="1" si="72">+I312+I316+I321</f>
        <v>50</v>
      </c>
      <c r="J311" s="79">
        <f t="shared" ca="1" si="72"/>
        <v>0</v>
      </c>
      <c r="K311" s="80">
        <f t="shared" ref="K311:K327" ca="1" si="73">IF(I311&gt;0,J311*100/I311,0)</f>
        <v>0</v>
      </c>
      <c r="L311" s="61"/>
      <c r="M311" s="61"/>
      <c r="N311" s="61"/>
    </row>
    <row r="312" spans="1:14" ht="21.75" customHeight="1" x14ac:dyDescent="0.4">
      <c r="A312" s="55"/>
      <c r="B312" s="56"/>
      <c r="C312" s="56"/>
      <c r="D312" s="73"/>
      <c r="E312" s="77"/>
      <c r="F312" s="242" t="s">
        <v>129</v>
      </c>
      <c r="G312" s="76"/>
      <c r="H312" s="78" t="s">
        <v>16</v>
      </c>
      <c r="I312" s="243">
        <f ca="1">IFERROR(__xludf.DUMMYFUNCTION("IMPORTRANGE(""https://docs.google.com/spreadsheets/d/1C3CXT74ZlgGe6_JY_1olB1XN4rF0dxEuIIF-xsYjHgg/edit?usp=sharing"",""งบกองทุน!ae36"")"),20)</f>
        <v>20</v>
      </c>
      <c r="J312" s="79">
        <f ca="1">IF(AND(J314=I314,J315=I315),I314,0)</f>
        <v>0</v>
      </c>
      <c r="K312" s="80">
        <f t="shared" ca="1" si="73"/>
        <v>0</v>
      </c>
      <c r="L312" s="61"/>
      <c r="M312" s="61"/>
      <c r="N312" s="61"/>
    </row>
    <row r="313" spans="1:14" ht="21.75" customHeight="1" x14ac:dyDescent="0.4">
      <c r="A313" s="55"/>
      <c r="B313" s="56"/>
      <c r="C313" s="56"/>
      <c r="D313" s="73"/>
      <c r="E313" s="77"/>
      <c r="F313" s="75"/>
      <c r="G313" s="76"/>
      <c r="H313" s="78" t="s">
        <v>103</v>
      </c>
      <c r="I313" s="243">
        <f ca="1">IFERROR(__xludf.DUMMYFUNCTION("IMPORTRANGE(""https://docs.google.com/spreadsheets/d/1C3CXT74ZlgGe6_JY_1olB1XN4rF0dxEuIIF-xsYjHgg/edit?usp=sharing"",""งบกองทุน!ad36"")"),60)</f>
        <v>60</v>
      </c>
      <c r="J313" s="154">
        <v>0</v>
      </c>
      <c r="K313" s="80">
        <f t="shared" ca="1" si="73"/>
        <v>0</v>
      </c>
      <c r="L313" s="61"/>
      <c r="M313" s="61"/>
      <c r="N313" s="61"/>
    </row>
    <row r="314" spans="1:14" ht="21.75" customHeight="1" x14ac:dyDescent="0.4">
      <c r="A314" s="55"/>
      <c r="B314" s="56"/>
      <c r="C314" s="56"/>
      <c r="D314" s="73"/>
      <c r="E314" s="77"/>
      <c r="F314" s="75"/>
      <c r="G314" s="99" t="s">
        <v>130</v>
      </c>
      <c r="H314" s="60" t="s">
        <v>16</v>
      </c>
      <c r="I314" s="200">
        <f ca="1">IFERROR(__xludf.DUMMYFUNCTION("IMPORTRANGE(""https://docs.google.com/spreadsheets/d/1C3CXT74ZlgGe6_JY_1olB1XN4rF0dxEuIIF-xsYjHgg/edit?usp=sharing"",""งบกองทุน!af36"")"),20)</f>
        <v>20</v>
      </c>
      <c r="J314" s="68">
        <v>0</v>
      </c>
      <c r="K314" s="49">
        <f t="shared" ca="1" si="73"/>
        <v>0</v>
      </c>
      <c r="L314" s="61"/>
      <c r="M314" s="61"/>
      <c r="N314" s="61"/>
    </row>
    <row r="315" spans="1:14" ht="21.75" customHeight="1" x14ac:dyDescent="0.4">
      <c r="A315" s="105"/>
      <c r="B315" s="106"/>
      <c r="C315" s="106"/>
      <c r="D315" s="244"/>
      <c r="E315" s="245"/>
      <c r="F315" s="204"/>
      <c r="G315" s="246" t="s">
        <v>131</v>
      </c>
      <c r="H315" s="206" t="s">
        <v>16</v>
      </c>
      <c r="I315" s="207">
        <f ca="1">IFERROR(__xludf.DUMMYFUNCTION("IMPORTRANGE(""https://docs.google.com/spreadsheets/d/1C3CXT74ZlgGe6_JY_1olB1XN4rF0dxEuIIF-xsYjHgg/edit?usp=sharing"",""งบกองทุน!ag36"")"),20)</f>
        <v>20</v>
      </c>
      <c r="J315" s="247">
        <v>0</v>
      </c>
      <c r="K315" s="114">
        <f t="shared" ca="1" si="73"/>
        <v>0</v>
      </c>
      <c r="L315" s="115"/>
      <c r="M315" s="115"/>
      <c r="N315" s="115"/>
    </row>
    <row r="316" spans="1:14" ht="21.75" customHeight="1" x14ac:dyDescent="0.4">
      <c r="A316" s="55"/>
      <c r="B316" s="56"/>
      <c r="C316" s="56"/>
      <c r="D316" s="73"/>
      <c r="E316" s="77"/>
      <c r="F316" s="242" t="s">
        <v>132</v>
      </c>
      <c r="G316" s="76"/>
      <c r="H316" s="78" t="s">
        <v>16</v>
      </c>
      <c r="I316" s="243">
        <f ca="1">IFERROR(__xludf.DUMMYFUNCTION("IMPORTRANGE(""https://docs.google.com/spreadsheets/d/1C3CXT74ZlgGe6_JY_1olB1XN4rF0dxEuIIF-xsYjHgg/edit?usp=sharing"",""งบกองทุน!ai36"")"),20)</f>
        <v>20</v>
      </c>
      <c r="J316" s="79">
        <f ca="1">IF(AND(J318=I318,J319=I319,J320=I320),I318,0)</f>
        <v>0</v>
      </c>
      <c r="K316" s="80">
        <f t="shared" ca="1" si="73"/>
        <v>0</v>
      </c>
      <c r="L316" s="61"/>
      <c r="M316" s="61"/>
      <c r="N316" s="61"/>
    </row>
    <row r="317" spans="1:14" ht="21.75" customHeight="1" x14ac:dyDescent="0.4">
      <c r="A317" s="55"/>
      <c r="B317" s="56"/>
      <c r="C317" s="56"/>
      <c r="D317" s="73"/>
      <c r="E317" s="77"/>
      <c r="F317" s="75"/>
      <c r="G317" s="76"/>
      <c r="H317" s="78" t="s">
        <v>103</v>
      </c>
      <c r="I317" s="243">
        <f ca="1">IFERROR(__xludf.DUMMYFUNCTION("IMPORTRANGE(""https://docs.google.com/spreadsheets/d/1C3CXT74ZlgGe6_JY_1olB1XN4rF0dxEuIIF-xsYjHgg/edit?usp=sharing"",""งบกองทุน!ah36"")"),60)</f>
        <v>60</v>
      </c>
      <c r="J317" s="154">
        <v>0</v>
      </c>
      <c r="K317" s="80">
        <f t="shared" ca="1" si="73"/>
        <v>0</v>
      </c>
      <c r="L317" s="61"/>
      <c r="M317" s="61"/>
      <c r="N317" s="61"/>
    </row>
    <row r="318" spans="1:14" ht="21.75" customHeight="1" x14ac:dyDescent="0.4">
      <c r="A318" s="55"/>
      <c r="B318" s="56"/>
      <c r="C318" s="56"/>
      <c r="D318" s="73"/>
      <c r="E318" s="77"/>
      <c r="F318" s="75"/>
      <c r="G318" s="99" t="s">
        <v>133</v>
      </c>
      <c r="H318" s="60" t="s">
        <v>16</v>
      </c>
      <c r="I318" s="200">
        <f ca="1">IFERROR(__xludf.DUMMYFUNCTION("IMPORTRANGE(""https://docs.google.com/spreadsheets/d/1C3CXT74ZlgGe6_JY_1olB1XN4rF0dxEuIIF-xsYjHgg/edit?usp=sharing"",""งบกองทุน!aj36"")"),20)</f>
        <v>20</v>
      </c>
      <c r="J318" s="68">
        <v>0</v>
      </c>
      <c r="K318" s="49">
        <f t="shared" ca="1" si="73"/>
        <v>0</v>
      </c>
      <c r="L318" s="61"/>
      <c r="M318" s="61"/>
      <c r="N318" s="61"/>
    </row>
    <row r="319" spans="1:14" ht="21.75" customHeight="1" x14ac:dyDescent="0.4">
      <c r="A319" s="55"/>
      <c r="B319" s="56"/>
      <c r="C319" s="56"/>
      <c r="D319" s="73"/>
      <c r="E319" s="77"/>
      <c r="F319" s="75"/>
      <c r="G319" s="99" t="s">
        <v>134</v>
      </c>
      <c r="H319" s="60" t="s">
        <v>16</v>
      </c>
      <c r="I319" s="200">
        <f ca="1">IFERROR(__xludf.DUMMYFUNCTION("IMPORTRANGE(""https://docs.google.com/spreadsheets/d/1C3CXT74ZlgGe6_JY_1olB1XN4rF0dxEuIIF-xsYjHgg/edit?usp=sharing"",""งบกองทุน!ak36"")"),20)</f>
        <v>20</v>
      </c>
      <c r="J319" s="68">
        <v>0</v>
      </c>
      <c r="K319" s="49">
        <f t="shared" ca="1" si="73"/>
        <v>0</v>
      </c>
      <c r="L319" s="61"/>
      <c r="M319" s="61"/>
      <c r="N319" s="61"/>
    </row>
    <row r="320" spans="1:14" ht="21.75" customHeight="1" x14ac:dyDescent="0.4">
      <c r="A320" s="55"/>
      <c r="B320" s="56"/>
      <c r="C320" s="56"/>
      <c r="D320" s="73"/>
      <c r="E320" s="77"/>
      <c r="F320" s="75"/>
      <c r="G320" s="99" t="s">
        <v>135</v>
      </c>
      <c r="H320" s="60" t="s">
        <v>16</v>
      </c>
      <c r="I320" s="200">
        <f ca="1">IFERROR(__xludf.DUMMYFUNCTION("IMPORTRANGE(""https://docs.google.com/spreadsheets/d/1C3CXT74ZlgGe6_JY_1olB1XN4rF0dxEuIIF-xsYjHgg/edit?usp=sharing"",""งบกองทุน!al36"")"),20)</f>
        <v>20</v>
      </c>
      <c r="J320" s="68">
        <v>0</v>
      </c>
      <c r="K320" s="49">
        <f t="shared" ca="1" si="73"/>
        <v>0</v>
      </c>
      <c r="L320" s="61"/>
      <c r="M320" s="61"/>
      <c r="N320" s="61"/>
    </row>
    <row r="321" spans="1:14" ht="21.75" customHeight="1" x14ac:dyDescent="0.4">
      <c r="A321" s="55"/>
      <c r="B321" s="56"/>
      <c r="C321" s="56"/>
      <c r="D321" s="73"/>
      <c r="E321" s="77"/>
      <c r="F321" s="242" t="s">
        <v>136</v>
      </c>
      <c r="G321" s="76"/>
      <c r="H321" s="78" t="s">
        <v>16</v>
      </c>
      <c r="I321" s="243">
        <f ca="1">IFERROR(__xludf.DUMMYFUNCTION("IMPORTRANGE(""https://docs.google.com/spreadsheets/d/1C3CXT74ZlgGe6_JY_1olB1XN4rF0dxEuIIF-xsYjHgg/edit?usp=sharing"",""งบกองทุน!an36"")"),10)</f>
        <v>10</v>
      </c>
      <c r="J321" s="79">
        <f ca="1">IF(AND(J323=I323,J324=I324),I323,0)</f>
        <v>0</v>
      </c>
      <c r="K321" s="80">
        <f t="shared" ca="1" si="73"/>
        <v>0</v>
      </c>
      <c r="L321" s="61"/>
      <c r="M321" s="61"/>
      <c r="N321" s="61"/>
    </row>
    <row r="322" spans="1:14" ht="21.75" customHeight="1" x14ac:dyDescent="0.4">
      <c r="A322" s="55"/>
      <c r="B322" s="56"/>
      <c r="C322" s="56"/>
      <c r="D322" s="73"/>
      <c r="E322" s="77"/>
      <c r="F322" s="75"/>
      <c r="G322" s="76"/>
      <c r="H322" s="78" t="s">
        <v>103</v>
      </c>
      <c r="I322" s="243">
        <f ca="1">IFERROR(__xludf.DUMMYFUNCTION("IMPORTRANGE(""https://docs.google.com/spreadsheets/d/1C3CXT74ZlgGe6_JY_1olB1XN4rF0dxEuIIF-xsYjHgg/edit?usp=sharing"",""งบกองทุน!am36"")"),30)</f>
        <v>30</v>
      </c>
      <c r="J322" s="154">
        <v>0</v>
      </c>
      <c r="K322" s="80">
        <f t="shared" ca="1" si="73"/>
        <v>0</v>
      </c>
      <c r="L322" s="61"/>
      <c r="M322" s="61"/>
      <c r="N322" s="61"/>
    </row>
    <row r="323" spans="1:14" ht="21.75" customHeight="1" x14ac:dyDescent="0.4">
      <c r="A323" s="55"/>
      <c r="B323" s="56"/>
      <c r="C323" s="56"/>
      <c r="D323" s="73"/>
      <c r="E323" s="77"/>
      <c r="F323" s="75"/>
      <c r="G323" s="99" t="s">
        <v>137</v>
      </c>
      <c r="H323" s="60" t="s">
        <v>16</v>
      </c>
      <c r="I323" s="248">
        <f ca="1">IFERROR(__xludf.DUMMYFUNCTION("IMPORTRANGE(""https://docs.google.com/spreadsheets/d/1C3CXT74ZlgGe6_JY_1olB1XN4rF0dxEuIIF-xsYjHgg/edit?usp=sharing"",""งบกองทุน!ao36"")"),10)</f>
        <v>10</v>
      </c>
      <c r="J323" s="68">
        <v>0</v>
      </c>
      <c r="K323" s="49">
        <f t="shared" ca="1" si="73"/>
        <v>0</v>
      </c>
      <c r="L323" s="61"/>
      <c r="M323" s="61"/>
      <c r="N323" s="61"/>
    </row>
    <row r="324" spans="1:14" ht="21.75" customHeight="1" x14ac:dyDescent="0.4">
      <c r="A324" s="55"/>
      <c r="B324" s="56"/>
      <c r="C324" s="56"/>
      <c r="D324" s="73"/>
      <c r="E324" s="77"/>
      <c r="F324" s="75"/>
      <c r="G324" s="99" t="s">
        <v>138</v>
      </c>
      <c r="H324" s="60" t="s">
        <v>16</v>
      </c>
      <c r="I324" s="248">
        <f ca="1">IFERROR(__xludf.DUMMYFUNCTION("IMPORTRANGE(""https://docs.google.com/spreadsheets/d/1C3CXT74ZlgGe6_JY_1olB1XN4rF0dxEuIIF-xsYjHgg/edit?usp=sharing"",""งบกองทุน!ap36"")"),10)</f>
        <v>10</v>
      </c>
      <c r="J324" s="68">
        <v>0</v>
      </c>
      <c r="K324" s="49">
        <f t="shared" ca="1" si="73"/>
        <v>0</v>
      </c>
      <c r="L324" s="61"/>
      <c r="M324" s="61"/>
      <c r="N324" s="61"/>
    </row>
    <row r="325" spans="1:14" ht="21.75" customHeight="1" x14ac:dyDescent="0.4">
      <c r="A325" s="55"/>
      <c r="B325" s="56"/>
      <c r="C325" s="56"/>
      <c r="D325" s="73"/>
      <c r="E325" s="77"/>
      <c r="F325" s="74" t="s">
        <v>34</v>
      </c>
      <c r="G325" s="240"/>
      <c r="H325" s="241" t="s">
        <v>16</v>
      </c>
      <c r="I325" s="79">
        <f ca="1">SUM(I326,I327)</f>
        <v>40</v>
      </c>
      <c r="J325" s="79">
        <f ca="1">IF(AND(J326=I326,J327=I327),I325,0)</f>
        <v>0</v>
      </c>
      <c r="K325" s="80">
        <f t="shared" ca="1" si="73"/>
        <v>0</v>
      </c>
      <c r="L325" s="61"/>
      <c r="M325" s="61"/>
      <c r="N325" s="61"/>
    </row>
    <row r="326" spans="1:14" ht="21.75" customHeight="1" x14ac:dyDescent="0.4">
      <c r="A326" s="249"/>
      <c r="B326" s="250"/>
      <c r="C326" s="250"/>
      <c r="D326" s="251"/>
      <c r="E326" s="77"/>
      <c r="F326" s="75"/>
      <c r="G326" s="99" t="s">
        <v>139</v>
      </c>
      <c r="H326" s="60" t="s">
        <v>16</v>
      </c>
      <c r="I326" s="248">
        <f ca="1">IFERROR(__xludf.DUMMYFUNCTION("IMPORTRANGE(""https://docs.google.com/spreadsheets/d/1C3CXT74ZlgGe6_JY_1olB1XN4rF0dxEuIIF-xsYjHgg/edit?usp=sharing"",""งบกองทุน!ar36"")"),20)</f>
        <v>20</v>
      </c>
      <c r="J326" s="68">
        <v>0</v>
      </c>
      <c r="K326" s="49">
        <f t="shared" ca="1" si="73"/>
        <v>0</v>
      </c>
      <c r="L326" s="61"/>
      <c r="M326" s="61"/>
      <c r="N326" s="61"/>
    </row>
    <row r="327" spans="1:14" ht="21.75" customHeight="1" x14ac:dyDescent="0.4">
      <c r="A327" s="249"/>
      <c r="B327" s="250"/>
      <c r="C327" s="250"/>
      <c r="D327" s="251"/>
      <c r="E327" s="77"/>
      <c r="F327" s="75"/>
      <c r="G327" s="99" t="s">
        <v>140</v>
      </c>
      <c r="H327" s="60" t="s">
        <v>16</v>
      </c>
      <c r="I327" s="248">
        <f ca="1">IFERROR(__xludf.DUMMYFUNCTION("IMPORTRANGE(""https://docs.google.com/spreadsheets/d/1C3CXT74ZlgGe6_JY_1olB1XN4rF0dxEuIIF-xsYjHgg/edit?usp=sharing"",""งบกองทุน!as36"")"),20)</f>
        <v>20</v>
      </c>
      <c r="J327" s="68">
        <v>0</v>
      </c>
      <c r="K327" s="49">
        <f t="shared" ca="1" si="73"/>
        <v>0</v>
      </c>
      <c r="L327" s="61"/>
      <c r="M327" s="61"/>
      <c r="N327" s="61"/>
    </row>
    <row r="328" spans="1:14" ht="21.75" customHeight="1" x14ac:dyDescent="0.4">
      <c r="A328" s="55"/>
      <c r="B328" s="56"/>
      <c r="C328" s="56"/>
      <c r="D328" s="73"/>
      <c r="E328" s="74" t="s">
        <v>35</v>
      </c>
      <c r="F328" s="75"/>
      <c r="G328" s="76"/>
      <c r="H328" s="66"/>
      <c r="I328" s="67"/>
      <c r="J328" s="68">
        <v>0</v>
      </c>
      <c r="K328" s="49"/>
      <c r="L328" s="61"/>
      <c r="M328" s="61"/>
      <c r="N328" s="61"/>
    </row>
    <row r="329" spans="1:14" ht="21.75" customHeight="1" x14ac:dyDescent="0.4">
      <c r="A329" s="55"/>
      <c r="B329" s="56"/>
      <c r="C329" s="56"/>
      <c r="D329" s="81">
        <v>3</v>
      </c>
      <c r="E329" s="82" t="s">
        <v>36</v>
      </c>
      <c r="F329" s="83"/>
      <c r="G329" s="84"/>
      <c r="H329" s="66"/>
      <c r="I329" s="67"/>
      <c r="J329" s="85">
        <v>0</v>
      </c>
      <c r="K329" s="49"/>
      <c r="L329" s="61"/>
      <c r="M329" s="61"/>
      <c r="N329" s="61"/>
    </row>
    <row r="330" spans="1:14" ht="21.75" customHeight="1" x14ac:dyDescent="0.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15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83000</v>
      </c>
      <c r="M330" s="259">
        <f t="shared" si="74"/>
        <v>40405</v>
      </c>
      <c r="N330" s="259">
        <f t="shared" ref="N330:N334" ca="1" si="75">+IF(L330&gt;0,M330*100/L330,0)</f>
        <v>48.680722891566262</v>
      </c>
    </row>
    <row r="331" spans="1:14" ht="21.75" customHeight="1" x14ac:dyDescent="0.4">
      <c r="A331" s="42"/>
      <c r="B331" s="43"/>
      <c r="C331" s="43" t="s">
        <v>17</v>
      </c>
      <c r="D331" s="44" t="s">
        <v>18</v>
      </c>
      <c r="E331" s="45"/>
      <c r="F331" s="45"/>
      <c r="G331" s="46" t="s">
        <v>19</v>
      </c>
      <c r="H331" s="47" t="s">
        <v>20</v>
      </c>
      <c r="I331" s="48" t="s">
        <v>21</v>
      </c>
      <c r="J331" s="48"/>
      <c r="K331" s="49"/>
      <c r="L331" s="50">
        <v>0</v>
      </c>
      <c r="M331" s="53">
        <v>0</v>
      </c>
      <c r="N331" s="53">
        <f t="shared" si="75"/>
        <v>0</v>
      </c>
    </row>
    <row r="332" spans="1:14" ht="21.75" customHeight="1" x14ac:dyDescent="0.4">
      <c r="A332" s="42"/>
      <c r="B332" s="43"/>
      <c r="C332" s="43"/>
      <c r="D332" s="51"/>
      <c r="E332" s="45"/>
      <c r="F332" s="45" t="s">
        <v>21</v>
      </c>
      <c r="G332" s="46" t="s">
        <v>22</v>
      </c>
      <c r="H332" s="47" t="s">
        <v>20</v>
      </c>
      <c r="I332" s="48"/>
      <c r="J332" s="48"/>
      <c r="K332" s="49"/>
      <c r="L332" s="50">
        <f t="shared" ref="L332:M332" ca="1" si="76">SUM(L333:L334)</f>
        <v>83000</v>
      </c>
      <c r="M332" s="53">
        <f t="shared" si="76"/>
        <v>40405</v>
      </c>
      <c r="N332" s="53">
        <f t="shared" ca="1" si="75"/>
        <v>48.680722891566262</v>
      </c>
    </row>
    <row r="333" spans="1:14" ht="21.75" customHeight="1" x14ac:dyDescent="0.4">
      <c r="A333" s="42"/>
      <c r="B333" s="43"/>
      <c r="C333" s="43"/>
      <c r="D333" s="51"/>
      <c r="E333" s="45"/>
      <c r="F333" s="45"/>
      <c r="G333" s="52" t="s">
        <v>110</v>
      </c>
      <c r="H333" s="47" t="s">
        <v>20</v>
      </c>
      <c r="I333" s="48"/>
      <c r="J333" s="48"/>
      <c r="K333" s="49"/>
      <c r="L333" s="53">
        <f ca="1">IFERROR(__xludf.DUMMYFUNCTION("IMPORTRANGE(""https://docs.google.com/spreadsheets/d/1C3CXT74ZlgGe6_JY_1olB1XN4rF0dxEuIIF-xsYjHgg/edit?usp=sharing"",""งบกองทุน!au36"")"),0)</f>
        <v>0</v>
      </c>
      <c r="M333" s="53">
        <v>0</v>
      </c>
      <c r="N333" s="53">
        <f t="shared" ca="1" si="75"/>
        <v>0</v>
      </c>
    </row>
    <row r="334" spans="1:14" ht="21.75" customHeight="1" x14ac:dyDescent="0.4">
      <c r="A334" s="42"/>
      <c r="B334" s="43"/>
      <c r="C334" s="43"/>
      <c r="D334" s="51"/>
      <c r="E334" s="45"/>
      <c r="F334" s="45"/>
      <c r="G334" s="52" t="s">
        <v>111</v>
      </c>
      <c r="H334" s="47" t="s">
        <v>20</v>
      </c>
      <c r="I334" s="48"/>
      <c r="J334" s="48"/>
      <c r="K334" s="49"/>
      <c r="L334" s="53">
        <f ca="1">IFERROR(__xludf.DUMMYFUNCTION("IMPORTRANGE(""https://docs.google.com/spreadsheets/d/1C3CXT74ZlgGe6_JY_1olB1XN4rF0dxEuIIF-xsYjHgg/edit?usp=sharing"",""งบกองทุน!av36"")"),83000)</f>
        <v>83000</v>
      </c>
      <c r="M334" s="53">
        <f>SUM(M335:M338)</f>
        <v>40405</v>
      </c>
      <c r="N334" s="53">
        <f t="shared" ca="1" si="75"/>
        <v>48.680722891566262</v>
      </c>
    </row>
    <row r="335" spans="1:14" ht="21.75" customHeight="1" x14ac:dyDescent="0.4">
      <c r="A335" s="230"/>
      <c r="B335" s="231"/>
      <c r="C335" s="43"/>
      <c r="D335" s="232"/>
      <c r="E335" s="45"/>
      <c r="F335" s="45"/>
      <c r="G335" s="46" t="s">
        <v>112</v>
      </c>
      <c r="H335" s="47" t="s">
        <v>20</v>
      </c>
      <c r="I335" s="67"/>
      <c r="J335" s="67"/>
      <c r="K335" s="233"/>
      <c r="L335" s="53"/>
      <c r="M335" s="54">
        <v>30685</v>
      </c>
      <c r="N335" s="53"/>
    </row>
    <row r="336" spans="1:14" ht="21.75" customHeight="1" x14ac:dyDescent="0.4">
      <c r="A336" s="230"/>
      <c r="B336" s="231"/>
      <c r="C336" s="43"/>
      <c r="D336" s="232"/>
      <c r="E336" s="45"/>
      <c r="F336" s="45"/>
      <c r="G336" s="46" t="s">
        <v>113</v>
      </c>
      <c r="H336" s="47" t="s">
        <v>20</v>
      </c>
      <c r="I336" s="67"/>
      <c r="J336" s="67"/>
      <c r="K336" s="233"/>
      <c r="L336" s="53"/>
      <c r="M336" s="54">
        <v>0</v>
      </c>
      <c r="N336" s="53"/>
    </row>
    <row r="337" spans="1:14" ht="21.75" customHeight="1" x14ac:dyDescent="0.4">
      <c r="A337" s="230"/>
      <c r="B337" s="231"/>
      <c r="C337" s="43"/>
      <c r="D337" s="232"/>
      <c r="E337" s="45"/>
      <c r="F337" s="45"/>
      <c r="G337" s="46" t="s">
        <v>114</v>
      </c>
      <c r="H337" s="47" t="s">
        <v>20</v>
      </c>
      <c r="I337" s="67"/>
      <c r="J337" s="67"/>
      <c r="K337" s="233"/>
      <c r="L337" s="53"/>
      <c r="M337" s="54">
        <v>0</v>
      </c>
      <c r="N337" s="53"/>
    </row>
    <row r="338" spans="1:14" ht="21.75" customHeight="1" x14ac:dyDescent="0.4">
      <c r="A338" s="230"/>
      <c r="B338" s="231"/>
      <c r="C338" s="43"/>
      <c r="D338" s="232"/>
      <c r="E338" s="45"/>
      <c r="F338" s="45"/>
      <c r="G338" s="46" t="s">
        <v>115</v>
      </c>
      <c r="H338" s="47" t="s">
        <v>20</v>
      </c>
      <c r="I338" s="67"/>
      <c r="J338" s="67"/>
      <c r="K338" s="233"/>
      <c r="L338" s="53"/>
      <c r="M338" s="54">
        <v>9720</v>
      </c>
      <c r="N338" s="53"/>
    </row>
    <row r="339" spans="1:14" ht="21.75" customHeight="1" x14ac:dyDescent="0.4">
      <c r="A339" s="55"/>
      <c r="B339" s="56"/>
      <c r="C339" s="43" t="s">
        <v>17</v>
      </c>
      <c r="D339" s="57" t="s">
        <v>25</v>
      </c>
      <c r="E339" s="58"/>
      <c r="F339" s="58"/>
      <c r="G339" s="59"/>
      <c r="H339" s="60"/>
      <c r="I339" s="48"/>
      <c r="J339" s="48"/>
      <c r="K339" s="49"/>
      <c r="L339" s="61"/>
      <c r="M339" s="61"/>
      <c r="N339" s="61"/>
    </row>
    <row r="340" spans="1:14" ht="21.75" customHeight="1" x14ac:dyDescent="0.4">
      <c r="A340" s="55"/>
      <c r="B340" s="56"/>
      <c r="C340" s="56"/>
      <c r="D340" s="62">
        <v>1</v>
      </c>
      <c r="E340" s="63" t="s">
        <v>26</v>
      </c>
      <c r="F340" s="64"/>
      <c r="G340" s="65"/>
      <c r="H340" s="66"/>
      <c r="I340" s="67"/>
      <c r="J340" s="85">
        <v>0</v>
      </c>
      <c r="K340" s="49"/>
      <c r="L340" s="61"/>
      <c r="M340" s="61"/>
      <c r="N340" s="61"/>
    </row>
    <row r="341" spans="1:14" ht="21.75" customHeight="1" x14ac:dyDescent="0.4">
      <c r="A341" s="55"/>
      <c r="B341" s="56"/>
      <c r="C341" s="56"/>
      <c r="D341" s="69">
        <v>2</v>
      </c>
      <c r="E341" s="70" t="s">
        <v>27</v>
      </c>
      <c r="F341" s="71"/>
      <c r="G341" s="72"/>
      <c r="H341" s="66"/>
      <c r="I341" s="67"/>
      <c r="J341" s="85">
        <v>1</v>
      </c>
      <c r="K341" s="49"/>
      <c r="L341" s="61" t="s">
        <v>21</v>
      </c>
      <c r="M341" s="61" t="s">
        <v>21</v>
      </c>
      <c r="N341" s="61"/>
    </row>
    <row r="342" spans="1:14" ht="21.75" customHeight="1" x14ac:dyDescent="0.4">
      <c r="A342" s="55"/>
      <c r="B342" s="56"/>
      <c r="C342" s="56"/>
      <c r="D342" s="73"/>
      <c r="E342" s="74" t="s">
        <v>142</v>
      </c>
      <c r="F342" s="75"/>
      <c r="G342" s="76"/>
      <c r="H342" s="66"/>
      <c r="I342" s="67"/>
      <c r="J342" s="68">
        <v>1</v>
      </c>
      <c r="K342" s="49"/>
      <c r="L342" s="61"/>
      <c r="M342" s="61"/>
      <c r="N342" s="61"/>
    </row>
    <row r="343" spans="1:14" ht="21.75" customHeight="1" x14ac:dyDescent="0.4">
      <c r="A343" s="55"/>
      <c r="B343" s="56"/>
      <c r="C343" s="56"/>
      <c r="D343" s="73"/>
      <c r="E343" s="74" t="s">
        <v>29</v>
      </c>
      <c r="F343" s="75"/>
      <c r="G343" s="76"/>
      <c r="H343" s="66"/>
      <c r="I343" s="67"/>
      <c r="J343" s="68">
        <v>1</v>
      </c>
      <c r="K343" s="49"/>
      <c r="L343" s="61"/>
      <c r="M343" s="61"/>
      <c r="N343" s="61"/>
    </row>
    <row r="344" spans="1:14" ht="21.75" customHeight="1" x14ac:dyDescent="0.4">
      <c r="A344" s="55"/>
      <c r="B344" s="56"/>
      <c r="C344" s="56"/>
      <c r="D344" s="73"/>
      <c r="E344" s="77"/>
      <c r="F344" s="260" t="s">
        <v>82</v>
      </c>
      <c r="G344" s="76"/>
      <c r="H344" s="66" t="s">
        <v>16</v>
      </c>
      <c r="I344" s="243">
        <f t="shared" ref="I344:J344" ca="1" si="77">+I345+I346+I347</f>
        <v>15</v>
      </c>
      <c r="J344" s="79">
        <f t="shared" si="77"/>
        <v>0</v>
      </c>
      <c r="K344" s="49">
        <f t="shared" ref="K344:K347" ca="1" si="78">IF(I344&gt;0,J344*100/I344,0)</f>
        <v>0</v>
      </c>
      <c r="L344" s="61"/>
      <c r="M344" s="61"/>
      <c r="N344" s="61"/>
    </row>
    <row r="345" spans="1:14" ht="21.75" customHeight="1" x14ac:dyDescent="0.4">
      <c r="A345" s="55"/>
      <c r="B345" s="56"/>
      <c r="C345" s="56"/>
      <c r="D345" s="73"/>
      <c r="E345" s="77"/>
      <c r="F345" s="75"/>
      <c r="G345" s="99" t="s">
        <v>143</v>
      </c>
      <c r="H345" s="66" t="s">
        <v>16</v>
      </c>
      <c r="I345" s="200">
        <f ca="1">IFERROR(__xludf.DUMMYFUNCTION("IMPORTRANGE(""https://docs.google.com/spreadsheets/d/1C3CXT74ZlgGe6_JY_1olB1XN4rF0dxEuIIF-xsYjHgg/edit?usp=sharing"",""งบกองทุน!ay36"")"),15)</f>
        <v>15</v>
      </c>
      <c r="J345" s="68">
        <v>0</v>
      </c>
      <c r="K345" s="49">
        <f t="shared" ca="1" si="78"/>
        <v>0</v>
      </c>
      <c r="L345" s="61"/>
      <c r="M345" s="61"/>
      <c r="N345" s="61"/>
    </row>
    <row r="346" spans="1:14" ht="21.75" customHeight="1" x14ac:dyDescent="0.4">
      <c r="A346" s="55"/>
      <c r="B346" s="56"/>
      <c r="C346" s="56"/>
      <c r="D346" s="73"/>
      <c r="E346" s="77"/>
      <c r="F346" s="75"/>
      <c r="G346" s="76" t="s">
        <v>144</v>
      </c>
      <c r="H346" s="66" t="s">
        <v>16</v>
      </c>
      <c r="I346" s="200">
        <f ca="1">IFERROR(__xludf.DUMMYFUNCTION("IMPORTRANGE(""https://docs.google.com/spreadsheets/d/1C3CXT74ZlgGe6_JY_1olB1XN4rF0dxEuIIF-xsYjHgg/edit?usp=sharing"",""งบกองทุน!az36"")"),0)</f>
        <v>0</v>
      </c>
      <c r="J346" s="68">
        <v>0</v>
      </c>
      <c r="K346" s="49">
        <f t="shared" ca="1" si="78"/>
        <v>0</v>
      </c>
      <c r="L346" s="61"/>
      <c r="M346" s="61"/>
      <c r="N346" s="61"/>
    </row>
    <row r="347" spans="1:14" ht="21.75" customHeight="1" x14ac:dyDescent="0.4">
      <c r="A347" s="55"/>
      <c r="B347" s="56"/>
      <c r="C347" s="56"/>
      <c r="D347" s="73"/>
      <c r="E347" s="77"/>
      <c r="F347" s="75"/>
      <c r="G347" s="76" t="s">
        <v>145</v>
      </c>
      <c r="H347" s="66" t="s">
        <v>16</v>
      </c>
      <c r="I347" s="67">
        <f ca="1">IFERROR(__xludf.DUMMYFUNCTION("IMPORTRANGE(""https://docs.google.com/spreadsheets/d/1C3CXT74ZlgGe6_JY_1olB1XN4rF0dxEuIIF-xsYjHgg/edit?usp=sharing"",""งบกองทุน!Ba36"")"),0)</f>
        <v>0</v>
      </c>
      <c r="J347" s="68">
        <v>0</v>
      </c>
      <c r="K347" s="49">
        <f t="shared" ca="1" si="78"/>
        <v>0</v>
      </c>
      <c r="L347" s="61"/>
      <c r="M347" s="61"/>
      <c r="N347" s="61"/>
    </row>
    <row r="348" spans="1:14" ht="21.75" customHeight="1" x14ac:dyDescent="0.4">
      <c r="A348" s="55"/>
      <c r="B348" s="56"/>
      <c r="C348" s="56"/>
      <c r="D348" s="73"/>
      <c r="E348" s="74" t="s">
        <v>35</v>
      </c>
      <c r="F348" s="75"/>
      <c r="G348" s="76"/>
      <c r="H348" s="66"/>
      <c r="I348" s="67"/>
      <c r="J348" s="68">
        <v>0</v>
      </c>
      <c r="K348" s="49"/>
      <c r="L348" s="61"/>
      <c r="M348" s="61"/>
      <c r="N348" s="61"/>
    </row>
    <row r="349" spans="1:14" ht="21.75" customHeight="1" x14ac:dyDescent="0.4">
      <c r="A349" s="55"/>
      <c r="B349" s="56"/>
      <c r="C349" s="56"/>
      <c r="D349" s="81">
        <v>3</v>
      </c>
      <c r="E349" s="82" t="s">
        <v>36</v>
      </c>
      <c r="F349" s="83"/>
      <c r="G349" s="84"/>
      <c r="H349" s="66"/>
      <c r="I349" s="67"/>
      <c r="J349" s="85">
        <v>0</v>
      </c>
      <c r="K349" s="49"/>
      <c r="L349" s="61"/>
      <c r="M349" s="61"/>
      <c r="N349" s="61"/>
    </row>
    <row r="350" spans="1:14" ht="21.75" customHeight="1" x14ac:dyDescent="0.4">
      <c r="A350" s="222"/>
      <c r="B350" s="223">
        <v>5</v>
      </c>
      <c r="C350" s="224" t="s">
        <v>146</v>
      </c>
      <c r="D350" s="224"/>
      <c r="E350" s="224"/>
      <c r="F350" s="224"/>
      <c r="G350" s="225"/>
      <c r="H350" s="226" t="s">
        <v>103</v>
      </c>
      <c r="I350" s="227">
        <f ca="1">I359</f>
        <v>24457</v>
      </c>
      <c r="J350" s="227">
        <f>+J359</f>
        <v>0</v>
      </c>
      <c r="K350" s="228">
        <f ca="1">IF(I350&gt;0,J350*100/I350,0)</f>
        <v>0</v>
      </c>
      <c r="L350" s="229">
        <f t="shared" ref="L350:M350" ca="1" si="79">SUM(L351:L352)</f>
        <v>296488</v>
      </c>
      <c r="M350" s="229">
        <f t="shared" si="79"/>
        <v>0</v>
      </c>
      <c r="N350" s="229">
        <f t="shared" ref="N350:N354" ca="1" si="80">+IF(L350&gt;0,M350*100/L350,0)</f>
        <v>0</v>
      </c>
    </row>
    <row r="351" spans="1:14" ht="21.75" customHeight="1" x14ac:dyDescent="0.4">
      <c r="A351" s="42"/>
      <c r="B351" s="43"/>
      <c r="C351" s="43" t="s">
        <v>17</v>
      </c>
      <c r="D351" s="44" t="s">
        <v>18</v>
      </c>
      <c r="E351" s="45"/>
      <c r="F351" s="45"/>
      <c r="G351" s="46" t="s">
        <v>19</v>
      </c>
      <c r="H351" s="47" t="s">
        <v>20</v>
      </c>
      <c r="I351" s="48" t="s">
        <v>21</v>
      </c>
      <c r="J351" s="48"/>
      <c r="K351" s="49"/>
      <c r="L351" s="50">
        <v>0</v>
      </c>
      <c r="M351" s="53">
        <v>0</v>
      </c>
      <c r="N351" s="53">
        <f t="shared" si="80"/>
        <v>0</v>
      </c>
    </row>
    <row r="352" spans="1:14" ht="21.75" customHeight="1" x14ac:dyDescent="0.4">
      <c r="A352" s="42"/>
      <c r="B352" s="43"/>
      <c r="C352" s="43"/>
      <c r="D352" s="51"/>
      <c r="E352" s="45"/>
      <c r="F352" s="45" t="s">
        <v>21</v>
      </c>
      <c r="G352" s="46" t="s">
        <v>22</v>
      </c>
      <c r="H352" s="47" t="s">
        <v>20</v>
      </c>
      <c r="I352" s="48"/>
      <c r="J352" s="48"/>
      <c r="K352" s="49"/>
      <c r="L352" s="50">
        <f t="shared" ref="L352:M352" ca="1" si="81">SUM(L353:L354)</f>
        <v>296488</v>
      </c>
      <c r="M352" s="53">
        <f t="shared" si="81"/>
        <v>0</v>
      </c>
      <c r="N352" s="53">
        <f t="shared" ca="1" si="80"/>
        <v>0</v>
      </c>
    </row>
    <row r="353" spans="1:14" ht="21.75" customHeight="1" x14ac:dyDescent="0.4">
      <c r="A353" s="42"/>
      <c r="B353" s="43"/>
      <c r="C353" s="43"/>
      <c r="D353" s="51"/>
      <c r="E353" s="45"/>
      <c r="F353" s="45"/>
      <c r="G353" s="52" t="s">
        <v>110</v>
      </c>
      <c r="H353" s="47" t="s">
        <v>20</v>
      </c>
      <c r="I353" s="48"/>
      <c r="J353" s="48"/>
      <c r="K353" s="49"/>
      <c r="L353" s="53">
        <f ca="1">IFERROR(__xludf.DUMMYFUNCTION("IMPORTRANGE(""https://docs.google.com/spreadsheets/d/1C3CXT74ZlgGe6_JY_1olB1XN4rF0dxEuIIF-xsYjHgg/edit?usp=sharing"",""งบกองทุน!Bc36"")"),0)</f>
        <v>0</v>
      </c>
      <c r="M353" s="53">
        <v>0</v>
      </c>
      <c r="N353" s="53">
        <f t="shared" ca="1" si="80"/>
        <v>0</v>
      </c>
    </row>
    <row r="354" spans="1:14" ht="21.75" customHeight="1" x14ac:dyDescent="0.4">
      <c r="A354" s="42"/>
      <c r="B354" s="43"/>
      <c r="C354" s="43"/>
      <c r="D354" s="51"/>
      <c r="E354" s="45"/>
      <c r="F354" s="45"/>
      <c r="G354" s="52" t="s">
        <v>111</v>
      </c>
      <c r="H354" s="47" t="s">
        <v>20</v>
      </c>
      <c r="I354" s="48"/>
      <c r="J354" s="48"/>
      <c r="K354" s="49"/>
      <c r="L354" s="53">
        <f ca="1">IFERROR(__xludf.DUMMYFUNCTION("IMPORTRANGE(""https://docs.google.com/spreadsheets/d/1C3CXT74ZlgGe6_JY_1olB1XN4rF0dxEuIIF-xsYjHgg/edit?usp=sharing"",""งบกองทุน!Bd36"")"),296488)</f>
        <v>296488</v>
      </c>
      <c r="M354" s="53">
        <f>SUM(M355:M358)</f>
        <v>0</v>
      </c>
      <c r="N354" s="53">
        <f t="shared" ca="1" si="80"/>
        <v>0</v>
      </c>
    </row>
    <row r="355" spans="1:14" ht="21.75" customHeight="1" x14ac:dyDescent="0.4">
      <c r="A355" s="230"/>
      <c r="B355" s="231"/>
      <c r="C355" s="43"/>
      <c r="D355" s="232"/>
      <c r="E355" s="45"/>
      <c r="F355" s="45"/>
      <c r="G355" s="46" t="s">
        <v>112</v>
      </c>
      <c r="H355" s="47" t="s">
        <v>20</v>
      </c>
      <c r="I355" s="67"/>
      <c r="J355" s="67"/>
      <c r="K355" s="233"/>
      <c r="L355" s="53"/>
      <c r="M355" s="53">
        <v>0</v>
      </c>
      <c r="N355" s="53"/>
    </row>
    <row r="356" spans="1:14" ht="21.75" customHeight="1" x14ac:dyDescent="0.4">
      <c r="A356" s="230"/>
      <c r="B356" s="231"/>
      <c r="C356" s="43"/>
      <c r="D356" s="232"/>
      <c r="E356" s="45"/>
      <c r="F356" s="45"/>
      <c r="G356" s="46" t="s">
        <v>113</v>
      </c>
      <c r="H356" s="47" t="s">
        <v>20</v>
      </c>
      <c r="I356" s="67"/>
      <c r="J356" s="67"/>
      <c r="K356" s="233"/>
      <c r="L356" s="53"/>
      <c r="M356" s="53">
        <v>0</v>
      </c>
      <c r="N356" s="53"/>
    </row>
    <row r="357" spans="1:14" ht="21.75" customHeight="1" x14ac:dyDescent="0.4">
      <c r="A357" s="230"/>
      <c r="B357" s="231"/>
      <c r="C357" s="43"/>
      <c r="D357" s="232"/>
      <c r="E357" s="45"/>
      <c r="F357" s="45"/>
      <c r="G357" s="46" t="s">
        <v>114</v>
      </c>
      <c r="H357" s="47" t="s">
        <v>20</v>
      </c>
      <c r="I357" s="67"/>
      <c r="J357" s="67"/>
      <c r="K357" s="233"/>
      <c r="L357" s="53"/>
      <c r="M357" s="54">
        <v>0</v>
      </c>
      <c r="N357" s="53"/>
    </row>
    <row r="358" spans="1:14" ht="21.75" customHeight="1" x14ac:dyDescent="0.4">
      <c r="A358" s="230"/>
      <c r="B358" s="231"/>
      <c r="C358" s="43"/>
      <c r="D358" s="232"/>
      <c r="E358" s="45"/>
      <c r="F358" s="45"/>
      <c r="G358" s="46" t="s">
        <v>115</v>
      </c>
      <c r="H358" s="47" t="s">
        <v>20</v>
      </c>
      <c r="I358" s="67"/>
      <c r="J358" s="67"/>
      <c r="K358" s="233"/>
      <c r="L358" s="53"/>
      <c r="M358" s="54">
        <v>0</v>
      </c>
      <c r="N358" s="53"/>
    </row>
    <row r="359" spans="1:14" ht="21.75" customHeight="1" x14ac:dyDescent="0.4">
      <c r="A359" s="55"/>
      <c r="B359" s="56"/>
      <c r="C359" s="261" t="s">
        <v>147</v>
      </c>
      <c r="D359" s="261"/>
      <c r="E359" s="262"/>
      <c r="F359" s="262"/>
      <c r="G359" s="263"/>
      <c r="H359" s="136" t="s">
        <v>103</v>
      </c>
      <c r="I359" s="137">
        <f ca="1">IFERROR(__xludf.DUMMYFUNCTION("IMPORTRANGE(""https://docs.google.com/spreadsheets/d/1C3CXT74ZlgGe6_JY_1olB1XN4rF0dxEuIIF-xsYjHgg/edit?usp=sharing"",""งบกองทุน!BE36"")"),24457)</f>
        <v>24457</v>
      </c>
      <c r="J359" s="137">
        <f>+J376</f>
        <v>0</v>
      </c>
      <c r="K359" s="138">
        <f t="shared" ref="K359:K425" ca="1" si="82">IF(I359&gt;0,J359*100/I359,0)</f>
        <v>0</v>
      </c>
      <c r="L359" s="140"/>
      <c r="M359" s="140"/>
      <c r="N359" s="140"/>
    </row>
    <row r="360" spans="1:14" ht="21.75" customHeight="1" x14ac:dyDescent="0.4">
      <c r="A360" s="249"/>
      <c r="B360" s="250"/>
      <c r="C360" s="250"/>
      <c r="D360" s="251"/>
      <c r="E360" s="73" t="s">
        <v>148</v>
      </c>
      <c r="F360" s="75"/>
      <c r="G360" s="76"/>
      <c r="H360" s="264" t="s">
        <v>103</v>
      </c>
      <c r="I360" s="265">
        <f ca="1">I359</f>
        <v>24457</v>
      </c>
      <c r="J360" s="265">
        <f t="shared" ref="J360:J361" si="83">+J362+J364+J366</f>
        <v>0</v>
      </c>
      <c r="K360" s="80">
        <f t="shared" ca="1" si="82"/>
        <v>0</v>
      </c>
      <c r="L360" s="61"/>
      <c r="M360" s="61"/>
      <c r="N360" s="61"/>
    </row>
    <row r="361" spans="1:14" ht="21.75" customHeight="1" x14ac:dyDescent="0.4">
      <c r="A361" s="249"/>
      <c r="B361" s="250"/>
      <c r="C361" s="250"/>
      <c r="D361" s="251"/>
      <c r="E361" s="75"/>
      <c r="F361" s="75"/>
      <c r="G361" s="76"/>
      <c r="H361" s="264" t="s">
        <v>15</v>
      </c>
      <c r="I361" s="79">
        <f ca="1">IFERROR(__xludf.DUMMYFUNCTION("IMPORTRANGE(""https://docs.google.com/spreadsheets/d/1C3CXT74ZlgGe6_JY_1olB1XN4rF0dxEuIIF-xsYjHgg/edit?usp=sharing"",""งบกองทุน!BF36"")"),2670)</f>
        <v>2670</v>
      </c>
      <c r="J361" s="265">
        <f t="shared" si="83"/>
        <v>0</v>
      </c>
      <c r="K361" s="80">
        <f t="shared" ca="1" si="82"/>
        <v>0</v>
      </c>
      <c r="L361" s="61"/>
      <c r="M361" s="61"/>
      <c r="N361" s="61"/>
    </row>
    <row r="362" spans="1:14" ht="21.75" customHeight="1" x14ac:dyDescent="0.4">
      <c r="A362" s="249"/>
      <c r="B362" s="250"/>
      <c r="C362" s="250"/>
      <c r="D362" s="251"/>
      <c r="E362" s="75"/>
      <c r="F362" s="242" t="s">
        <v>149</v>
      </c>
      <c r="G362" s="266"/>
      <c r="H362" s="267" t="s">
        <v>103</v>
      </c>
      <c r="I362" s="48">
        <v>0</v>
      </c>
      <c r="J362" s="68">
        <v>0</v>
      </c>
      <c r="K362" s="80">
        <f t="shared" si="82"/>
        <v>0</v>
      </c>
      <c r="L362" s="61"/>
      <c r="M362" s="61"/>
      <c r="N362" s="61"/>
    </row>
    <row r="363" spans="1:14" ht="21.75" customHeight="1" x14ac:dyDescent="0.4">
      <c r="A363" s="249"/>
      <c r="B363" s="250"/>
      <c r="C363" s="250"/>
      <c r="D363" s="251"/>
      <c r="E363" s="75"/>
      <c r="F363" s="75"/>
      <c r="G363" s="266"/>
      <c r="H363" s="267" t="s">
        <v>15</v>
      </c>
      <c r="I363" s="48">
        <v>0</v>
      </c>
      <c r="J363" s="68">
        <v>0</v>
      </c>
      <c r="K363" s="80">
        <f t="shared" si="82"/>
        <v>0</v>
      </c>
      <c r="L363" s="61"/>
      <c r="M363" s="61"/>
      <c r="N363" s="61"/>
    </row>
    <row r="364" spans="1:14" ht="21.75" customHeight="1" x14ac:dyDescent="0.4">
      <c r="A364" s="249"/>
      <c r="B364" s="250"/>
      <c r="C364" s="250"/>
      <c r="D364" s="251"/>
      <c r="E364" s="75"/>
      <c r="F364" s="242" t="s">
        <v>150</v>
      </c>
      <c r="G364" s="266"/>
      <c r="H364" s="267" t="s">
        <v>103</v>
      </c>
      <c r="I364" s="48">
        <v>0</v>
      </c>
      <c r="J364" s="68">
        <v>0</v>
      </c>
      <c r="K364" s="80">
        <f t="shared" si="82"/>
        <v>0</v>
      </c>
      <c r="L364" s="61"/>
      <c r="M364" s="61"/>
      <c r="N364" s="61"/>
    </row>
    <row r="365" spans="1:14" ht="21.75" customHeight="1" x14ac:dyDescent="0.4">
      <c r="A365" s="249"/>
      <c r="B365" s="250"/>
      <c r="C365" s="250"/>
      <c r="D365" s="251"/>
      <c r="E365" s="75"/>
      <c r="F365" s="75"/>
      <c r="G365" s="266"/>
      <c r="H365" s="267" t="s">
        <v>15</v>
      </c>
      <c r="I365" s="48">
        <v>0</v>
      </c>
      <c r="J365" s="68">
        <v>0</v>
      </c>
      <c r="K365" s="80">
        <f t="shared" si="82"/>
        <v>0</v>
      </c>
      <c r="L365" s="61"/>
      <c r="M365" s="61"/>
      <c r="N365" s="61"/>
    </row>
    <row r="366" spans="1:14" ht="21.75" customHeight="1" x14ac:dyDescent="0.4">
      <c r="A366" s="249"/>
      <c r="B366" s="250"/>
      <c r="C366" s="250"/>
      <c r="D366" s="251"/>
      <c r="E366" s="75"/>
      <c r="F366" s="242" t="s">
        <v>151</v>
      </c>
      <c r="G366" s="266"/>
      <c r="H366" s="267" t="s">
        <v>103</v>
      </c>
      <c r="I366" s="48">
        <v>0</v>
      </c>
      <c r="J366" s="68">
        <v>0</v>
      </c>
      <c r="K366" s="80">
        <f t="shared" si="82"/>
        <v>0</v>
      </c>
      <c r="L366" s="61"/>
      <c r="M366" s="61"/>
      <c r="N366" s="61"/>
    </row>
    <row r="367" spans="1:14" ht="21.75" customHeight="1" x14ac:dyDescent="0.4">
      <c r="A367" s="249"/>
      <c r="B367" s="250"/>
      <c r="C367" s="250"/>
      <c r="D367" s="251"/>
      <c r="E367" s="75"/>
      <c r="F367" s="75"/>
      <c r="G367" s="75"/>
      <c r="H367" s="267" t="s">
        <v>15</v>
      </c>
      <c r="I367" s="48">
        <v>0</v>
      </c>
      <c r="J367" s="68">
        <v>0</v>
      </c>
      <c r="K367" s="80">
        <f t="shared" si="82"/>
        <v>0</v>
      </c>
      <c r="L367" s="61"/>
      <c r="M367" s="61"/>
      <c r="N367" s="61"/>
    </row>
    <row r="368" spans="1:14" ht="21.75" customHeight="1" x14ac:dyDescent="0.4">
      <c r="A368" s="249"/>
      <c r="B368" s="250"/>
      <c r="C368" s="250"/>
      <c r="D368" s="251"/>
      <c r="E368" s="155" t="s">
        <v>152</v>
      </c>
      <c r="F368" s="75"/>
      <c r="G368" s="76"/>
      <c r="H368" s="264" t="s">
        <v>103</v>
      </c>
      <c r="I368" s="265">
        <f ca="1">+I359</f>
        <v>24457</v>
      </c>
      <c r="J368" s="265">
        <f t="shared" ref="J368:J369" si="84">+J370+J372+J374</f>
        <v>0</v>
      </c>
      <c r="K368" s="80">
        <f t="shared" ca="1" si="82"/>
        <v>0</v>
      </c>
      <c r="L368" s="61"/>
      <c r="M368" s="61"/>
      <c r="N368" s="61"/>
    </row>
    <row r="369" spans="1:14" ht="21.75" customHeight="1" x14ac:dyDescent="0.4">
      <c r="A369" s="249"/>
      <c r="B369" s="250"/>
      <c r="C369" s="250"/>
      <c r="D369" s="251"/>
      <c r="E369" s="75"/>
      <c r="F369" s="75"/>
      <c r="G369" s="76"/>
      <c r="H369" s="264" t="s">
        <v>15</v>
      </c>
      <c r="I369" s="265">
        <f ca="1">I361</f>
        <v>2670</v>
      </c>
      <c r="J369" s="265">
        <f t="shared" si="84"/>
        <v>0</v>
      </c>
      <c r="K369" s="80">
        <f t="shared" ca="1" si="82"/>
        <v>0</v>
      </c>
      <c r="L369" s="61"/>
      <c r="M369" s="61"/>
      <c r="N369" s="61"/>
    </row>
    <row r="370" spans="1:14" ht="21.75" customHeight="1" x14ac:dyDescent="0.4">
      <c r="A370" s="249"/>
      <c r="B370" s="250"/>
      <c r="C370" s="250"/>
      <c r="D370" s="251"/>
      <c r="E370" s="75"/>
      <c r="F370" s="74" t="s">
        <v>153</v>
      </c>
      <c r="G370" s="266"/>
      <c r="H370" s="267" t="s">
        <v>103</v>
      </c>
      <c r="I370" s="48">
        <v>0</v>
      </c>
      <c r="J370" s="68">
        <v>0</v>
      </c>
      <c r="K370" s="80">
        <f t="shared" si="82"/>
        <v>0</v>
      </c>
      <c r="L370" s="61"/>
      <c r="M370" s="61"/>
      <c r="N370" s="61"/>
    </row>
    <row r="371" spans="1:14" ht="21.75" customHeight="1" x14ac:dyDescent="0.4">
      <c r="A371" s="249"/>
      <c r="B371" s="250"/>
      <c r="C371" s="250"/>
      <c r="D371" s="251"/>
      <c r="E371" s="75"/>
      <c r="F371" s="75"/>
      <c r="G371" s="266"/>
      <c r="H371" s="267" t="s">
        <v>15</v>
      </c>
      <c r="I371" s="48">
        <v>0</v>
      </c>
      <c r="J371" s="68">
        <v>0</v>
      </c>
      <c r="K371" s="80">
        <f t="shared" si="82"/>
        <v>0</v>
      </c>
      <c r="L371" s="61"/>
      <c r="M371" s="61"/>
      <c r="N371" s="61"/>
    </row>
    <row r="372" spans="1:14" ht="21.75" customHeight="1" x14ac:dyDescent="0.4">
      <c r="A372" s="249"/>
      <c r="B372" s="250"/>
      <c r="C372" s="250"/>
      <c r="D372" s="251"/>
      <c r="E372" s="75"/>
      <c r="F372" s="74" t="s">
        <v>154</v>
      </c>
      <c r="G372" s="266"/>
      <c r="H372" s="267" t="s">
        <v>103</v>
      </c>
      <c r="I372" s="48">
        <v>0</v>
      </c>
      <c r="J372" s="68">
        <v>0</v>
      </c>
      <c r="K372" s="80">
        <f t="shared" si="82"/>
        <v>0</v>
      </c>
      <c r="L372" s="61"/>
      <c r="M372" s="61"/>
      <c r="N372" s="61"/>
    </row>
    <row r="373" spans="1:14" ht="21.75" customHeight="1" x14ac:dyDescent="0.4">
      <c r="A373" s="249"/>
      <c r="B373" s="250"/>
      <c r="C373" s="250"/>
      <c r="D373" s="251"/>
      <c r="E373" s="75"/>
      <c r="F373" s="75"/>
      <c r="G373" s="266"/>
      <c r="H373" s="267" t="s">
        <v>15</v>
      </c>
      <c r="I373" s="48">
        <v>0</v>
      </c>
      <c r="J373" s="68">
        <v>0</v>
      </c>
      <c r="K373" s="80">
        <f t="shared" si="82"/>
        <v>0</v>
      </c>
      <c r="L373" s="61"/>
      <c r="M373" s="61"/>
      <c r="N373" s="61"/>
    </row>
    <row r="374" spans="1:14" ht="21.75" customHeight="1" x14ac:dyDescent="0.4">
      <c r="A374" s="249"/>
      <c r="B374" s="250"/>
      <c r="C374" s="250"/>
      <c r="D374" s="251"/>
      <c r="E374" s="75"/>
      <c r="F374" s="74" t="s">
        <v>155</v>
      </c>
      <c r="G374" s="266"/>
      <c r="H374" s="267" t="s">
        <v>103</v>
      </c>
      <c r="I374" s="48">
        <v>0</v>
      </c>
      <c r="J374" s="68">
        <v>0</v>
      </c>
      <c r="K374" s="80">
        <f t="shared" si="82"/>
        <v>0</v>
      </c>
      <c r="L374" s="61"/>
      <c r="M374" s="61"/>
      <c r="N374" s="61"/>
    </row>
    <row r="375" spans="1:14" ht="21.75" customHeight="1" x14ac:dyDescent="0.4">
      <c r="A375" s="249"/>
      <c r="B375" s="250"/>
      <c r="C375" s="250"/>
      <c r="D375" s="251"/>
      <c r="E375" s="75"/>
      <c r="F375" s="75"/>
      <c r="G375" s="76"/>
      <c r="H375" s="267" t="s">
        <v>15</v>
      </c>
      <c r="I375" s="48">
        <v>0</v>
      </c>
      <c r="J375" s="68">
        <v>0</v>
      </c>
      <c r="K375" s="80">
        <f t="shared" si="82"/>
        <v>0</v>
      </c>
      <c r="L375" s="61"/>
      <c r="M375" s="61"/>
      <c r="N375" s="61"/>
    </row>
    <row r="376" spans="1:14" ht="21.75" customHeight="1" x14ac:dyDescent="0.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24457</v>
      </c>
      <c r="J376" s="265">
        <f t="shared" ref="J376:J377" si="85">+J378+J380+J382+J388</f>
        <v>0</v>
      </c>
      <c r="K376" s="80">
        <f t="shared" ca="1" si="82"/>
        <v>0</v>
      </c>
      <c r="L376" s="275"/>
      <c r="M376" s="275"/>
      <c r="N376" s="275"/>
    </row>
    <row r="377" spans="1:14" ht="21.75" customHeight="1" x14ac:dyDescent="0.4">
      <c r="A377" s="249"/>
      <c r="B377" s="250"/>
      <c r="C377" s="250"/>
      <c r="D377" s="251"/>
      <c r="E377" s="75"/>
      <c r="F377" s="75"/>
      <c r="G377" s="76"/>
      <c r="H377" s="264" t="s">
        <v>15</v>
      </c>
      <c r="I377" s="265">
        <f ca="1">I361</f>
        <v>2670</v>
      </c>
      <c r="J377" s="265">
        <f t="shared" si="85"/>
        <v>0</v>
      </c>
      <c r="K377" s="80">
        <f t="shared" ca="1" si="82"/>
        <v>0</v>
      </c>
      <c r="L377" s="61"/>
      <c r="M377" s="61"/>
      <c r="N377" s="61"/>
    </row>
    <row r="378" spans="1:14" ht="21.75" customHeight="1" x14ac:dyDescent="0.4">
      <c r="A378" s="249"/>
      <c r="B378" s="250"/>
      <c r="C378" s="250"/>
      <c r="D378" s="251"/>
      <c r="E378" s="75"/>
      <c r="F378" s="74" t="s">
        <v>157</v>
      </c>
      <c r="G378" s="266"/>
      <c r="H378" s="267" t="s">
        <v>103</v>
      </c>
      <c r="I378" s="48">
        <v>0</v>
      </c>
      <c r="J378" s="68">
        <v>0</v>
      </c>
      <c r="K378" s="80">
        <f t="shared" si="82"/>
        <v>0</v>
      </c>
      <c r="L378" s="61"/>
      <c r="M378" s="61"/>
      <c r="N378" s="61"/>
    </row>
    <row r="379" spans="1:14" ht="21.75" customHeight="1" x14ac:dyDescent="0.4">
      <c r="A379" s="249"/>
      <c r="B379" s="250"/>
      <c r="C379" s="250"/>
      <c r="D379" s="251"/>
      <c r="E379" s="75"/>
      <c r="F379" s="75"/>
      <c r="G379" s="266"/>
      <c r="H379" s="267" t="s">
        <v>15</v>
      </c>
      <c r="I379" s="48">
        <v>0</v>
      </c>
      <c r="J379" s="68">
        <v>0</v>
      </c>
      <c r="K379" s="80">
        <f t="shared" si="82"/>
        <v>0</v>
      </c>
      <c r="L379" s="61"/>
      <c r="M379" s="61"/>
      <c r="N379" s="61"/>
    </row>
    <row r="380" spans="1:14" ht="21.75" customHeight="1" x14ac:dyDescent="0.4">
      <c r="A380" s="249"/>
      <c r="B380" s="250"/>
      <c r="C380" s="250"/>
      <c r="D380" s="251"/>
      <c r="E380" s="75"/>
      <c r="F380" s="74" t="s">
        <v>158</v>
      </c>
      <c r="G380" s="266"/>
      <c r="H380" s="267" t="s">
        <v>103</v>
      </c>
      <c r="I380" s="48">
        <v>0</v>
      </c>
      <c r="J380" s="68">
        <v>0</v>
      </c>
      <c r="K380" s="80">
        <f t="shared" si="82"/>
        <v>0</v>
      </c>
      <c r="L380" s="61"/>
      <c r="M380" s="61"/>
      <c r="N380" s="61"/>
    </row>
    <row r="381" spans="1:14" ht="21.75" customHeight="1" x14ac:dyDescent="0.4">
      <c r="A381" s="249"/>
      <c r="B381" s="250"/>
      <c r="C381" s="250"/>
      <c r="D381" s="251"/>
      <c r="E381" s="75"/>
      <c r="F381" s="75"/>
      <c r="G381" s="266"/>
      <c r="H381" s="267" t="s">
        <v>15</v>
      </c>
      <c r="I381" s="48">
        <v>0</v>
      </c>
      <c r="J381" s="68">
        <v>0</v>
      </c>
      <c r="K381" s="80">
        <f t="shared" si="82"/>
        <v>0</v>
      </c>
      <c r="L381" s="61"/>
      <c r="M381" s="61"/>
      <c r="N381" s="61"/>
    </row>
    <row r="382" spans="1:14" ht="21.75" customHeight="1" x14ac:dyDescent="0.4">
      <c r="A382" s="249"/>
      <c r="B382" s="250"/>
      <c r="C382" s="250"/>
      <c r="D382" s="251"/>
      <c r="E382" s="75"/>
      <c r="F382" s="74" t="s">
        <v>159</v>
      </c>
      <c r="G382" s="266"/>
      <c r="H382" s="267" t="s">
        <v>103</v>
      </c>
      <c r="I382" s="48">
        <v>0</v>
      </c>
      <c r="J382" s="265">
        <f t="shared" ref="J382:J383" si="86">J384+J386</f>
        <v>0</v>
      </c>
      <c r="K382" s="80">
        <f t="shared" si="82"/>
        <v>0</v>
      </c>
      <c r="L382" s="61"/>
      <c r="M382" s="61"/>
      <c r="N382" s="61"/>
    </row>
    <row r="383" spans="1:14" ht="21.75" customHeight="1" x14ac:dyDescent="0.4">
      <c r="A383" s="249"/>
      <c r="B383" s="250"/>
      <c r="C383" s="250"/>
      <c r="D383" s="251"/>
      <c r="E383" s="75"/>
      <c r="F383" s="75"/>
      <c r="G383" s="75"/>
      <c r="H383" s="267" t="s">
        <v>15</v>
      </c>
      <c r="I383" s="48">
        <v>0</v>
      </c>
      <c r="J383" s="265">
        <f t="shared" si="86"/>
        <v>0</v>
      </c>
      <c r="K383" s="80">
        <f t="shared" si="82"/>
        <v>0</v>
      </c>
      <c r="L383" s="61"/>
      <c r="M383" s="61"/>
      <c r="N383" s="61"/>
    </row>
    <row r="384" spans="1:14" ht="21.75" customHeight="1" x14ac:dyDescent="0.4">
      <c r="A384" s="249"/>
      <c r="B384" s="250"/>
      <c r="C384" s="250"/>
      <c r="D384" s="251"/>
      <c r="E384" s="75"/>
      <c r="F384" s="75"/>
      <c r="G384" s="74" t="s">
        <v>160</v>
      </c>
      <c r="H384" s="267" t="s">
        <v>103</v>
      </c>
      <c r="I384" s="48">
        <v>0</v>
      </c>
      <c r="J384" s="68">
        <v>0</v>
      </c>
      <c r="K384" s="80">
        <f t="shared" si="82"/>
        <v>0</v>
      </c>
      <c r="L384" s="61"/>
      <c r="M384" s="61"/>
      <c r="N384" s="61"/>
    </row>
    <row r="385" spans="1:14" ht="21.75" customHeight="1" x14ac:dyDescent="0.4">
      <c r="A385" s="249"/>
      <c r="B385" s="250"/>
      <c r="C385" s="250"/>
      <c r="D385" s="251"/>
      <c r="E385" s="75"/>
      <c r="F385" s="75"/>
      <c r="G385" s="75"/>
      <c r="H385" s="267" t="s">
        <v>15</v>
      </c>
      <c r="I385" s="48">
        <v>0</v>
      </c>
      <c r="J385" s="68">
        <v>0</v>
      </c>
      <c r="K385" s="80">
        <f t="shared" si="82"/>
        <v>0</v>
      </c>
      <c r="L385" s="61"/>
      <c r="M385" s="61"/>
      <c r="N385" s="61"/>
    </row>
    <row r="386" spans="1:14" ht="21.75" customHeight="1" x14ac:dyDescent="0.4">
      <c r="A386" s="249"/>
      <c r="B386" s="250"/>
      <c r="C386" s="250"/>
      <c r="D386" s="251"/>
      <c r="E386" s="75"/>
      <c r="F386" s="75"/>
      <c r="G386" s="74" t="s">
        <v>161</v>
      </c>
      <c r="H386" s="267" t="s">
        <v>103</v>
      </c>
      <c r="I386" s="48">
        <v>0</v>
      </c>
      <c r="J386" s="68">
        <v>0</v>
      </c>
      <c r="K386" s="80">
        <f t="shared" si="82"/>
        <v>0</v>
      </c>
      <c r="L386" s="61"/>
      <c r="M386" s="61"/>
      <c r="N386" s="61"/>
    </row>
    <row r="387" spans="1:14" ht="21.75" customHeight="1" x14ac:dyDescent="0.4">
      <c r="A387" s="249"/>
      <c r="B387" s="250"/>
      <c r="C387" s="250"/>
      <c r="D387" s="251"/>
      <c r="E387" s="75"/>
      <c r="F387" s="75"/>
      <c r="G387" s="76"/>
      <c r="H387" s="267" t="s">
        <v>15</v>
      </c>
      <c r="I387" s="48">
        <v>0</v>
      </c>
      <c r="J387" s="68">
        <v>0</v>
      </c>
      <c r="K387" s="80">
        <f t="shared" si="82"/>
        <v>0</v>
      </c>
      <c r="L387" s="61"/>
      <c r="M387" s="61"/>
      <c r="N387" s="61"/>
    </row>
    <row r="388" spans="1:14" ht="21.75" customHeight="1" x14ac:dyDescent="0.4">
      <c r="A388" s="249"/>
      <c r="B388" s="250"/>
      <c r="C388" s="250"/>
      <c r="D388" s="251"/>
      <c r="E388" s="75"/>
      <c r="F388" s="74" t="s">
        <v>162</v>
      </c>
      <c r="G388" s="266"/>
      <c r="H388" s="267" t="s">
        <v>103</v>
      </c>
      <c r="I388" s="48">
        <v>0</v>
      </c>
      <c r="J388" s="68">
        <v>0</v>
      </c>
      <c r="K388" s="80">
        <f t="shared" si="82"/>
        <v>0</v>
      </c>
      <c r="L388" s="61"/>
      <c r="M388" s="61"/>
      <c r="N388" s="61"/>
    </row>
    <row r="389" spans="1:14" ht="21.75" customHeight="1" x14ac:dyDescent="0.4">
      <c r="A389" s="276"/>
      <c r="B389" s="277"/>
      <c r="C389" s="277"/>
      <c r="D389" s="278"/>
      <c r="E389" s="204"/>
      <c r="F389" s="204"/>
      <c r="G389" s="204"/>
      <c r="H389" s="279" t="s">
        <v>15</v>
      </c>
      <c r="I389" s="48">
        <v>0</v>
      </c>
      <c r="J389" s="68">
        <v>0</v>
      </c>
      <c r="K389" s="80">
        <f t="shared" si="82"/>
        <v>0</v>
      </c>
      <c r="L389" s="115"/>
      <c r="M389" s="115"/>
      <c r="N389" s="115"/>
    </row>
    <row r="390" spans="1:14" ht="21.75" customHeight="1" x14ac:dyDescent="0.4">
      <c r="A390" s="55"/>
      <c r="B390" s="56"/>
      <c r="C390" s="261" t="s">
        <v>163</v>
      </c>
      <c r="D390" s="261"/>
      <c r="E390" s="262"/>
      <c r="F390" s="262"/>
      <c r="G390" s="263"/>
      <c r="H390" s="136" t="s">
        <v>103</v>
      </c>
      <c r="I390" s="137">
        <f ca="1">IFERROR(__xludf.DUMMYFUNCTION("IMPORTRANGE(""https://docs.google.com/spreadsheets/d/1C3CXT74ZlgGe6_JY_1olB1XN4rF0dxEuIIF-xsYjHgg/edit?usp=sharing"",""งบกองทุน!cd36"")"),7373)</f>
        <v>7373</v>
      </c>
      <c r="J390" s="137">
        <f>J391</f>
        <v>0</v>
      </c>
      <c r="K390" s="138">
        <f t="shared" ca="1" si="82"/>
        <v>0</v>
      </c>
      <c r="L390" s="140"/>
      <c r="M390" s="140"/>
      <c r="N390" s="140"/>
    </row>
    <row r="391" spans="1:14" ht="21.75" customHeight="1" x14ac:dyDescent="0.4">
      <c r="A391" s="55"/>
      <c r="B391" s="56"/>
      <c r="C391" s="56"/>
      <c r="D391" s="251"/>
      <c r="E391" s="280" t="s">
        <v>164</v>
      </c>
      <c r="F391" s="281"/>
      <c r="G391" s="282"/>
      <c r="H391" s="283" t="s">
        <v>103</v>
      </c>
      <c r="I391" s="79">
        <f ca="1">IFERROR(__xludf.DUMMYFUNCTION("IMPORTRANGE(""https://docs.google.com/spreadsheets/d/1C3CXT74ZlgGe6_JY_1olB1XN4rF0dxEuIIF-xsYjHgg/edit?usp=sharing"",""งบกองทุน!cd36"")"),7373)</f>
        <v>7373</v>
      </c>
      <c r="J391" s="265">
        <f t="shared" ref="J391:J392" si="87">J393+J401+J407</f>
        <v>0</v>
      </c>
      <c r="K391" s="362">
        <f t="shared" ca="1" si="82"/>
        <v>0</v>
      </c>
      <c r="L391" s="61"/>
      <c r="M391" s="61"/>
      <c r="N391" s="61"/>
    </row>
    <row r="392" spans="1:14" ht="21.75" customHeight="1" x14ac:dyDescent="0.4">
      <c r="A392" s="55"/>
      <c r="B392" s="56"/>
      <c r="C392" s="56"/>
      <c r="D392" s="73"/>
      <c r="E392" s="281"/>
      <c r="F392" s="281"/>
      <c r="G392" s="282"/>
      <c r="H392" s="283" t="s">
        <v>15</v>
      </c>
      <c r="I392" s="79">
        <f ca="1">IFERROR(__xludf.DUMMYFUNCTION("IMPORTRANGE(""https://docs.google.com/spreadsheets/d/1C3CXT74ZlgGe6_JY_1olB1XN4rF0dxEuIIF-xsYjHgg/edit?usp=sharing"",""งบกองทุน!cc36"")"),412)</f>
        <v>412</v>
      </c>
      <c r="J392" s="265">
        <f t="shared" si="87"/>
        <v>0</v>
      </c>
      <c r="K392" s="362">
        <f t="shared" ca="1" si="82"/>
        <v>0</v>
      </c>
      <c r="L392" s="61"/>
      <c r="M392" s="61"/>
      <c r="N392" s="61"/>
    </row>
    <row r="393" spans="1:14" ht="21.75" customHeight="1" x14ac:dyDescent="0.4">
      <c r="A393" s="55"/>
      <c r="B393" s="56"/>
      <c r="C393" s="56"/>
      <c r="D393" s="251"/>
      <c r="E393" s="251" t="s">
        <v>165</v>
      </c>
      <c r="F393" s="75"/>
      <c r="G393" s="76"/>
      <c r="H393" s="267" t="s">
        <v>103</v>
      </c>
      <c r="I393" s="48">
        <v>0</v>
      </c>
      <c r="J393" s="48">
        <f t="shared" ref="J393:J394" si="88">J395+J397+J399</f>
        <v>0</v>
      </c>
      <c r="K393" s="233">
        <f t="shared" si="82"/>
        <v>0</v>
      </c>
      <c r="L393" s="61"/>
      <c r="M393" s="61"/>
      <c r="N393" s="61"/>
    </row>
    <row r="394" spans="1:14" ht="21.75" customHeight="1" x14ac:dyDescent="0.4">
      <c r="A394" s="55"/>
      <c r="B394" s="56"/>
      <c r="C394" s="56"/>
      <c r="D394" s="73"/>
      <c r="E394" s="75"/>
      <c r="F394" s="75"/>
      <c r="G394" s="76"/>
      <c r="H394" s="267" t="s">
        <v>15</v>
      </c>
      <c r="I394" s="48">
        <v>0</v>
      </c>
      <c r="J394" s="48">
        <f t="shared" si="88"/>
        <v>0</v>
      </c>
      <c r="K394" s="233">
        <f t="shared" si="82"/>
        <v>0</v>
      </c>
      <c r="L394" s="61"/>
      <c r="M394" s="61"/>
      <c r="N394" s="61"/>
    </row>
    <row r="395" spans="1:14" ht="21.75" customHeight="1" x14ac:dyDescent="0.4">
      <c r="A395" s="55"/>
      <c r="B395" s="56"/>
      <c r="C395" s="56"/>
      <c r="D395" s="73"/>
      <c r="E395" s="75"/>
      <c r="F395" s="242" t="s">
        <v>166</v>
      </c>
      <c r="G395" s="266"/>
      <c r="H395" s="267" t="s">
        <v>103</v>
      </c>
      <c r="I395" s="48">
        <v>0</v>
      </c>
      <c r="J395" s="68">
        <v>0</v>
      </c>
      <c r="K395" s="233">
        <f t="shared" si="82"/>
        <v>0</v>
      </c>
      <c r="L395" s="61"/>
      <c r="M395" s="61"/>
      <c r="N395" s="61"/>
    </row>
    <row r="396" spans="1:14" ht="21.75" customHeight="1" x14ac:dyDescent="0.4">
      <c r="A396" s="55"/>
      <c r="B396" s="56"/>
      <c r="C396" s="56"/>
      <c r="D396" s="73"/>
      <c r="E396" s="75"/>
      <c r="F396" s="75"/>
      <c r="G396" s="266"/>
      <c r="H396" s="267" t="s">
        <v>15</v>
      </c>
      <c r="I396" s="48">
        <v>0</v>
      </c>
      <c r="J396" s="68">
        <v>0</v>
      </c>
      <c r="K396" s="233">
        <f t="shared" si="82"/>
        <v>0</v>
      </c>
      <c r="L396" s="61"/>
      <c r="M396" s="61"/>
      <c r="N396" s="61"/>
    </row>
    <row r="397" spans="1:14" ht="21.75" customHeight="1" x14ac:dyDescent="0.4">
      <c r="A397" s="55"/>
      <c r="B397" s="56"/>
      <c r="C397" s="56"/>
      <c r="D397" s="73"/>
      <c r="E397" s="75"/>
      <c r="F397" s="242" t="s">
        <v>167</v>
      </c>
      <c r="G397" s="266"/>
      <c r="H397" s="267" t="s">
        <v>103</v>
      </c>
      <c r="I397" s="48">
        <v>0</v>
      </c>
      <c r="J397" s="68">
        <v>0</v>
      </c>
      <c r="K397" s="233">
        <f t="shared" si="82"/>
        <v>0</v>
      </c>
      <c r="L397" s="61"/>
      <c r="M397" s="61"/>
      <c r="N397" s="61"/>
    </row>
    <row r="398" spans="1:14" ht="21.75" customHeight="1" x14ac:dyDescent="0.4">
      <c r="A398" s="55"/>
      <c r="B398" s="56"/>
      <c r="C398" s="56"/>
      <c r="D398" s="73"/>
      <c r="E398" s="75"/>
      <c r="F398" s="75"/>
      <c r="G398" s="266"/>
      <c r="H398" s="267" t="s">
        <v>15</v>
      </c>
      <c r="I398" s="48">
        <v>0</v>
      </c>
      <c r="J398" s="68">
        <v>0</v>
      </c>
      <c r="K398" s="233">
        <f t="shared" si="82"/>
        <v>0</v>
      </c>
      <c r="L398" s="61"/>
      <c r="M398" s="61"/>
      <c r="N398" s="61"/>
    </row>
    <row r="399" spans="1:14" ht="21.75" customHeight="1" x14ac:dyDescent="0.4">
      <c r="A399" s="55"/>
      <c r="B399" s="56"/>
      <c r="C399" s="56"/>
      <c r="D399" s="73"/>
      <c r="E399" s="75"/>
      <c r="F399" s="242" t="s">
        <v>168</v>
      </c>
      <c r="G399" s="266"/>
      <c r="H399" s="267" t="s">
        <v>103</v>
      </c>
      <c r="I399" s="48">
        <v>0</v>
      </c>
      <c r="J399" s="68">
        <v>0</v>
      </c>
      <c r="K399" s="233">
        <f t="shared" si="82"/>
        <v>0</v>
      </c>
      <c r="L399" s="61"/>
      <c r="M399" s="61"/>
      <c r="N399" s="61"/>
    </row>
    <row r="400" spans="1:14" ht="21.75" customHeight="1" x14ac:dyDescent="0.4">
      <c r="A400" s="55"/>
      <c r="B400" s="56"/>
      <c r="C400" s="56"/>
      <c r="D400" s="73"/>
      <c r="E400" s="75"/>
      <c r="F400" s="75"/>
      <c r="G400" s="75"/>
      <c r="H400" s="267" t="s">
        <v>15</v>
      </c>
      <c r="I400" s="48">
        <v>0</v>
      </c>
      <c r="J400" s="68">
        <v>0</v>
      </c>
      <c r="K400" s="233">
        <f t="shared" si="82"/>
        <v>0</v>
      </c>
      <c r="L400" s="61"/>
      <c r="M400" s="61"/>
      <c r="N400" s="61"/>
    </row>
    <row r="401" spans="1:14" ht="21.75" customHeight="1" x14ac:dyDescent="0.4">
      <c r="A401" s="55"/>
      <c r="B401" s="56"/>
      <c r="C401" s="56"/>
      <c r="D401" s="73"/>
      <c r="E401" s="74" t="s">
        <v>169</v>
      </c>
      <c r="F401" s="75"/>
      <c r="G401" s="266"/>
      <c r="H401" s="267" t="s">
        <v>103</v>
      </c>
      <c r="I401" s="48">
        <v>0</v>
      </c>
      <c r="J401" s="48">
        <f t="shared" ref="J401:J402" si="89">+J403+J405</f>
        <v>0</v>
      </c>
      <c r="K401" s="233">
        <f t="shared" si="82"/>
        <v>0</v>
      </c>
      <c r="L401" s="61"/>
      <c r="M401" s="61"/>
      <c r="N401" s="61"/>
    </row>
    <row r="402" spans="1:14" ht="21.75" customHeight="1" x14ac:dyDescent="0.4">
      <c r="A402" s="55"/>
      <c r="B402" s="56"/>
      <c r="C402" s="56"/>
      <c r="D402" s="73"/>
      <c r="E402" s="75"/>
      <c r="F402" s="75"/>
      <c r="G402" s="75"/>
      <c r="H402" s="267" t="s">
        <v>15</v>
      </c>
      <c r="I402" s="48">
        <v>0</v>
      </c>
      <c r="J402" s="48">
        <f t="shared" si="89"/>
        <v>0</v>
      </c>
      <c r="K402" s="233">
        <f t="shared" si="82"/>
        <v>0</v>
      </c>
      <c r="L402" s="61"/>
      <c r="M402" s="61"/>
      <c r="N402" s="61"/>
    </row>
    <row r="403" spans="1:14" ht="21.75" customHeight="1" x14ac:dyDescent="0.4">
      <c r="A403" s="55"/>
      <c r="B403" s="56"/>
      <c r="C403" s="56"/>
      <c r="D403" s="73"/>
      <c r="E403" s="75"/>
      <c r="F403" s="74" t="s">
        <v>170</v>
      </c>
      <c r="G403" s="75"/>
      <c r="H403" s="267" t="s">
        <v>103</v>
      </c>
      <c r="I403" s="48">
        <v>0</v>
      </c>
      <c r="J403" s="68">
        <v>0</v>
      </c>
      <c r="K403" s="233">
        <f t="shared" si="82"/>
        <v>0</v>
      </c>
      <c r="L403" s="61"/>
      <c r="M403" s="61"/>
      <c r="N403" s="61"/>
    </row>
    <row r="404" spans="1:14" ht="21.75" customHeight="1" x14ac:dyDescent="0.4">
      <c r="A404" s="55"/>
      <c r="B404" s="56"/>
      <c r="C404" s="56"/>
      <c r="D404" s="73"/>
      <c r="E404" s="75"/>
      <c r="F404" s="75"/>
      <c r="G404" s="75"/>
      <c r="H404" s="267" t="s">
        <v>15</v>
      </c>
      <c r="I404" s="48">
        <v>0</v>
      </c>
      <c r="J404" s="68">
        <v>0</v>
      </c>
      <c r="K404" s="233">
        <f t="shared" si="82"/>
        <v>0</v>
      </c>
      <c r="L404" s="61"/>
      <c r="M404" s="61"/>
      <c r="N404" s="61"/>
    </row>
    <row r="405" spans="1:14" ht="21.75" customHeight="1" x14ac:dyDescent="0.4">
      <c r="A405" s="55"/>
      <c r="B405" s="56"/>
      <c r="C405" s="56"/>
      <c r="D405" s="73"/>
      <c r="E405" s="75"/>
      <c r="F405" s="74" t="s">
        <v>171</v>
      </c>
      <c r="G405" s="75"/>
      <c r="H405" s="267" t="s">
        <v>103</v>
      </c>
      <c r="I405" s="48">
        <v>0</v>
      </c>
      <c r="J405" s="68">
        <v>0</v>
      </c>
      <c r="K405" s="233">
        <f t="shared" si="82"/>
        <v>0</v>
      </c>
      <c r="L405" s="61"/>
      <c r="M405" s="61"/>
      <c r="N405" s="61"/>
    </row>
    <row r="406" spans="1:14" ht="21.75" customHeight="1" x14ac:dyDescent="0.4">
      <c r="A406" s="55"/>
      <c r="B406" s="56"/>
      <c r="C406" s="56"/>
      <c r="D406" s="73"/>
      <c r="E406" s="75"/>
      <c r="F406" s="75"/>
      <c r="G406" s="76"/>
      <c r="H406" s="267" t="s">
        <v>15</v>
      </c>
      <c r="I406" s="48">
        <v>0</v>
      </c>
      <c r="J406" s="68">
        <v>0</v>
      </c>
      <c r="K406" s="233">
        <f t="shared" si="82"/>
        <v>0</v>
      </c>
      <c r="L406" s="61"/>
      <c r="M406" s="61"/>
      <c r="N406" s="61"/>
    </row>
    <row r="407" spans="1:14" ht="21.75" customHeight="1" x14ac:dyDescent="0.4">
      <c r="A407" s="55"/>
      <c r="B407" s="56"/>
      <c r="C407" s="56"/>
      <c r="D407" s="251"/>
      <c r="E407" s="251" t="s">
        <v>225</v>
      </c>
      <c r="F407" s="75"/>
      <c r="G407" s="76"/>
      <c r="H407" s="267" t="s">
        <v>103</v>
      </c>
      <c r="I407" s="48">
        <v>0</v>
      </c>
      <c r="J407" s="68">
        <v>0</v>
      </c>
      <c r="K407" s="233">
        <f t="shared" si="82"/>
        <v>0</v>
      </c>
      <c r="L407" s="61"/>
      <c r="M407" s="61"/>
      <c r="N407" s="61"/>
    </row>
    <row r="408" spans="1:14" ht="21.75" customHeight="1" x14ac:dyDescent="0.4">
      <c r="A408" s="55"/>
      <c r="B408" s="56"/>
      <c r="C408" s="56"/>
      <c r="D408" s="73"/>
      <c r="E408" s="75"/>
      <c r="F408" s="75"/>
      <c r="G408" s="76"/>
      <c r="H408" s="267" t="s">
        <v>15</v>
      </c>
      <c r="I408" s="48">
        <v>0</v>
      </c>
      <c r="J408" s="68">
        <v>0</v>
      </c>
      <c r="K408" s="233">
        <f t="shared" si="82"/>
        <v>0</v>
      </c>
      <c r="L408" s="61"/>
      <c r="M408" s="61"/>
      <c r="N408" s="61"/>
    </row>
    <row r="409" spans="1:14" ht="21.75" customHeight="1" x14ac:dyDescent="0.4">
      <c r="A409" s="55"/>
      <c r="B409" s="56"/>
      <c r="C409" s="261" t="s">
        <v>173</v>
      </c>
      <c r="D409" s="261"/>
      <c r="E409" s="285"/>
      <c r="F409" s="285"/>
      <c r="G409" s="286"/>
      <c r="H409" s="287" t="s">
        <v>103</v>
      </c>
      <c r="I409" s="137">
        <f ca="1">IFERROR(__xludf.DUMMYFUNCTION("IMPORTRANGE(""https://docs.google.com/spreadsheets/d/1C3CXT74ZlgGe6_JY_1olB1XN4rF0dxEuIIF-xsYjHgg/edit?usp=sharing"",""งบกองทุน!cz36"")"),0)</f>
        <v>0</v>
      </c>
      <c r="J409" s="137">
        <f ca="1">+J412+J414+J416</f>
        <v>0</v>
      </c>
      <c r="K409" s="138">
        <f t="shared" ca="1" si="82"/>
        <v>0</v>
      </c>
      <c r="L409" s="61"/>
      <c r="M409" s="61"/>
      <c r="N409" s="61"/>
    </row>
    <row r="410" spans="1:14" ht="21.75" customHeight="1" x14ac:dyDescent="0.4">
      <c r="A410" s="55"/>
      <c r="B410" s="56"/>
      <c r="C410" s="288"/>
      <c r="D410" s="288"/>
      <c r="E410" s="288" t="s">
        <v>174</v>
      </c>
      <c r="F410" s="289"/>
      <c r="G410" s="290"/>
      <c r="H410" s="363" t="s">
        <v>103</v>
      </c>
      <c r="I410" s="150">
        <f ca="1">IFERROR(__xludf.DUMMYFUNCTION("IMPORTRANGE(""https://docs.google.com/spreadsheets/d/1C3CXT74ZlgGe6_JY_1olB1XN4rF0dxEuIIF-xsYjHgg/edit?usp=sharing"",""งบกองทุน!cz36"")"),0)</f>
        <v>0</v>
      </c>
      <c r="J410" s="150">
        <f t="shared" ref="J410:J411" ca="1" si="90">SUM(J412,J414)</f>
        <v>0</v>
      </c>
      <c r="K410" s="151">
        <f t="shared" ca="1" si="82"/>
        <v>0</v>
      </c>
      <c r="L410" s="61"/>
      <c r="M410" s="61"/>
      <c r="N410" s="61"/>
    </row>
    <row r="411" spans="1:14" ht="21.75" customHeight="1" x14ac:dyDescent="0.4">
      <c r="A411" s="55"/>
      <c r="B411" s="56"/>
      <c r="C411" s="288"/>
      <c r="D411" s="288"/>
      <c r="E411" s="288" t="s">
        <v>175</v>
      </c>
      <c r="F411" s="289"/>
      <c r="G411" s="290"/>
      <c r="H411" s="363" t="s">
        <v>15</v>
      </c>
      <c r="I411" s="150">
        <f ca="1">IFERROR(__xludf.DUMMYFUNCTION("IMPORTRANGE(""https://docs.google.com/spreadsheets/d/1C3CXT74ZlgGe6_JY_1olB1XN4rF0dxEuIIF-xsYjHgg/edit?usp=sharing"",""งบกองทุน!cy36"")"),0)</f>
        <v>0</v>
      </c>
      <c r="J411" s="150">
        <f t="shared" ca="1" si="90"/>
        <v>0</v>
      </c>
      <c r="K411" s="151">
        <f t="shared" ca="1" si="82"/>
        <v>0</v>
      </c>
      <c r="L411" s="61"/>
      <c r="M411" s="61"/>
      <c r="N411" s="61"/>
    </row>
    <row r="412" spans="1:14" ht="21.75" customHeight="1" x14ac:dyDescent="0.4">
      <c r="A412" s="55"/>
      <c r="B412" s="56"/>
      <c r="C412" s="56"/>
      <c r="D412" s="73"/>
      <c r="E412" s="75"/>
      <c r="F412" s="75"/>
      <c r="G412" s="99" t="s">
        <v>176</v>
      </c>
      <c r="H412" s="364" t="s">
        <v>103</v>
      </c>
      <c r="I412" s="365">
        <v>0</v>
      </c>
      <c r="J412" s="366">
        <f ca="1">IFERROR(__xludf.DUMMYFUNCTION("IMPORTRANGE(""https://docs.google.com/spreadsheets/d/1C3CXT74ZlgGe6_JY_1olB1XN4rF0dxEuIIF-xsYjHgg/edit?usp=sharing"",""งบกองทุน!db36"")"),0)</f>
        <v>0</v>
      </c>
      <c r="K412" s="367">
        <f t="shared" si="82"/>
        <v>0</v>
      </c>
      <c r="L412" s="61"/>
      <c r="M412" s="61"/>
      <c r="N412" s="61"/>
    </row>
    <row r="413" spans="1:14" ht="21.75" customHeight="1" x14ac:dyDescent="0.4">
      <c r="A413" s="55"/>
      <c r="B413" s="56"/>
      <c r="C413" s="56"/>
      <c r="D413" s="73"/>
      <c r="E413" s="75"/>
      <c r="F413" s="75"/>
      <c r="G413" s="76"/>
      <c r="H413" s="364" t="s">
        <v>15</v>
      </c>
      <c r="I413" s="365">
        <v>0</v>
      </c>
      <c r="J413" s="366">
        <f ca="1">IFERROR(__xludf.DUMMYFUNCTION("IMPORTRANGE(""https://docs.google.com/spreadsheets/d/1C3CXT74ZlgGe6_JY_1olB1XN4rF0dxEuIIF-xsYjHgg/edit?usp=sharing"",""งบกองทุน!da36"")"),0)</f>
        <v>0</v>
      </c>
      <c r="K413" s="367">
        <f t="shared" si="82"/>
        <v>0</v>
      </c>
      <c r="L413" s="61"/>
      <c r="M413" s="61"/>
      <c r="N413" s="61"/>
    </row>
    <row r="414" spans="1:14" ht="21.75" customHeight="1" x14ac:dyDescent="0.4">
      <c r="A414" s="55"/>
      <c r="B414" s="56"/>
      <c r="C414" s="56"/>
      <c r="D414" s="73"/>
      <c r="E414" s="75"/>
      <c r="F414" s="75"/>
      <c r="G414" s="99" t="s">
        <v>177</v>
      </c>
      <c r="H414" s="364" t="s">
        <v>103</v>
      </c>
      <c r="I414" s="365">
        <v>0</v>
      </c>
      <c r="J414" s="366">
        <f ca="1">IFERROR(__xludf.DUMMYFUNCTION("IMPORTRANGE(""https://docs.google.com/spreadsheets/d/1C3CXT74ZlgGe6_JY_1olB1XN4rF0dxEuIIF-xsYjHgg/edit?usp=sharing"",""งบกองทุน!dd36"")"),0)</f>
        <v>0</v>
      </c>
      <c r="K414" s="367">
        <f t="shared" si="82"/>
        <v>0</v>
      </c>
      <c r="L414" s="61"/>
      <c r="M414" s="61"/>
      <c r="N414" s="61"/>
    </row>
    <row r="415" spans="1:14" ht="21.75" customHeight="1" x14ac:dyDescent="0.4">
      <c r="A415" s="55"/>
      <c r="B415" s="56"/>
      <c r="C415" s="56"/>
      <c r="D415" s="73"/>
      <c r="E415" s="75"/>
      <c r="F415" s="75"/>
      <c r="G415" s="76"/>
      <c r="H415" s="364" t="s">
        <v>15</v>
      </c>
      <c r="I415" s="365">
        <v>0</v>
      </c>
      <c r="J415" s="366">
        <f ca="1">IFERROR(__xludf.DUMMYFUNCTION("IMPORTRANGE(""https://docs.google.com/spreadsheets/d/1C3CXT74ZlgGe6_JY_1olB1XN4rF0dxEuIIF-xsYjHgg/edit?usp=sharing"",""งบกองทุน!dc36"")"),0)</f>
        <v>0</v>
      </c>
      <c r="K415" s="367">
        <f t="shared" si="82"/>
        <v>0</v>
      </c>
      <c r="L415" s="61"/>
      <c r="M415" s="61"/>
      <c r="N415" s="61"/>
    </row>
    <row r="416" spans="1:14" ht="21.75" customHeight="1" x14ac:dyDescent="0.4">
      <c r="A416" s="55"/>
      <c r="B416" s="56"/>
      <c r="C416" s="56"/>
      <c r="D416" s="73"/>
      <c r="E416" s="75"/>
      <c r="F416" s="75"/>
      <c r="G416" s="99" t="s">
        <v>178</v>
      </c>
      <c r="H416" s="364" t="s">
        <v>103</v>
      </c>
      <c r="I416" s="365">
        <v>0</v>
      </c>
      <c r="J416" s="366">
        <f ca="1">IFERROR(__xludf.DUMMYFUNCTION("IMPORTRANGE(""https://docs.google.com/spreadsheets/d/1C3CXT74ZlgGe6_JY_1olB1XN4rF0dxEuIIF-xsYjHgg/edit?usp=sharing"",""งบกองทุน!df36"")"),0)</f>
        <v>0</v>
      </c>
      <c r="K416" s="367">
        <f t="shared" si="82"/>
        <v>0</v>
      </c>
      <c r="L416" s="61"/>
      <c r="M416" s="61"/>
      <c r="N416" s="61"/>
    </row>
    <row r="417" spans="1:14" ht="21.75" customHeight="1" x14ac:dyDescent="0.4">
      <c r="A417" s="55"/>
      <c r="B417" s="56"/>
      <c r="C417" s="56"/>
      <c r="D417" s="73"/>
      <c r="E417" s="75"/>
      <c r="F417" s="75"/>
      <c r="G417" s="76"/>
      <c r="H417" s="364" t="s">
        <v>15</v>
      </c>
      <c r="I417" s="365">
        <v>0</v>
      </c>
      <c r="J417" s="366">
        <f ca="1">IFERROR(__xludf.DUMMYFUNCTION("IMPORTRANGE(""https://docs.google.com/spreadsheets/d/1C3CXT74ZlgGe6_JY_1olB1XN4rF0dxEuIIF-xsYjHgg/edit?usp=sharing"",""งบกองทุน!de36"")"),0)</f>
        <v>0</v>
      </c>
      <c r="K417" s="367">
        <f t="shared" si="82"/>
        <v>0</v>
      </c>
      <c r="L417" s="61"/>
      <c r="M417" s="61"/>
      <c r="N417" s="61"/>
    </row>
    <row r="418" spans="1:14" ht="21.75" customHeight="1" x14ac:dyDescent="0.4">
      <c r="A418" s="55"/>
      <c r="B418" s="56"/>
      <c r="C418" s="288"/>
      <c r="D418" s="288"/>
      <c r="E418" s="288" t="s">
        <v>179</v>
      </c>
      <c r="F418" s="289"/>
      <c r="G418" s="290"/>
      <c r="H418" s="363" t="s">
        <v>103</v>
      </c>
      <c r="I418" s="368">
        <f t="shared" ref="I418:I419" ca="1" si="91">J416</f>
        <v>0</v>
      </c>
      <c r="J418" s="150">
        <f t="shared" ref="J418:J419" si="92">SUM(J420,J422,J424)</f>
        <v>0</v>
      </c>
      <c r="K418" s="369">
        <f t="shared" ca="1" si="82"/>
        <v>0</v>
      </c>
      <c r="L418" s="61"/>
      <c r="M418" s="61"/>
      <c r="N418" s="61"/>
    </row>
    <row r="419" spans="1:14" ht="21.75" customHeight="1" x14ac:dyDescent="0.4">
      <c r="A419" s="55"/>
      <c r="B419" s="56"/>
      <c r="C419" s="288"/>
      <c r="D419" s="288"/>
      <c r="E419" s="288" t="s">
        <v>180</v>
      </c>
      <c r="F419" s="289"/>
      <c r="G419" s="290"/>
      <c r="H419" s="363" t="s">
        <v>15</v>
      </c>
      <c r="I419" s="368">
        <f t="shared" ca="1" si="91"/>
        <v>0</v>
      </c>
      <c r="J419" s="150">
        <f t="shared" si="92"/>
        <v>0</v>
      </c>
      <c r="K419" s="369">
        <f t="shared" ca="1" si="82"/>
        <v>0</v>
      </c>
      <c r="L419" s="61"/>
      <c r="M419" s="61"/>
      <c r="N419" s="61"/>
    </row>
    <row r="420" spans="1:14" ht="21.75" customHeight="1" x14ac:dyDescent="0.4">
      <c r="A420" s="55"/>
      <c r="B420" s="56"/>
      <c r="C420" s="56"/>
      <c r="D420" s="73"/>
      <c r="E420" s="75"/>
      <c r="F420" s="75"/>
      <c r="G420" s="99" t="s">
        <v>176</v>
      </c>
      <c r="H420" s="364" t="s">
        <v>103</v>
      </c>
      <c r="I420" s="365">
        <v>0</v>
      </c>
      <c r="J420" s="68">
        <v>0</v>
      </c>
      <c r="K420" s="370">
        <f t="shared" si="82"/>
        <v>0</v>
      </c>
      <c r="L420" s="61"/>
      <c r="M420" s="61"/>
      <c r="N420" s="61"/>
    </row>
    <row r="421" spans="1:14" ht="21.75" customHeight="1" x14ac:dyDescent="0.4">
      <c r="A421" s="55"/>
      <c r="B421" s="56"/>
      <c r="C421" s="56"/>
      <c r="D421" s="73"/>
      <c r="E421" s="75"/>
      <c r="F421" s="75"/>
      <c r="G421" s="76"/>
      <c r="H421" s="364" t="s">
        <v>15</v>
      </c>
      <c r="I421" s="365">
        <v>0</v>
      </c>
      <c r="J421" s="68">
        <v>0</v>
      </c>
      <c r="K421" s="370">
        <f t="shared" si="82"/>
        <v>0</v>
      </c>
      <c r="L421" s="61"/>
      <c r="M421" s="61"/>
      <c r="N421" s="61"/>
    </row>
    <row r="422" spans="1:14" ht="21.75" customHeight="1" x14ac:dyDescent="0.4">
      <c r="A422" s="55"/>
      <c r="B422" s="56"/>
      <c r="C422" s="56"/>
      <c r="D422" s="73"/>
      <c r="E422" s="75"/>
      <c r="F422" s="75"/>
      <c r="G422" s="99" t="s">
        <v>177</v>
      </c>
      <c r="H422" s="364" t="s">
        <v>103</v>
      </c>
      <c r="I422" s="365">
        <v>0</v>
      </c>
      <c r="J422" s="68">
        <v>0</v>
      </c>
      <c r="K422" s="370">
        <f t="shared" si="82"/>
        <v>0</v>
      </c>
      <c r="L422" s="61"/>
      <c r="M422" s="61"/>
      <c r="N422" s="61"/>
    </row>
    <row r="423" spans="1:14" ht="21.75" customHeight="1" x14ac:dyDescent="0.4">
      <c r="A423" s="55"/>
      <c r="B423" s="56"/>
      <c r="C423" s="56"/>
      <c r="D423" s="73"/>
      <c r="E423" s="75"/>
      <c r="F423" s="75"/>
      <c r="G423" s="76"/>
      <c r="H423" s="364" t="s">
        <v>15</v>
      </c>
      <c r="I423" s="365">
        <v>0</v>
      </c>
      <c r="J423" s="68">
        <v>0</v>
      </c>
      <c r="K423" s="370">
        <f t="shared" si="82"/>
        <v>0</v>
      </c>
      <c r="L423" s="61"/>
      <c r="M423" s="61"/>
      <c r="N423" s="61"/>
    </row>
    <row r="424" spans="1:14" ht="21.75" customHeight="1" x14ac:dyDescent="0.4">
      <c r="A424" s="55"/>
      <c r="B424" s="56"/>
      <c r="C424" s="56"/>
      <c r="D424" s="73"/>
      <c r="E424" s="75"/>
      <c r="F424" s="75"/>
      <c r="G424" s="99" t="s">
        <v>181</v>
      </c>
      <c r="H424" s="364" t="s">
        <v>103</v>
      </c>
      <c r="I424" s="365">
        <v>0</v>
      </c>
      <c r="J424" s="68">
        <v>0</v>
      </c>
      <c r="K424" s="370">
        <f t="shared" si="82"/>
        <v>0</v>
      </c>
      <c r="L424" s="61"/>
      <c r="M424" s="61"/>
      <c r="N424" s="61"/>
    </row>
    <row r="425" spans="1:14" ht="21.75" customHeight="1" x14ac:dyDescent="0.4">
      <c r="A425" s="292"/>
      <c r="B425" s="293"/>
      <c r="C425" s="293"/>
      <c r="D425" s="294"/>
      <c r="E425" s="295"/>
      <c r="F425" s="295"/>
      <c r="G425" s="296"/>
      <c r="H425" s="371" t="s">
        <v>15</v>
      </c>
      <c r="I425" s="372">
        <v>0</v>
      </c>
      <c r="J425" s="247">
        <v>0</v>
      </c>
      <c r="K425" s="373">
        <f t="shared" si="82"/>
        <v>0</v>
      </c>
      <c r="L425" s="300"/>
      <c r="M425" s="300"/>
      <c r="N425" s="300"/>
    </row>
    <row r="426" spans="1:14" ht="21.75" customHeight="1" x14ac:dyDescent="0.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374" t="s">
        <v>16</v>
      </c>
      <c r="I426" s="375">
        <f t="shared" ref="I426:J426" ca="1" si="93">I440</f>
        <v>24</v>
      </c>
      <c r="J426" s="375">
        <f t="shared" si="93"/>
        <v>24</v>
      </c>
      <c r="K426" s="301">
        <f ca="1">IF(I426&gt;0,J426*100/I426,0)</f>
        <v>100</v>
      </c>
      <c r="L426" s="259">
        <f t="shared" ref="L426:M426" ca="1" si="94">SUM(L427:L428)</f>
        <v>36040</v>
      </c>
      <c r="M426" s="259">
        <f t="shared" si="94"/>
        <v>30290</v>
      </c>
      <c r="N426" s="259">
        <f t="shared" ref="N426:N430" ca="1" si="95">+IF(L426&gt;0,M426*100/L426,0)</f>
        <v>84.04550499445061</v>
      </c>
    </row>
    <row r="427" spans="1:14" ht="21.75" customHeight="1" x14ac:dyDescent="0.4">
      <c r="A427" s="42"/>
      <c r="B427" s="43"/>
      <c r="C427" s="43" t="s">
        <v>17</v>
      </c>
      <c r="D427" s="44" t="s">
        <v>18</v>
      </c>
      <c r="E427" s="45"/>
      <c r="F427" s="45"/>
      <c r="G427" s="46" t="s">
        <v>19</v>
      </c>
      <c r="H427" s="47" t="s">
        <v>20</v>
      </c>
      <c r="I427" s="48" t="s">
        <v>21</v>
      </c>
      <c r="J427" s="48"/>
      <c r="K427" s="49"/>
      <c r="L427" s="50">
        <v>0</v>
      </c>
      <c r="M427" s="53">
        <v>0</v>
      </c>
      <c r="N427" s="53">
        <f t="shared" si="95"/>
        <v>0</v>
      </c>
    </row>
    <row r="428" spans="1:14" ht="21.75" customHeight="1" x14ac:dyDescent="0.4">
      <c r="A428" s="42"/>
      <c r="B428" s="43"/>
      <c r="C428" s="43"/>
      <c r="D428" s="51"/>
      <c r="E428" s="45"/>
      <c r="F428" s="45" t="s">
        <v>21</v>
      </c>
      <c r="G428" s="46" t="s">
        <v>22</v>
      </c>
      <c r="H428" s="47" t="s">
        <v>20</v>
      </c>
      <c r="I428" s="48"/>
      <c r="J428" s="48"/>
      <c r="K428" s="49"/>
      <c r="L428" s="50">
        <f t="shared" ref="L428:M428" ca="1" si="96">SUM(L429:L430)</f>
        <v>36040</v>
      </c>
      <c r="M428" s="53">
        <f t="shared" si="96"/>
        <v>30290</v>
      </c>
      <c r="N428" s="53">
        <f t="shared" ca="1" si="95"/>
        <v>84.04550499445061</v>
      </c>
    </row>
    <row r="429" spans="1:14" ht="21.75" customHeight="1" x14ac:dyDescent="0.4">
      <c r="A429" s="42"/>
      <c r="B429" s="43"/>
      <c r="C429" s="43"/>
      <c r="D429" s="51"/>
      <c r="E429" s="45"/>
      <c r="F429" s="45"/>
      <c r="G429" s="52" t="s">
        <v>110</v>
      </c>
      <c r="H429" s="47" t="s">
        <v>20</v>
      </c>
      <c r="I429" s="48"/>
      <c r="J429" s="48"/>
      <c r="K429" s="49"/>
      <c r="L429" s="53">
        <f ca="1">IFERROR(__xludf.DUMMYFUNCTION("IMPORTRANGE(""https://docs.google.com/spreadsheets/d/1C3CXT74ZlgGe6_JY_1olB1XN4rF0dxEuIIF-xsYjHgg/edit?usp=sharing"",""งบกองทุน!dn36"")"),0)</f>
        <v>0</v>
      </c>
      <c r="M429" s="53">
        <v>0</v>
      </c>
      <c r="N429" s="53">
        <f t="shared" ca="1" si="95"/>
        <v>0</v>
      </c>
    </row>
    <row r="430" spans="1:14" ht="21.75" customHeight="1" x14ac:dyDescent="0.4">
      <c r="A430" s="42"/>
      <c r="B430" s="43"/>
      <c r="C430" s="43"/>
      <c r="D430" s="51"/>
      <c r="E430" s="45"/>
      <c r="F430" s="45"/>
      <c r="G430" s="52" t="s">
        <v>111</v>
      </c>
      <c r="H430" s="47" t="s">
        <v>20</v>
      </c>
      <c r="I430" s="48"/>
      <c r="J430" s="48"/>
      <c r="K430" s="49"/>
      <c r="L430" s="53">
        <f ca="1">IFERROR(__xludf.DUMMYFUNCTION("IMPORTRANGE(""https://docs.google.com/spreadsheets/d/1C3CXT74ZlgGe6_JY_1olB1XN4rF0dxEuIIF-xsYjHgg/edit?usp=sharing"",""งบกองทุน!do36"")"),36040)</f>
        <v>36040</v>
      </c>
      <c r="M430" s="53">
        <f>SUM(M431:M434)</f>
        <v>30290</v>
      </c>
      <c r="N430" s="53">
        <f t="shared" ca="1" si="95"/>
        <v>84.04550499445061</v>
      </c>
    </row>
    <row r="431" spans="1:14" ht="21.75" customHeight="1" x14ac:dyDescent="0.4">
      <c r="A431" s="230"/>
      <c r="B431" s="231"/>
      <c r="C431" s="43"/>
      <c r="D431" s="232"/>
      <c r="E431" s="45"/>
      <c r="F431" s="45"/>
      <c r="G431" s="46" t="s">
        <v>112</v>
      </c>
      <c r="H431" s="47" t="s">
        <v>20</v>
      </c>
      <c r="I431" s="67"/>
      <c r="J431" s="67"/>
      <c r="K431" s="233"/>
      <c r="L431" s="53"/>
      <c r="M431" s="54">
        <v>21070</v>
      </c>
      <c r="N431" s="53"/>
    </row>
    <row r="432" spans="1:14" ht="21.75" customHeight="1" x14ac:dyDescent="0.4">
      <c r="A432" s="230"/>
      <c r="B432" s="231"/>
      <c r="C432" s="43"/>
      <c r="D432" s="232"/>
      <c r="E432" s="45"/>
      <c r="F432" s="45"/>
      <c r="G432" s="46" t="s">
        <v>113</v>
      </c>
      <c r="H432" s="47" t="s">
        <v>20</v>
      </c>
      <c r="I432" s="67"/>
      <c r="J432" s="67"/>
      <c r="K432" s="233"/>
      <c r="L432" s="53"/>
      <c r="M432" s="54">
        <v>0</v>
      </c>
      <c r="N432" s="53"/>
    </row>
    <row r="433" spans="1:14" ht="21.75" customHeight="1" x14ac:dyDescent="0.4">
      <c r="A433" s="230"/>
      <c r="B433" s="231"/>
      <c r="C433" s="43"/>
      <c r="D433" s="232"/>
      <c r="E433" s="45"/>
      <c r="F433" s="45"/>
      <c r="G433" s="46" t="s">
        <v>114</v>
      </c>
      <c r="H433" s="47" t="s">
        <v>20</v>
      </c>
      <c r="I433" s="67"/>
      <c r="J433" s="67"/>
      <c r="K433" s="233"/>
      <c r="L433" s="53"/>
      <c r="M433" s="54">
        <v>0</v>
      </c>
      <c r="N433" s="53"/>
    </row>
    <row r="434" spans="1:14" ht="21.75" customHeight="1" x14ac:dyDescent="0.4">
      <c r="A434" s="230"/>
      <c r="B434" s="231"/>
      <c r="C434" s="43"/>
      <c r="D434" s="232"/>
      <c r="E434" s="45"/>
      <c r="F434" s="45"/>
      <c r="G434" s="46" t="s">
        <v>115</v>
      </c>
      <c r="H434" s="47" t="s">
        <v>20</v>
      </c>
      <c r="I434" s="67"/>
      <c r="J434" s="67"/>
      <c r="K434" s="233"/>
      <c r="L434" s="53"/>
      <c r="M434" s="54">
        <v>9220</v>
      </c>
      <c r="N434" s="53"/>
    </row>
    <row r="435" spans="1:14" ht="21.75" customHeight="1" x14ac:dyDescent="0.4">
      <c r="A435" s="55"/>
      <c r="B435" s="56"/>
      <c r="C435" s="43" t="s">
        <v>17</v>
      </c>
      <c r="D435" s="57" t="s">
        <v>25</v>
      </c>
      <c r="E435" s="58"/>
      <c r="F435" s="58"/>
      <c r="G435" s="59"/>
      <c r="H435" s="60"/>
      <c r="I435" s="48"/>
      <c r="J435" s="48"/>
      <c r="K435" s="49"/>
      <c r="L435" s="61"/>
      <c r="M435" s="61"/>
      <c r="N435" s="61"/>
    </row>
    <row r="436" spans="1:14" ht="21.75" customHeight="1" x14ac:dyDescent="0.4">
      <c r="A436" s="55"/>
      <c r="B436" s="56"/>
      <c r="C436" s="56"/>
      <c r="D436" s="62">
        <v>1</v>
      </c>
      <c r="E436" s="63" t="s">
        <v>26</v>
      </c>
      <c r="F436" s="64"/>
      <c r="G436" s="65"/>
      <c r="H436" s="66"/>
      <c r="I436" s="67"/>
      <c r="J436" s="68">
        <v>0</v>
      </c>
      <c r="K436" s="49"/>
      <c r="L436" s="61"/>
      <c r="M436" s="61"/>
      <c r="N436" s="61"/>
    </row>
    <row r="437" spans="1:14" ht="21.75" customHeight="1" x14ac:dyDescent="0.4">
      <c r="A437" s="55"/>
      <c r="B437" s="56"/>
      <c r="C437" s="56"/>
      <c r="D437" s="69">
        <v>2</v>
      </c>
      <c r="E437" s="70" t="s">
        <v>27</v>
      </c>
      <c r="F437" s="71"/>
      <c r="G437" s="72"/>
      <c r="H437" s="66"/>
      <c r="I437" s="67"/>
      <c r="J437" s="68">
        <v>1</v>
      </c>
      <c r="K437" s="49"/>
      <c r="L437" s="61" t="s">
        <v>21</v>
      </c>
      <c r="M437" s="61" t="s">
        <v>21</v>
      </c>
      <c r="N437" s="61"/>
    </row>
    <row r="438" spans="1:14" ht="21.75" customHeight="1" x14ac:dyDescent="0.4">
      <c r="A438" s="55"/>
      <c r="B438" s="56"/>
      <c r="C438" s="56"/>
      <c r="D438" s="73"/>
      <c r="E438" s="74" t="s">
        <v>28</v>
      </c>
      <c r="F438" s="75"/>
      <c r="G438" s="76"/>
      <c r="H438" s="66"/>
      <c r="I438" s="67"/>
      <c r="J438" s="68">
        <v>1</v>
      </c>
      <c r="K438" s="49"/>
      <c r="L438" s="61"/>
      <c r="M438" s="61"/>
      <c r="N438" s="61"/>
    </row>
    <row r="439" spans="1:14" ht="21.75" customHeight="1" x14ac:dyDescent="0.4">
      <c r="A439" s="55"/>
      <c r="B439" s="56"/>
      <c r="C439" s="56"/>
      <c r="D439" s="73"/>
      <c r="E439" s="74" t="s">
        <v>29</v>
      </c>
      <c r="F439" s="75"/>
      <c r="G439" s="76"/>
      <c r="H439" s="66"/>
      <c r="I439" s="67"/>
      <c r="J439" s="68">
        <v>1</v>
      </c>
      <c r="K439" s="49"/>
      <c r="L439" s="61"/>
      <c r="M439" s="61"/>
      <c r="N439" s="61"/>
    </row>
    <row r="440" spans="1:14" ht="21.75" customHeight="1" x14ac:dyDescent="0.4">
      <c r="A440" s="55"/>
      <c r="B440" s="56"/>
      <c r="C440" s="56"/>
      <c r="D440" s="73"/>
      <c r="E440" s="77"/>
      <c r="F440" s="75"/>
      <c r="G440" s="99" t="s">
        <v>183</v>
      </c>
      <c r="H440" s="66" t="s">
        <v>16</v>
      </c>
      <c r="I440" s="200">
        <f ca="1">IFERROR(__xludf.DUMMYFUNCTION("IMPORTRANGE(""https://docs.google.com/spreadsheets/d/1C3CXT74ZlgGe6_JY_1olB1XN4rF0dxEuIIF-xsYjHgg/edit?usp=sharing"",""งบกองทุน!dq36"")"),24)</f>
        <v>24</v>
      </c>
      <c r="J440" s="68">
        <v>24</v>
      </c>
      <c r="K440" s="49">
        <f t="shared" ref="K440:K441" ca="1" si="97">IF(I440&gt;0,J440*100/I440,0)</f>
        <v>100</v>
      </c>
      <c r="L440" s="61"/>
      <c r="M440" s="61"/>
      <c r="N440" s="61"/>
    </row>
    <row r="441" spans="1:14" ht="21.75" hidden="1" customHeight="1" x14ac:dyDescent="0.4">
      <c r="A441" s="55"/>
      <c r="B441" s="56"/>
      <c r="C441" s="56"/>
      <c r="D441" s="73"/>
      <c r="E441" s="77"/>
      <c r="F441" s="75"/>
      <c r="G441" s="99" t="s">
        <v>184</v>
      </c>
      <c r="H441" s="66" t="s">
        <v>16</v>
      </c>
      <c r="I441" s="200">
        <f ca="1">IFERROR(__xludf.DUMMYFUNCTION("IMPORTRANGE(""https://docs.google.com/spreadsheets/d/1C3CXT74ZlgGe6_JY_1olB1XN4rF0dxEuIIF-xsYjHgg/edit?usp=sharing"",""งบกองทุน!dr36"")"),24)</f>
        <v>24</v>
      </c>
      <c r="J441" s="68">
        <v>0</v>
      </c>
      <c r="K441" s="49">
        <f t="shared" ca="1" si="97"/>
        <v>0</v>
      </c>
      <c r="L441" s="61"/>
      <c r="M441" s="61"/>
      <c r="N441" s="61"/>
    </row>
    <row r="442" spans="1:14" ht="21.75" customHeight="1" x14ac:dyDescent="0.4">
      <c r="A442" s="55"/>
      <c r="B442" s="56"/>
      <c r="C442" s="56"/>
      <c r="D442" s="73"/>
      <c r="E442" s="74" t="s">
        <v>35</v>
      </c>
      <c r="F442" s="75"/>
      <c r="G442" s="76"/>
      <c r="H442" s="66"/>
      <c r="I442" s="67"/>
      <c r="J442" s="68">
        <v>0</v>
      </c>
      <c r="K442" s="49"/>
      <c r="L442" s="61"/>
      <c r="M442" s="61"/>
      <c r="N442" s="61"/>
    </row>
    <row r="443" spans="1:14" ht="21.75" customHeight="1" x14ac:dyDescent="0.4">
      <c r="A443" s="292"/>
      <c r="B443" s="293"/>
      <c r="C443" s="293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309"/>
      <c r="L443" s="300"/>
      <c r="M443" s="300"/>
      <c r="N443" s="300"/>
    </row>
    <row r="444" spans="1:14" ht="21.75" customHeight="1" x14ac:dyDescent="0.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8">SUM(I453,I455)</f>
        <v>0</v>
      </c>
      <c r="J444" s="257">
        <f t="shared" si="98"/>
        <v>0</v>
      </c>
      <c r="K444" s="258">
        <f ca="1">IF(I444&gt;0,J444*100/I444,0)</f>
        <v>0</v>
      </c>
      <c r="L444" s="259">
        <f t="shared" ref="L444:M444" ca="1" si="99">SUM(L445:L446)</f>
        <v>0</v>
      </c>
      <c r="M444" s="259">
        <f t="shared" si="99"/>
        <v>0</v>
      </c>
      <c r="N444" s="259">
        <f t="shared" ref="N444:N448" ca="1" si="100">+IF(L444&gt;0,M444*100/L444,0)</f>
        <v>0</v>
      </c>
    </row>
    <row r="445" spans="1:14" ht="21.75" customHeight="1" x14ac:dyDescent="0.4">
      <c r="A445" s="42"/>
      <c r="B445" s="43"/>
      <c r="C445" s="43" t="s">
        <v>17</v>
      </c>
      <c r="D445" s="44" t="s">
        <v>18</v>
      </c>
      <c r="E445" s="45"/>
      <c r="F445" s="45"/>
      <c r="G445" s="46" t="s">
        <v>19</v>
      </c>
      <c r="H445" s="47" t="s">
        <v>20</v>
      </c>
      <c r="I445" s="67" t="s">
        <v>21</v>
      </c>
      <c r="J445" s="67"/>
      <c r="K445" s="233"/>
      <c r="L445" s="50">
        <v>0</v>
      </c>
      <c r="M445" s="53">
        <v>0</v>
      </c>
      <c r="N445" s="53">
        <f t="shared" si="100"/>
        <v>0</v>
      </c>
    </row>
    <row r="446" spans="1:14" ht="21.75" customHeight="1" x14ac:dyDescent="0.4">
      <c r="A446" s="42"/>
      <c r="B446" s="43"/>
      <c r="C446" s="43"/>
      <c r="D446" s="51"/>
      <c r="E446" s="45"/>
      <c r="F446" s="45" t="s">
        <v>21</v>
      </c>
      <c r="G446" s="46" t="s">
        <v>22</v>
      </c>
      <c r="H446" s="47" t="s">
        <v>20</v>
      </c>
      <c r="I446" s="67"/>
      <c r="J446" s="67"/>
      <c r="K446" s="233"/>
      <c r="L446" s="50">
        <f t="shared" ref="L446:M446" ca="1" si="101">SUM(L447:L448)</f>
        <v>0</v>
      </c>
      <c r="M446" s="53">
        <f t="shared" si="101"/>
        <v>0</v>
      </c>
      <c r="N446" s="53">
        <f t="shared" ca="1" si="100"/>
        <v>0</v>
      </c>
    </row>
    <row r="447" spans="1:14" ht="21.75" customHeight="1" x14ac:dyDescent="0.4">
      <c r="A447" s="42"/>
      <c r="B447" s="43"/>
      <c r="C447" s="43"/>
      <c r="D447" s="51"/>
      <c r="E447" s="45"/>
      <c r="F447" s="45"/>
      <c r="G447" s="52" t="s">
        <v>110</v>
      </c>
      <c r="H447" s="47" t="s">
        <v>20</v>
      </c>
      <c r="I447" s="67"/>
      <c r="J447" s="67"/>
      <c r="K447" s="233"/>
      <c r="L447" s="53">
        <f ca="1">IFERROR(__xludf.DUMMYFUNCTION("IMPORTRANGE(""https://docs.google.com/spreadsheets/d/1C3CXT74ZlgGe6_JY_1olB1XN4rF0dxEuIIF-xsYjHgg/edit?usp=sharing"",""งบกองทุน!dt36"")"),0)</f>
        <v>0</v>
      </c>
      <c r="M447" s="53">
        <v>0</v>
      </c>
      <c r="N447" s="53">
        <f t="shared" ca="1" si="100"/>
        <v>0</v>
      </c>
    </row>
    <row r="448" spans="1:14" ht="21.75" customHeight="1" x14ac:dyDescent="0.4">
      <c r="A448" s="42"/>
      <c r="B448" s="43"/>
      <c r="C448" s="43"/>
      <c r="D448" s="51"/>
      <c r="E448" s="45"/>
      <c r="F448" s="45"/>
      <c r="G448" s="52" t="s">
        <v>111</v>
      </c>
      <c r="H448" s="47" t="s">
        <v>20</v>
      </c>
      <c r="I448" s="67"/>
      <c r="J448" s="67"/>
      <c r="K448" s="233"/>
      <c r="L448" s="53">
        <f ca="1">IFERROR(__xludf.DUMMYFUNCTION("IMPORTRANGE(""https://docs.google.com/spreadsheets/d/1C3CXT74ZlgGe6_JY_1olB1XN4rF0dxEuIIF-xsYjHgg/edit?usp=sharing"",""งบกองทุน!du36"")"),0)</f>
        <v>0</v>
      </c>
      <c r="M448" s="53">
        <f>SUM(M449:M452)</f>
        <v>0</v>
      </c>
      <c r="N448" s="53">
        <f t="shared" ca="1" si="100"/>
        <v>0</v>
      </c>
    </row>
    <row r="449" spans="1:14" ht="21.75" customHeight="1" x14ac:dyDescent="0.4">
      <c r="A449" s="230"/>
      <c r="B449" s="231"/>
      <c r="C449" s="43"/>
      <c r="D449" s="232"/>
      <c r="E449" s="45"/>
      <c r="F449" s="45"/>
      <c r="G449" s="46" t="s">
        <v>112</v>
      </c>
      <c r="H449" s="47" t="s">
        <v>20</v>
      </c>
      <c r="I449" s="67"/>
      <c r="J449" s="67"/>
      <c r="K449" s="233"/>
      <c r="L449" s="53"/>
      <c r="M449" s="53">
        <v>0</v>
      </c>
      <c r="N449" s="53"/>
    </row>
    <row r="450" spans="1:14" ht="21.75" customHeight="1" x14ac:dyDescent="0.4">
      <c r="A450" s="230"/>
      <c r="B450" s="231"/>
      <c r="C450" s="43"/>
      <c r="D450" s="232"/>
      <c r="E450" s="45"/>
      <c r="F450" s="45"/>
      <c r="G450" s="46" t="s">
        <v>113</v>
      </c>
      <c r="H450" s="47" t="s">
        <v>20</v>
      </c>
      <c r="I450" s="67"/>
      <c r="J450" s="67"/>
      <c r="K450" s="233"/>
      <c r="L450" s="53"/>
      <c r="M450" s="53">
        <v>0</v>
      </c>
      <c r="N450" s="53"/>
    </row>
    <row r="451" spans="1:14" ht="21.75" customHeight="1" x14ac:dyDescent="0.4">
      <c r="A451" s="230"/>
      <c r="B451" s="231"/>
      <c r="C451" s="43"/>
      <c r="D451" s="232"/>
      <c r="E451" s="45"/>
      <c r="F451" s="45"/>
      <c r="G451" s="46" t="s">
        <v>114</v>
      </c>
      <c r="H451" s="47" t="s">
        <v>20</v>
      </c>
      <c r="I451" s="67"/>
      <c r="J451" s="67"/>
      <c r="K451" s="233"/>
      <c r="L451" s="53"/>
      <c r="M451" s="53">
        <v>0</v>
      </c>
      <c r="N451" s="53"/>
    </row>
    <row r="452" spans="1:14" ht="21.75" customHeight="1" x14ac:dyDescent="0.4">
      <c r="A452" s="230"/>
      <c r="B452" s="231"/>
      <c r="C452" s="43"/>
      <c r="D452" s="232"/>
      <c r="E452" s="45"/>
      <c r="F452" s="45"/>
      <c r="G452" s="46" t="s">
        <v>115</v>
      </c>
      <c r="H452" s="47" t="s">
        <v>20</v>
      </c>
      <c r="I452" s="67"/>
      <c r="J452" s="67"/>
      <c r="K452" s="233"/>
      <c r="L452" s="53"/>
      <c r="M452" s="53">
        <v>0</v>
      </c>
      <c r="N452" s="53"/>
    </row>
    <row r="453" spans="1:14" ht="21.75" customHeight="1" x14ac:dyDescent="0.4">
      <c r="A453" s="55"/>
      <c r="B453" s="56"/>
      <c r="C453" s="56"/>
      <c r="D453" s="73"/>
      <c r="E453" s="75"/>
      <c r="F453" s="75" t="s">
        <v>186</v>
      </c>
      <c r="G453" s="76"/>
      <c r="H453" s="315" t="s">
        <v>103</v>
      </c>
      <c r="I453" s="67">
        <f ca="1">IFERROR(__xludf.DUMMYFUNCTION("IMPORTRANGE(""https://docs.google.com/spreadsheets/d/1C3CXT74ZlgGe6_JY_1olB1XN4rF0dxEuIIF-xsYjHgg/edit?usp=sharing"",""งบกองทุน!dw36"")"),0)</f>
        <v>0</v>
      </c>
      <c r="J453" s="67">
        <v>0</v>
      </c>
      <c r="K453" s="233">
        <f t="shared" ref="K453:K457" ca="1" si="102">IF(I453&gt;0,J453*100/I453,0)</f>
        <v>0</v>
      </c>
      <c r="L453" s="53"/>
      <c r="M453" s="53"/>
      <c r="N453" s="53"/>
    </row>
    <row r="454" spans="1:14" ht="21.75" customHeight="1" x14ac:dyDescent="0.4">
      <c r="A454" s="55"/>
      <c r="B454" s="56"/>
      <c r="C454" s="56"/>
      <c r="D454" s="73"/>
      <c r="E454" s="75"/>
      <c r="F454" s="75"/>
      <c r="G454" s="76"/>
      <c r="H454" s="315" t="s">
        <v>15</v>
      </c>
      <c r="I454" s="67">
        <f ca="1">IFERROR(__xludf.DUMMYFUNCTION("IMPORTRANGE(""https://docs.google.com/spreadsheets/d/1C3CXT74ZlgGe6_JY_1olB1XN4rF0dxEuIIF-xsYjHgg/edit?usp=sharing"",""งบกองทุน!dx36"")"),0)</f>
        <v>0</v>
      </c>
      <c r="J454" s="67">
        <v>0</v>
      </c>
      <c r="K454" s="233">
        <f t="shared" ca="1" si="102"/>
        <v>0</v>
      </c>
      <c r="L454" s="53"/>
      <c r="M454" s="53"/>
      <c r="N454" s="53"/>
    </row>
    <row r="455" spans="1:14" ht="21.75" customHeight="1" x14ac:dyDescent="0.4">
      <c r="A455" s="55"/>
      <c r="B455" s="56"/>
      <c r="C455" s="56"/>
      <c r="D455" s="73"/>
      <c r="E455" s="75"/>
      <c r="F455" s="75" t="s">
        <v>187</v>
      </c>
      <c r="G455" s="76"/>
      <c r="H455" s="315" t="s">
        <v>103</v>
      </c>
      <c r="I455" s="67">
        <f ca="1">IFERROR(__xludf.DUMMYFUNCTION("IMPORTRANGE(""https://docs.google.com/spreadsheets/d/1C3CXT74ZlgGe6_JY_1olB1XN4rF0dxEuIIF-xsYjHgg/edit?usp=sharing"",""งบกองทุน!dy36"")"),0)</f>
        <v>0</v>
      </c>
      <c r="J455" s="67">
        <v>0</v>
      </c>
      <c r="K455" s="233">
        <f t="shared" ca="1" si="102"/>
        <v>0</v>
      </c>
      <c r="L455" s="53"/>
      <c r="M455" s="53"/>
      <c r="N455" s="53"/>
    </row>
    <row r="456" spans="1:14" ht="21.75" customHeight="1" x14ac:dyDescent="0.4">
      <c r="A456" s="55"/>
      <c r="B456" s="56"/>
      <c r="C456" s="56"/>
      <c r="D456" s="73"/>
      <c r="E456" s="75"/>
      <c r="F456" s="75"/>
      <c r="G456" s="76"/>
      <c r="H456" s="315" t="s">
        <v>15</v>
      </c>
      <c r="I456" s="67">
        <f ca="1">IFERROR(__xludf.DUMMYFUNCTION("IMPORTRANGE(""https://docs.google.com/spreadsheets/d/1C3CXT74ZlgGe6_JY_1olB1XN4rF0dxEuIIF-xsYjHgg/edit?usp=sharing"",""งบกองทุน!dz36"")"),0)</f>
        <v>0</v>
      </c>
      <c r="J456" s="67">
        <v>0</v>
      </c>
      <c r="K456" s="233">
        <f t="shared" ca="1" si="102"/>
        <v>0</v>
      </c>
      <c r="L456" s="53"/>
      <c r="M456" s="53"/>
      <c r="N456" s="53"/>
    </row>
    <row r="457" spans="1:14" ht="21.75" customHeight="1" x14ac:dyDescent="0.4">
      <c r="A457" s="222"/>
      <c r="B457" s="223">
        <v>8</v>
      </c>
      <c r="C457" s="224" t="s">
        <v>188</v>
      </c>
      <c r="D457" s="224"/>
      <c r="E457" s="224"/>
      <c r="F457" s="224"/>
      <c r="G457" s="225"/>
      <c r="H457" s="226" t="s">
        <v>16</v>
      </c>
      <c r="I457" s="227">
        <f ca="1">I466</f>
        <v>1550</v>
      </c>
      <c r="J457" s="227">
        <f>+J466</f>
        <v>0</v>
      </c>
      <c r="K457" s="228">
        <f t="shared" ca="1" si="102"/>
        <v>0</v>
      </c>
      <c r="L457" s="229">
        <f t="shared" ref="L457:M457" ca="1" si="103">SUM(L458:L459)</f>
        <v>136880</v>
      </c>
      <c r="M457" s="229">
        <f t="shared" si="103"/>
        <v>0</v>
      </c>
      <c r="N457" s="229">
        <f t="shared" ref="N457:N461" ca="1" si="104">+IF(L457&gt;0,M457*100/L457,0)</f>
        <v>0</v>
      </c>
    </row>
    <row r="458" spans="1:14" ht="21.75" customHeight="1" x14ac:dyDescent="0.4">
      <c r="A458" s="42"/>
      <c r="B458" s="43"/>
      <c r="C458" s="43" t="s">
        <v>17</v>
      </c>
      <c r="D458" s="44" t="s">
        <v>18</v>
      </c>
      <c r="E458" s="45"/>
      <c r="F458" s="45"/>
      <c r="G458" s="46" t="s">
        <v>19</v>
      </c>
      <c r="H458" s="47" t="s">
        <v>20</v>
      </c>
      <c r="I458" s="48" t="s">
        <v>21</v>
      </c>
      <c r="J458" s="48"/>
      <c r="K458" s="49"/>
      <c r="L458" s="50">
        <v>0</v>
      </c>
      <c r="M458" s="53">
        <v>0</v>
      </c>
      <c r="N458" s="53">
        <f t="shared" si="104"/>
        <v>0</v>
      </c>
    </row>
    <row r="459" spans="1:14" ht="21.75" customHeight="1" x14ac:dyDescent="0.4">
      <c r="A459" s="42"/>
      <c r="B459" s="43"/>
      <c r="C459" s="43"/>
      <c r="D459" s="51"/>
      <c r="E459" s="45"/>
      <c r="F459" s="45" t="s">
        <v>21</v>
      </c>
      <c r="G459" s="46" t="s">
        <v>22</v>
      </c>
      <c r="H459" s="47" t="s">
        <v>20</v>
      </c>
      <c r="I459" s="48"/>
      <c r="J459" s="48"/>
      <c r="K459" s="49"/>
      <c r="L459" s="50">
        <f t="shared" ref="L459:M459" ca="1" si="105">SUM(L460:L461)</f>
        <v>136880</v>
      </c>
      <c r="M459" s="53">
        <f t="shared" si="105"/>
        <v>0</v>
      </c>
      <c r="N459" s="53">
        <f t="shared" ca="1" si="104"/>
        <v>0</v>
      </c>
    </row>
    <row r="460" spans="1:14" ht="21.75" customHeight="1" x14ac:dyDescent="0.4">
      <c r="A460" s="42"/>
      <c r="B460" s="43"/>
      <c r="C460" s="43"/>
      <c r="D460" s="51"/>
      <c r="E460" s="45"/>
      <c r="F460" s="45"/>
      <c r="G460" s="52" t="s">
        <v>110</v>
      </c>
      <c r="H460" s="47" t="s">
        <v>20</v>
      </c>
      <c r="I460" s="48"/>
      <c r="J460" s="48"/>
      <c r="K460" s="49"/>
      <c r="L460" s="53">
        <f ca="1">IFERROR(__xludf.DUMMYFUNCTION("IMPORTRANGE(""https://docs.google.com/spreadsheets/d/1C3CXT74ZlgGe6_JY_1olB1XN4rF0dxEuIIF-xsYjHgg/edit?usp=sharing"",""งบกองทุน!Eb36"")"),0)</f>
        <v>0</v>
      </c>
      <c r="M460" s="53">
        <v>0</v>
      </c>
      <c r="N460" s="53">
        <f t="shared" ca="1" si="104"/>
        <v>0</v>
      </c>
    </row>
    <row r="461" spans="1:14" ht="21.75" customHeight="1" x14ac:dyDescent="0.4">
      <c r="A461" s="42"/>
      <c r="B461" s="43"/>
      <c r="C461" s="43"/>
      <c r="D461" s="51"/>
      <c r="E461" s="45"/>
      <c r="F461" s="45"/>
      <c r="G461" s="52" t="s">
        <v>111</v>
      </c>
      <c r="H461" s="47" t="s">
        <v>20</v>
      </c>
      <c r="I461" s="48"/>
      <c r="J461" s="48"/>
      <c r="K461" s="49"/>
      <c r="L461" s="53">
        <f ca="1">IFERROR(__xludf.DUMMYFUNCTION("IMPORTRANGE(""https://docs.google.com/spreadsheets/d/1C3CXT74ZlgGe6_JY_1olB1XN4rF0dxEuIIF-xsYjHgg/edit?usp=sharing"",""งบกองทุน!Ec36"")"),136880)</f>
        <v>136880</v>
      </c>
      <c r="M461" s="53">
        <f>SUM(M462:M465)</f>
        <v>0</v>
      </c>
      <c r="N461" s="53">
        <f t="shared" ca="1" si="104"/>
        <v>0</v>
      </c>
    </row>
    <row r="462" spans="1:14" ht="21.75" customHeight="1" x14ac:dyDescent="0.4">
      <c r="A462" s="230"/>
      <c r="B462" s="231"/>
      <c r="C462" s="43"/>
      <c r="D462" s="232"/>
      <c r="E462" s="45"/>
      <c r="F462" s="45"/>
      <c r="G462" s="46" t="s">
        <v>112</v>
      </c>
      <c r="H462" s="47" t="s">
        <v>20</v>
      </c>
      <c r="I462" s="67"/>
      <c r="J462" s="67"/>
      <c r="K462" s="233"/>
      <c r="L462" s="53"/>
      <c r="M462" s="53">
        <v>0</v>
      </c>
      <c r="N462" s="53"/>
    </row>
    <row r="463" spans="1:14" ht="21.75" customHeight="1" x14ac:dyDescent="0.4">
      <c r="A463" s="230"/>
      <c r="B463" s="231"/>
      <c r="C463" s="43"/>
      <c r="D463" s="232"/>
      <c r="E463" s="45"/>
      <c r="F463" s="45"/>
      <c r="G463" s="46" t="s">
        <v>113</v>
      </c>
      <c r="H463" s="47" t="s">
        <v>20</v>
      </c>
      <c r="I463" s="67"/>
      <c r="J463" s="67"/>
      <c r="K463" s="233"/>
      <c r="L463" s="53"/>
      <c r="M463" s="53">
        <v>0</v>
      </c>
      <c r="N463" s="53"/>
    </row>
    <row r="464" spans="1:14" ht="21.75" customHeight="1" x14ac:dyDescent="0.4">
      <c r="A464" s="230"/>
      <c r="B464" s="231"/>
      <c r="C464" s="43"/>
      <c r="D464" s="232"/>
      <c r="E464" s="45"/>
      <c r="F464" s="45"/>
      <c r="G464" s="46" t="s">
        <v>114</v>
      </c>
      <c r="H464" s="47" t="s">
        <v>20</v>
      </c>
      <c r="I464" s="67"/>
      <c r="J464" s="67"/>
      <c r="K464" s="233"/>
      <c r="L464" s="53"/>
      <c r="M464" s="54">
        <v>0</v>
      </c>
      <c r="N464" s="53"/>
    </row>
    <row r="465" spans="1:14" ht="21.75" customHeight="1" x14ac:dyDescent="0.4">
      <c r="A465" s="230"/>
      <c r="B465" s="231"/>
      <c r="C465" s="43"/>
      <c r="D465" s="232"/>
      <c r="E465" s="45"/>
      <c r="F465" s="45"/>
      <c r="G465" s="46" t="s">
        <v>115</v>
      </c>
      <c r="H465" s="47" t="s">
        <v>20</v>
      </c>
      <c r="I465" s="67"/>
      <c r="J465" s="67"/>
      <c r="K465" s="233"/>
      <c r="L465" s="53"/>
      <c r="M465" s="54">
        <v>0</v>
      </c>
      <c r="N465" s="53"/>
    </row>
    <row r="466" spans="1:14" ht="21.75" customHeight="1" x14ac:dyDescent="0.4">
      <c r="A466" s="55"/>
      <c r="B466" s="56"/>
      <c r="C466" s="56"/>
      <c r="D466" s="75"/>
      <c r="E466" s="74" t="s">
        <v>21</v>
      </c>
      <c r="F466" s="260" t="s">
        <v>189</v>
      </c>
      <c r="G466" s="240"/>
      <c r="H466" s="314" t="s">
        <v>16</v>
      </c>
      <c r="I466" s="265">
        <f ca="1">IFERROR(__xludf.DUMMYFUNCTION("IMPORTRANGE(""https://docs.google.com/spreadsheets/d/1C3CXT74ZlgGe6_JY_1olB1XN4rF0dxEuIIF-xsYjHgg/edit?usp=sharing"",""งบกองทุน!Ed36"")"),1550)</f>
        <v>1550</v>
      </c>
      <c r="J466" s="265">
        <f>+J469+J470+J471+J472</f>
        <v>0</v>
      </c>
      <c r="K466" s="80">
        <f ca="1">IF(I466&gt;0,J466*100/I466,0)</f>
        <v>0</v>
      </c>
      <c r="L466" s="61"/>
      <c r="M466" s="61"/>
      <c r="N466" s="61"/>
    </row>
    <row r="467" spans="1:14" ht="21.75" customHeight="1" x14ac:dyDescent="0.4">
      <c r="A467" s="55"/>
      <c r="B467" s="56"/>
      <c r="C467" s="56"/>
      <c r="D467" s="75"/>
      <c r="E467" s="75"/>
      <c r="F467" s="74" t="s">
        <v>190</v>
      </c>
      <c r="G467" s="76"/>
      <c r="H467" s="315"/>
      <c r="I467" s="48"/>
      <c r="J467" s="48"/>
      <c r="K467" s="49"/>
      <c r="L467" s="61"/>
      <c r="M467" s="61"/>
      <c r="N467" s="61"/>
    </row>
    <row r="468" spans="1:14" ht="21.75" customHeight="1" x14ac:dyDescent="0.4">
      <c r="A468" s="55"/>
      <c r="B468" s="56"/>
      <c r="C468" s="56"/>
      <c r="D468" s="75"/>
      <c r="E468" s="74" t="s">
        <v>21</v>
      </c>
      <c r="F468" s="74" t="s">
        <v>191</v>
      </c>
      <c r="G468" s="76"/>
      <c r="H468" s="315" t="s">
        <v>57</v>
      </c>
      <c r="I468" s="48">
        <v>0</v>
      </c>
      <c r="J468" s="68">
        <v>0</v>
      </c>
      <c r="K468" s="49">
        <f t="shared" ref="K468:K472" si="106">IF(I468&gt;0,J468*100/I468,0)</f>
        <v>0</v>
      </c>
      <c r="L468" s="61"/>
      <c r="M468" s="61"/>
      <c r="N468" s="61"/>
    </row>
    <row r="469" spans="1:14" ht="21.75" customHeight="1" x14ac:dyDescent="0.4">
      <c r="A469" s="55"/>
      <c r="B469" s="56"/>
      <c r="C469" s="56"/>
      <c r="D469" s="75"/>
      <c r="E469" s="75"/>
      <c r="F469" s="74" t="s">
        <v>192</v>
      </c>
      <c r="G469" s="76"/>
      <c r="H469" s="315" t="s">
        <v>16</v>
      </c>
      <c r="I469" s="48">
        <v>0</v>
      </c>
      <c r="J469" s="68">
        <v>0</v>
      </c>
      <c r="K469" s="49">
        <f t="shared" si="106"/>
        <v>0</v>
      </c>
      <c r="L469" s="61"/>
      <c r="M469" s="61"/>
      <c r="N469" s="61"/>
    </row>
    <row r="470" spans="1:14" ht="21.75" customHeight="1" x14ac:dyDescent="0.4">
      <c r="A470" s="55"/>
      <c r="B470" s="56"/>
      <c r="C470" s="56"/>
      <c r="D470" s="75"/>
      <c r="E470" s="75"/>
      <c r="F470" s="74" t="s">
        <v>193</v>
      </c>
      <c r="G470" s="76"/>
      <c r="H470" s="315" t="s">
        <v>16</v>
      </c>
      <c r="I470" s="48">
        <v>0</v>
      </c>
      <c r="J470" s="68">
        <v>0</v>
      </c>
      <c r="K470" s="49">
        <f t="shared" si="106"/>
        <v>0</v>
      </c>
      <c r="L470" s="61"/>
      <c r="M470" s="61"/>
      <c r="N470" s="61"/>
    </row>
    <row r="471" spans="1:14" ht="21.75" customHeight="1" x14ac:dyDescent="0.4">
      <c r="A471" s="55"/>
      <c r="B471" s="56"/>
      <c r="C471" s="56"/>
      <c r="D471" s="75"/>
      <c r="E471" s="75"/>
      <c r="F471" s="74" t="s">
        <v>194</v>
      </c>
      <c r="G471" s="266"/>
      <c r="H471" s="315" t="s">
        <v>16</v>
      </c>
      <c r="I471" s="48">
        <v>0</v>
      </c>
      <c r="J471" s="68">
        <v>0</v>
      </c>
      <c r="K471" s="49">
        <f t="shared" si="106"/>
        <v>0</v>
      </c>
      <c r="L471" s="61"/>
      <c r="M471" s="61"/>
      <c r="N471" s="61"/>
    </row>
    <row r="472" spans="1:14" ht="21.75" customHeight="1" x14ac:dyDescent="0.4">
      <c r="A472" s="55"/>
      <c r="B472" s="56"/>
      <c r="C472" s="56"/>
      <c r="D472" s="75"/>
      <c r="E472" s="75"/>
      <c r="F472" s="74" t="s">
        <v>195</v>
      </c>
      <c r="G472" s="266"/>
      <c r="H472" s="315" t="s">
        <v>16</v>
      </c>
      <c r="I472" s="48">
        <v>0</v>
      </c>
      <c r="J472" s="68">
        <v>0</v>
      </c>
      <c r="K472" s="49">
        <f t="shared" si="106"/>
        <v>0</v>
      </c>
      <c r="L472" s="61"/>
      <c r="M472" s="61"/>
      <c r="N472" s="61"/>
    </row>
    <row r="473" spans="1:14" ht="21.75" customHeight="1" x14ac:dyDescent="0.4">
      <c r="A473" s="222"/>
      <c r="B473" s="223">
        <v>9</v>
      </c>
      <c r="C473" s="224" t="s">
        <v>196</v>
      </c>
      <c r="D473" s="224"/>
      <c r="E473" s="224"/>
      <c r="F473" s="224"/>
      <c r="G473" s="225"/>
      <c r="H473" s="226" t="s">
        <v>16</v>
      </c>
      <c r="I473" s="227">
        <f ca="1">I484</f>
        <v>7</v>
      </c>
      <c r="J473" s="227">
        <f ca="1">J488</f>
        <v>0</v>
      </c>
      <c r="K473" s="228">
        <f ca="1">IF(I473&gt;0,J473*100/I473,0)</f>
        <v>0</v>
      </c>
      <c r="L473" s="229">
        <f ca="1">SUM(L474,L475)</f>
        <v>111857</v>
      </c>
      <c r="M473" s="229">
        <f>SUM(M474:M475)</f>
        <v>0</v>
      </c>
      <c r="N473" s="229">
        <f t="shared" ref="N473:N477" ca="1" si="107">+IF(L473&gt;0,M473*100/L473,0)</f>
        <v>0</v>
      </c>
    </row>
    <row r="474" spans="1:14" ht="21.75" customHeight="1" x14ac:dyDescent="0.4">
      <c r="A474" s="42"/>
      <c r="B474" s="43"/>
      <c r="C474" s="43" t="s">
        <v>17</v>
      </c>
      <c r="D474" s="44" t="s">
        <v>18</v>
      </c>
      <c r="E474" s="45"/>
      <c r="F474" s="45"/>
      <c r="G474" s="46" t="s">
        <v>19</v>
      </c>
      <c r="H474" s="47" t="s">
        <v>20</v>
      </c>
      <c r="I474" s="48" t="s">
        <v>21</v>
      </c>
      <c r="J474" s="48"/>
      <c r="K474" s="49"/>
      <c r="L474" s="50">
        <v>0</v>
      </c>
      <c r="M474" s="53">
        <v>0</v>
      </c>
      <c r="N474" s="53">
        <f t="shared" si="107"/>
        <v>0</v>
      </c>
    </row>
    <row r="475" spans="1:14" ht="21.75" customHeight="1" x14ac:dyDescent="0.4">
      <c r="A475" s="42"/>
      <c r="B475" s="43"/>
      <c r="C475" s="43"/>
      <c r="D475" s="51"/>
      <c r="E475" s="45"/>
      <c r="F475" s="45" t="s">
        <v>21</v>
      </c>
      <c r="G475" s="46" t="s">
        <v>22</v>
      </c>
      <c r="H475" s="47" t="s">
        <v>20</v>
      </c>
      <c r="I475" s="48"/>
      <c r="J475" s="48"/>
      <c r="K475" s="49"/>
      <c r="L475" s="50">
        <f t="shared" ref="L475:M475" ca="1" si="108">SUM(L476:L477)</f>
        <v>111857</v>
      </c>
      <c r="M475" s="53">
        <f t="shared" si="108"/>
        <v>0</v>
      </c>
      <c r="N475" s="53">
        <f t="shared" ca="1" si="107"/>
        <v>0</v>
      </c>
    </row>
    <row r="476" spans="1:14" ht="21.75" customHeight="1" x14ac:dyDescent="0.4">
      <c r="A476" s="42"/>
      <c r="B476" s="43"/>
      <c r="C476" s="43"/>
      <c r="D476" s="51"/>
      <c r="E476" s="45"/>
      <c r="F476" s="45"/>
      <c r="G476" s="52" t="s">
        <v>110</v>
      </c>
      <c r="H476" s="47" t="s">
        <v>20</v>
      </c>
      <c r="I476" s="48"/>
      <c r="J476" s="48"/>
      <c r="K476" s="49"/>
      <c r="L476" s="53">
        <f ca="1">IFERROR(__xludf.DUMMYFUNCTION("IMPORTRANGE(""https://docs.google.com/spreadsheets/d/1C3CXT74ZlgGe6_JY_1olB1XN4rF0dxEuIIF-xsYjHgg/edit?usp=sharing"",""งบกองทุน!Ek36"")"),0)</f>
        <v>0</v>
      </c>
      <c r="M476" s="53">
        <v>0</v>
      </c>
      <c r="N476" s="53">
        <f t="shared" ca="1" si="107"/>
        <v>0</v>
      </c>
    </row>
    <row r="477" spans="1:14" ht="21.75" customHeight="1" x14ac:dyDescent="0.4">
      <c r="A477" s="42"/>
      <c r="B477" s="43"/>
      <c r="C477" s="43"/>
      <c r="D477" s="51"/>
      <c r="E477" s="45"/>
      <c r="F477" s="45"/>
      <c r="G477" s="52" t="s">
        <v>111</v>
      </c>
      <c r="H477" s="47" t="s">
        <v>20</v>
      </c>
      <c r="I477" s="48"/>
      <c r="J477" s="48"/>
      <c r="K477" s="49"/>
      <c r="L477" s="53">
        <f ca="1">IFERROR(__xludf.DUMMYFUNCTION("IMPORTRANGE(""https://docs.google.com/spreadsheets/d/1C3CXT74ZlgGe6_JY_1olB1XN4rF0dxEuIIF-xsYjHgg/edit?usp=sharing"",""งบกองทุน!El36"")"),111857)</f>
        <v>111857</v>
      </c>
      <c r="M477" s="53">
        <f>SUM(M478:M481)</f>
        <v>0</v>
      </c>
      <c r="N477" s="53">
        <f t="shared" ca="1" si="107"/>
        <v>0</v>
      </c>
    </row>
    <row r="478" spans="1:14" ht="21.75" customHeight="1" x14ac:dyDescent="0.4">
      <c r="A478" s="230"/>
      <c r="B478" s="231"/>
      <c r="C478" s="43"/>
      <c r="D478" s="232"/>
      <c r="E478" s="45"/>
      <c r="F478" s="45"/>
      <c r="G478" s="46" t="s">
        <v>112</v>
      </c>
      <c r="H478" s="47" t="s">
        <v>20</v>
      </c>
      <c r="I478" s="67"/>
      <c r="J478" s="67"/>
      <c r="K478" s="233"/>
      <c r="L478" s="53"/>
      <c r="M478" s="53">
        <v>0</v>
      </c>
      <c r="N478" s="53"/>
    </row>
    <row r="479" spans="1:14" ht="21.75" customHeight="1" x14ac:dyDescent="0.4">
      <c r="A479" s="230"/>
      <c r="B479" s="231"/>
      <c r="C479" s="43"/>
      <c r="D479" s="232"/>
      <c r="E479" s="45"/>
      <c r="F479" s="45"/>
      <c r="G479" s="46" t="s">
        <v>113</v>
      </c>
      <c r="H479" s="47" t="s">
        <v>20</v>
      </c>
      <c r="I479" s="67"/>
      <c r="J479" s="67"/>
      <c r="K479" s="233"/>
      <c r="L479" s="53"/>
      <c r="M479" s="53">
        <v>0</v>
      </c>
      <c r="N479" s="53"/>
    </row>
    <row r="480" spans="1:14" ht="21.75" customHeight="1" x14ac:dyDescent="0.4">
      <c r="A480" s="230"/>
      <c r="B480" s="231"/>
      <c r="C480" s="43"/>
      <c r="D480" s="232"/>
      <c r="E480" s="45"/>
      <c r="F480" s="45"/>
      <c r="G480" s="46" t="s">
        <v>114</v>
      </c>
      <c r="H480" s="47" t="s">
        <v>20</v>
      </c>
      <c r="I480" s="67"/>
      <c r="J480" s="67"/>
      <c r="K480" s="233"/>
      <c r="L480" s="53"/>
      <c r="M480" s="54">
        <v>0</v>
      </c>
      <c r="N480" s="53"/>
    </row>
    <row r="481" spans="1:14" ht="21.75" customHeight="1" x14ac:dyDescent="0.4">
      <c r="A481" s="230"/>
      <c r="B481" s="231"/>
      <c r="C481" s="43"/>
      <c r="D481" s="232"/>
      <c r="E481" s="45"/>
      <c r="F481" s="45"/>
      <c r="G481" s="46" t="s">
        <v>115</v>
      </c>
      <c r="H481" s="47" t="s">
        <v>20</v>
      </c>
      <c r="I481" s="67"/>
      <c r="J481" s="67"/>
      <c r="K481" s="233"/>
      <c r="L481" s="53"/>
      <c r="M481" s="54">
        <v>0</v>
      </c>
      <c r="N481" s="53"/>
    </row>
    <row r="482" spans="1:14" ht="21.75" customHeight="1" x14ac:dyDescent="0.4">
      <c r="A482" s="316"/>
      <c r="B482" s="51"/>
      <c r="C482" s="43"/>
      <c r="D482" s="155"/>
      <c r="E482" s="74" t="s">
        <v>197</v>
      </c>
      <c r="F482" s="75"/>
      <c r="G482" s="76"/>
      <c r="H482" s="60" t="s">
        <v>15</v>
      </c>
      <c r="I482" s="200">
        <f ca="1">IFERROR(__xludf.DUMMYFUNCTION("IMPORTRANGE(""https://docs.google.com/spreadsheets/d/1C3CXT74ZlgGe6_JY_1olB1XN4rF0dxEuIIF-xsYjHgg/edit?usp=sharing"",""งบกองทุน!Em36"")"),7)</f>
        <v>7</v>
      </c>
      <c r="J482" s="67">
        <f ca="1">IFERROR(__xludf.DUMMYFUNCTION("IMPORTRANGE(""https://docs.google.com/spreadsheets/d/1AGHcLOeeYFL3K4b9R1dSzyJy00PE_ra89DNTVfnxSWM/edit?usp=sharing"",""รวมที่ชุมชน!G25"")"),0)</f>
        <v>0</v>
      </c>
      <c r="K482" s="49">
        <f t="shared" ref="K482:K489" ca="1" si="109">IF(I482&gt;0,J482*100/I482,0)</f>
        <v>0</v>
      </c>
      <c r="L482" s="61"/>
      <c r="M482" s="61"/>
      <c r="N482" s="61"/>
    </row>
    <row r="483" spans="1:14" ht="21.75" customHeight="1" x14ac:dyDescent="0.4">
      <c r="A483" s="316"/>
      <c r="B483" s="51"/>
      <c r="C483" s="43"/>
      <c r="D483" s="155"/>
      <c r="E483" s="75"/>
      <c r="F483" s="75"/>
      <c r="G483" s="76"/>
      <c r="H483" s="60" t="s">
        <v>103</v>
      </c>
      <c r="I483" s="200">
        <f ca="1">IFERROR(__xludf.DUMMYFUNCTION("IMPORTRANGE(""https://docs.google.com/spreadsheets/d/1C3CXT74ZlgGe6_JY_1olB1XN4rF0dxEuIIF-xsYjHgg/edit?usp=sharing"",""งบกองทุน!En36"")"),0)</f>
        <v>0</v>
      </c>
      <c r="J483" s="67">
        <f ca="1">IFERROR(__xludf.DUMMYFUNCTION("IMPORTRANGE(""https://docs.google.com/spreadsheets/d/1AGHcLOeeYFL3K4b9R1dSzyJy00PE_ra89DNTVfnxSWM/edit?usp=sharing"",""รวมที่ชุมชน!H25"")"),0)</f>
        <v>0</v>
      </c>
      <c r="K483" s="49">
        <f t="shared" ca="1" si="109"/>
        <v>0</v>
      </c>
      <c r="L483" s="61"/>
      <c r="M483" s="61"/>
      <c r="N483" s="61"/>
    </row>
    <row r="484" spans="1:14" ht="21.75" customHeight="1" x14ac:dyDescent="0.4">
      <c r="A484" s="316"/>
      <c r="B484" s="51"/>
      <c r="C484" s="43"/>
      <c r="D484" s="155"/>
      <c r="E484" s="74" t="s">
        <v>104</v>
      </c>
      <c r="F484" s="75"/>
      <c r="G484" s="76"/>
      <c r="H484" s="60" t="s">
        <v>16</v>
      </c>
      <c r="I484" s="200">
        <f ca="1">IFERROR(__xludf.DUMMYFUNCTION("IMPORTRANGE(""https://docs.google.com/spreadsheets/d/1C3CXT74ZlgGe6_JY_1olB1XN4rF0dxEuIIF-xsYjHgg/edit?usp=sharing"",""งบกองทุน!Eo36"")"),7)</f>
        <v>7</v>
      </c>
      <c r="J484" s="67">
        <f ca="1">IFERROR(__xludf.DUMMYFUNCTION("IMPORTRANGE(""https://docs.google.com/spreadsheets/d/1AGHcLOeeYFL3K4b9R1dSzyJy00PE_ra89DNTVfnxSWM/edit?usp=sharing"",""รวมที่ชุมชน!J25"")"),0)</f>
        <v>0</v>
      </c>
      <c r="K484" s="49">
        <f t="shared" ca="1" si="109"/>
        <v>0</v>
      </c>
      <c r="L484" s="61"/>
      <c r="M484" s="61"/>
      <c r="N484" s="61"/>
    </row>
    <row r="485" spans="1:14" ht="21.75" customHeight="1" x14ac:dyDescent="0.4">
      <c r="A485" s="316"/>
      <c r="B485" s="51"/>
      <c r="C485" s="43"/>
      <c r="D485" s="155"/>
      <c r="E485" s="75"/>
      <c r="F485" s="75"/>
      <c r="G485" s="76"/>
      <c r="H485" s="60" t="s">
        <v>103</v>
      </c>
      <c r="I485" s="200">
        <f ca="1">IFERROR(__xludf.DUMMYFUNCTION("IMPORTRANGE(""https://docs.google.com/spreadsheets/d/1C3CXT74ZlgGe6_JY_1olB1XN4rF0dxEuIIF-xsYjHgg/edit?usp=sharing"",""งบกองทุน!Ep36"")"),0)</f>
        <v>0</v>
      </c>
      <c r="J485" s="67">
        <f ca="1">IFERROR(__xludf.DUMMYFUNCTION("IMPORTRANGE(""https://docs.google.com/spreadsheets/d/1AGHcLOeeYFL3K4b9R1dSzyJy00PE_ra89DNTVfnxSWM/edit?usp=sharing"",""รวมที่ชุมชน!L25"")"),0)</f>
        <v>0</v>
      </c>
      <c r="K485" s="49">
        <f t="shared" ca="1" si="109"/>
        <v>0</v>
      </c>
      <c r="L485" s="61"/>
      <c r="M485" s="61"/>
      <c r="N485" s="61"/>
    </row>
    <row r="486" spans="1:14" ht="21.75" customHeight="1" x14ac:dyDescent="0.4">
      <c r="A486" s="316"/>
      <c r="B486" s="51"/>
      <c r="C486" s="43"/>
      <c r="D486" s="155"/>
      <c r="E486" s="74" t="s">
        <v>105</v>
      </c>
      <c r="F486" s="75"/>
      <c r="G486" s="76"/>
      <c r="H486" s="60" t="s">
        <v>16</v>
      </c>
      <c r="I486" s="200">
        <f ca="1">IFERROR(__xludf.DUMMYFUNCTION("IMPORTRANGE(""https://docs.google.com/spreadsheets/d/1C3CXT74ZlgGe6_JY_1olB1XN4rF0dxEuIIF-xsYjHgg/edit?usp=sharing"",""งบกองทุน!Eq36"")"),7)</f>
        <v>7</v>
      </c>
      <c r="J486" s="67">
        <f ca="1">IFERROR(__xludf.DUMMYFUNCTION("IMPORTRANGE(""https://docs.google.com/spreadsheets/d/1AGHcLOeeYFL3K4b9R1dSzyJy00PE_ra89DNTVfnxSWM/edit?usp=sharing"",""รวมที่ชุมชน!S25"")"),0)</f>
        <v>0</v>
      </c>
      <c r="K486" s="49">
        <f t="shared" ca="1" si="109"/>
        <v>0</v>
      </c>
      <c r="L486" s="61"/>
      <c r="M486" s="61"/>
      <c r="N486" s="61"/>
    </row>
    <row r="487" spans="1:14" ht="21.75" customHeight="1" x14ac:dyDescent="0.4">
      <c r="A487" s="316"/>
      <c r="B487" s="51"/>
      <c r="C487" s="43"/>
      <c r="D487" s="155"/>
      <c r="E487" s="75"/>
      <c r="F487" s="75"/>
      <c r="G487" s="76"/>
      <c r="H487" s="60" t="s">
        <v>103</v>
      </c>
      <c r="I487" s="200">
        <f ca="1">IFERROR(__xludf.DUMMYFUNCTION("IMPORTRANGE(""https://docs.google.com/spreadsheets/d/1C3CXT74ZlgGe6_JY_1olB1XN4rF0dxEuIIF-xsYjHgg/edit?usp=sharing"",""งบกองทุน!Er36"")"),0)</f>
        <v>0</v>
      </c>
      <c r="J487" s="67">
        <f ca="1">IFERROR(__xludf.DUMMYFUNCTION("IMPORTRANGE(""https://docs.google.com/spreadsheets/d/1AGHcLOeeYFL3K4b9R1dSzyJy00PE_ra89DNTVfnxSWM/edit?usp=sharing"",""รวมที่ชุมชน!U25"")"),0)</f>
        <v>0</v>
      </c>
      <c r="K487" s="49">
        <f t="shared" ca="1" si="109"/>
        <v>0</v>
      </c>
      <c r="L487" s="61"/>
      <c r="M487" s="61"/>
      <c r="N487" s="61"/>
    </row>
    <row r="488" spans="1:14" ht="21.75" customHeight="1" x14ac:dyDescent="0.4">
      <c r="A488" s="316"/>
      <c r="B488" s="51"/>
      <c r="C488" s="43"/>
      <c r="D488" s="155"/>
      <c r="E488" s="74" t="s">
        <v>106</v>
      </c>
      <c r="F488" s="75"/>
      <c r="G488" s="76"/>
      <c r="H488" s="60" t="s">
        <v>16</v>
      </c>
      <c r="I488" s="200">
        <f ca="1">IFERROR(__xludf.DUMMYFUNCTION("IMPORTRANGE(""https://docs.google.com/spreadsheets/d/1C3CXT74ZlgGe6_JY_1olB1XN4rF0dxEuIIF-xsYjHgg/edit?usp=sharing"",""งบกองทุน!Es36"")"),7)</f>
        <v>7</v>
      </c>
      <c r="J488" s="67">
        <f ca="1">IFERROR(__xludf.DUMMYFUNCTION("IMPORTRANGE(""https://docs.google.com/spreadsheets/d/1AGHcLOeeYFL3K4b9R1dSzyJy00PE_ra89DNTVfnxSWM/edit?usp=sharing"",""รวมที่ชุมชน!V25"")"),0)</f>
        <v>0</v>
      </c>
      <c r="K488" s="49">
        <f t="shared" ca="1" si="109"/>
        <v>0</v>
      </c>
      <c r="L488" s="61"/>
      <c r="M488" s="61"/>
      <c r="N488" s="61"/>
    </row>
    <row r="489" spans="1:14" ht="21.75" customHeight="1" x14ac:dyDescent="0.4">
      <c r="A489" s="317"/>
      <c r="B489" s="318"/>
      <c r="C489" s="319"/>
      <c r="D489" s="320"/>
      <c r="E489" s="295"/>
      <c r="F489" s="295"/>
      <c r="G489" s="296"/>
      <c r="H489" s="321" t="s">
        <v>103</v>
      </c>
      <c r="I489" s="322">
        <f ca="1">IFERROR(__xludf.DUMMYFUNCTION("IMPORTRANGE(""https://docs.google.com/spreadsheets/d/1C3CXT74ZlgGe6_JY_1olB1XN4rF0dxEuIIF-xsYjHgg/edit?usp=sharing"",""งบกองทุน!Et36"")"),0)</f>
        <v>0</v>
      </c>
      <c r="J489" s="112">
        <f ca="1">IFERROR(__xludf.DUMMYFUNCTION("IMPORTRANGE(""https://docs.google.com/spreadsheets/d/1AGHcLOeeYFL3K4b9R1dSzyJy00PE_ra89DNTVfnxSWM/edit?usp=sharing"",""รวมที่ชุมชน!X25"")"),0)</f>
        <v>0</v>
      </c>
      <c r="K489" s="114">
        <f t="shared" ca="1" si="109"/>
        <v>0</v>
      </c>
      <c r="L489" s="300"/>
      <c r="M489" s="300"/>
      <c r="N489" s="300"/>
    </row>
    <row r="490" spans="1:14" ht="21.75" customHeight="1" x14ac:dyDescent="0.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10">I504</f>
        <v>50</v>
      </c>
      <c r="J490" s="375">
        <f t="shared" si="110"/>
        <v>0</v>
      </c>
      <c r="K490" s="301">
        <f ca="1">IF(I490&gt;0,J490*100/I490,0)</f>
        <v>0</v>
      </c>
      <c r="L490" s="259">
        <f ca="1">SUM(L491,L492)</f>
        <v>8550</v>
      </c>
      <c r="M490" s="259">
        <f>SUM(M491:M492)</f>
        <v>0</v>
      </c>
      <c r="N490" s="259">
        <f t="shared" ref="N490:N494" ca="1" si="111">+IF(L490&gt;0,M490*100/L490,0)</f>
        <v>0</v>
      </c>
    </row>
    <row r="491" spans="1:14" ht="21.75" customHeight="1" x14ac:dyDescent="0.4">
      <c r="A491" s="42"/>
      <c r="B491" s="43"/>
      <c r="C491" s="43" t="s">
        <v>17</v>
      </c>
      <c r="D491" s="44" t="s">
        <v>18</v>
      </c>
      <c r="E491" s="45"/>
      <c r="F491" s="45"/>
      <c r="G491" s="46" t="s">
        <v>19</v>
      </c>
      <c r="H491" s="47" t="s">
        <v>20</v>
      </c>
      <c r="I491" s="48" t="s">
        <v>21</v>
      </c>
      <c r="J491" s="48"/>
      <c r="K491" s="49"/>
      <c r="L491" s="50">
        <v>0</v>
      </c>
      <c r="M491" s="53">
        <v>0</v>
      </c>
      <c r="N491" s="53">
        <f t="shared" si="111"/>
        <v>0</v>
      </c>
    </row>
    <row r="492" spans="1:14" ht="21.75" customHeight="1" x14ac:dyDescent="0.4">
      <c r="A492" s="42"/>
      <c r="B492" s="43"/>
      <c r="C492" s="43"/>
      <c r="D492" s="51"/>
      <c r="E492" s="45"/>
      <c r="F492" s="45" t="s">
        <v>21</v>
      </c>
      <c r="G492" s="46" t="s">
        <v>22</v>
      </c>
      <c r="H492" s="47" t="s">
        <v>20</v>
      </c>
      <c r="I492" s="48"/>
      <c r="J492" s="48"/>
      <c r="K492" s="49"/>
      <c r="L492" s="50">
        <f t="shared" ref="L492:M492" ca="1" si="112">SUM(L493:L494)</f>
        <v>8550</v>
      </c>
      <c r="M492" s="53">
        <f t="shared" si="112"/>
        <v>0</v>
      </c>
      <c r="N492" s="53">
        <f t="shared" ca="1" si="111"/>
        <v>0</v>
      </c>
    </row>
    <row r="493" spans="1:14" ht="21.75" customHeight="1" x14ac:dyDescent="0.4">
      <c r="A493" s="42"/>
      <c r="B493" s="43"/>
      <c r="C493" s="43"/>
      <c r="D493" s="51"/>
      <c r="E493" s="45"/>
      <c r="F493" s="45"/>
      <c r="G493" s="52" t="s">
        <v>110</v>
      </c>
      <c r="H493" s="47" t="s">
        <v>20</v>
      </c>
      <c r="I493" s="48"/>
      <c r="J493" s="48"/>
      <c r="K493" s="49"/>
      <c r="L493" s="53">
        <f ca="1">IFERROR(__xludf.DUMMYFUNCTION("IMPORTRANGE(""https://docs.google.com/spreadsheets/d/1C3CXT74ZlgGe6_JY_1olB1XN4rF0dxEuIIF-xsYjHgg/edit?usp=sharing"",""งบกองทุน!Ev36"")"),0)</f>
        <v>0</v>
      </c>
      <c r="M493" s="53">
        <v>0</v>
      </c>
      <c r="N493" s="53">
        <f t="shared" ca="1" si="111"/>
        <v>0</v>
      </c>
    </row>
    <row r="494" spans="1:14" ht="21.75" customHeight="1" x14ac:dyDescent="0.4">
      <c r="A494" s="42"/>
      <c r="B494" s="43"/>
      <c r="C494" s="43"/>
      <c r="D494" s="51"/>
      <c r="E494" s="45"/>
      <c r="F494" s="45"/>
      <c r="G494" s="52" t="s">
        <v>111</v>
      </c>
      <c r="H494" s="47" t="s">
        <v>20</v>
      </c>
      <c r="I494" s="48"/>
      <c r="J494" s="48"/>
      <c r="K494" s="49"/>
      <c r="L494" s="53">
        <f ca="1">IFERROR(__xludf.DUMMYFUNCTION("IMPORTRANGE(""https://docs.google.com/spreadsheets/d/1C3CXT74ZlgGe6_JY_1olB1XN4rF0dxEuIIF-xsYjHgg/edit?usp=sharing"",""งบกองทุน!Ew36"")"),8550)</f>
        <v>8550</v>
      </c>
      <c r="M494" s="53">
        <f>SUM(M495:M498)</f>
        <v>0</v>
      </c>
      <c r="N494" s="53">
        <f t="shared" ca="1" si="111"/>
        <v>0</v>
      </c>
    </row>
    <row r="495" spans="1:14" ht="21.75" customHeight="1" x14ac:dyDescent="0.4">
      <c r="A495" s="230"/>
      <c r="B495" s="231"/>
      <c r="C495" s="43"/>
      <c r="D495" s="232"/>
      <c r="E495" s="45"/>
      <c r="F495" s="45"/>
      <c r="G495" s="46" t="s">
        <v>112</v>
      </c>
      <c r="H495" s="47" t="s">
        <v>20</v>
      </c>
      <c r="I495" s="67"/>
      <c r="J495" s="67"/>
      <c r="K495" s="233"/>
      <c r="L495" s="53"/>
      <c r="M495" s="53">
        <v>0</v>
      </c>
      <c r="N495" s="53"/>
    </row>
    <row r="496" spans="1:14" ht="21.75" customHeight="1" x14ac:dyDescent="0.4">
      <c r="A496" s="230"/>
      <c r="B496" s="231"/>
      <c r="C496" s="43"/>
      <c r="D496" s="232"/>
      <c r="E496" s="45"/>
      <c r="F496" s="45"/>
      <c r="G496" s="46" t="s">
        <v>113</v>
      </c>
      <c r="H496" s="47" t="s">
        <v>20</v>
      </c>
      <c r="I496" s="67"/>
      <c r="J496" s="67"/>
      <c r="K496" s="233"/>
      <c r="L496" s="53"/>
      <c r="M496" s="53">
        <v>0</v>
      </c>
      <c r="N496" s="53"/>
    </row>
    <row r="497" spans="1:14" ht="21.75" customHeight="1" x14ac:dyDescent="0.4">
      <c r="A497" s="230"/>
      <c r="B497" s="231"/>
      <c r="C497" s="43"/>
      <c r="D497" s="232"/>
      <c r="E497" s="45"/>
      <c r="F497" s="45"/>
      <c r="G497" s="46" t="s">
        <v>114</v>
      </c>
      <c r="H497" s="47" t="s">
        <v>20</v>
      </c>
      <c r="I497" s="67"/>
      <c r="J497" s="67"/>
      <c r="K497" s="233"/>
      <c r="L497" s="53"/>
      <c r="M497" s="54">
        <v>0</v>
      </c>
      <c r="N497" s="53"/>
    </row>
    <row r="498" spans="1:14" ht="21.75" customHeight="1" x14ac:dyDescent="0.4">
      <c r="A498" s="230"/>
      <c r="B498" s="231"/>
      <c r="C498" s="43"/>
      <c r="D498" s="232"/>
      <c r="E498" s="45"/>
      <c r="F498" s="45"/>
      <c r="G498" s="46" t="s">
        <v>115</v>
      </c>
      <c r="H498" s="47" t="s">
        <v>20</v>
      </c>
      <c r="I498" s="67"/>
      <c r="J498" s="67"/>
      <c r="K498" s="233"/>
      <c r="L498" s="53"/>
      <c r="M498" s="54">
        <v>0</v>
      </c>
      <c r="N498" s="53"/>
    </row>
    <row r="499" spans="1:14" ht="21.75" customHeight="1" x14ac:dyDescent="0.4">
      <c r="A499" s="55"/>
      <c r="B499" s="56"/>
      <c r="C499" s="43" t="s">
        <v>17</v>
      </c>
      <c r="D499" s="57" t="s">
        <v>25</v>
      </c>
      <c r="E499" s="58"/>
      <c r="F499" s="58"/>
      <c r="G499" s="59"/>
      <c r="H499" s="60"/>
      <c r="I499" s="48"/>
      <c r="J499" s="48"/>
      <c r="K499" s="49"/>
      <c r="L499" s="61"/>
      <c r="M499" s="61"/>
      <c r="N499" s="61"/>
    </row>
    <row r="500" spans="1:14" ht="21.75" customHeight="1" x14ac:dyDescent="0.4">
      <c r="A500" s="55"/>
      <c r="B500" s="56"/>
      <c r="C500" s="56"/>
      <c r="D500" s="62">
        <v>1</v>
      </c>
      <c r="E500" s="63" t="s">
        <v>26</v>
      </c>
      <c r="F500" s="64"/>
      <c r="G500" s="65"/>
      <c r="H500" s="66"/>
      <c r="I500" s="67"/>
      <c r="J500" s="68">
        <v>0</v>
      </c>
      <c r="K500" s="49"/>
      <c r="L500" s="61"/>
      <c r="M500" s="61"/>
      <c r="N500" s="61"/>
    </row>
    <row r="501" spans="1:14" ht="21.75" customHeight="1" x14ac:dyDescent="0.4">
      <c r="A501" s="55"/>
      <c r="B501" s="56"/>
      <c r="C501" s="56"/>
      <c r="D501" s="69">
        <v>2</v>
      </c>
      <c r="E501" s="70" t="s">
        <v>27</v>
      </c>
      <c r="F501" s="71"/>
      <c r="G501" s="72"/>
      <c r="H501" s="66"/>
      <c r="I501" s="67"/>
      <c r="J501" s="68">
        <v>0</v>
      </c>
      <c r="K501" s="49"/>
      <c r="L501" s="61" t="s">
        <v>21</v>
      </c>
      <c r="M501" s="61" t="s">
        <v>21</v>
      </c>
      <c r="N501" s="61"/>
    </row>
    <row r="502" spans="1:14" ht="21.75" hidden="1" customHeight="1" x14ac:dyDescent="0.4">
      <c r="A502" s="376"/>
      <c r="B502" s="377"/>
      <c r="C502" s="377"/>
      <c r="D502" s="378"/>
      <c r="E502" s="379" t="s">
        <v>28</v>
      </c>
      <c r="F502" s="380"/>
      <c r="G502" s="381"/>
      <c r="H502" s="330"/>
      <c r="I502" s="331"/>
      <c r="J502" s="331">
        <v>0</v>
      </c>
      <c r="K502" s="382"/>
      <c r="L502" s="383"/>
      <c r="M502" s="383"/>
      <c r="N502" s="383"/>
    </row>
    <row r="503" spans="1:14" ht="21.75" hidden="1" customHeight="1" x14ac:dyDescent="0.4">
      <c r="A503" s="376"/>
      <c r="B503" s="377"/>
      <c r="C503" s="377"/>
      <c r="D503" s="378"/>
      <c r="E503" s="379" t="s">
        <v>29</v>
      </c>
      <c r="F503" s="380"/>
      <c r="G503" s="381"/>
      <c r="H503" s="330"/>
      <c r="I503" s="331"/>
      <c r="J503" s="331">
        <v>0</v>
      </c>
      <c r="K503" s="382"/>
      <c r="L503" s="383"/>
      <c r="M503" s="383"/>
      <c r="N503" s="383"/>
    </row>
    <row r="504" spans="1:14" ht="21.75" customHeight="1" x14ac:dyDescent="0.4">
      <c r="A504" s="55"/>
      <c r="B504" s="56"/>
      <c r="C504" s="56"/>
      <c r="D504" s="73"/>
      <c r="E504" s="75"/>
      <c r="F504" s="75" t="s">
        <v>199</v>
      </c>
      <c r="G504" s="76"/>
      <c r="H504" s="60" t="s">
        <v>103</v>
      </c>
      <c r="I504" s="67">
        <f ca="1">IFERROR(__xludf.DUMMYFUNCTION("IMPORTRANGE(""https://docs.google.com/spreadsheets/d/1C3CXT74ZlgGe6_JY_1olB1XN4rF0dxEuIIF-xsYjHgg/edit?usp=sharing"",""งบกองทุน!EZ36"")"),50)</f>
        <v>50</v>
      </c>
      <c r="J504" s="48">
        <f>+J510</f>
        <v>0</v>
      </c>
      <c r="K504" s="49">
        <f t="shared" ref="K504:K512" ca="1" si="113">IF(I$504&gt;0,J504*100/I$504,0)</f>
        <v>0</v>
      </c>
      <c r="L504" s="61"/>
      <c r="M504" s="61"/>
      <c r="N504" s="61"/>
    </row>
    <row r="505" spans="1:14" ht="21.75" customHeight="1" x14ac:dyDescent="0.4">
      <c r="A505" s="55"/>
      <c r="B505" s="56"/>
      <c r="C505" s="56"/>
      <c r="D505" s="73"/>
      <c r="E505" s="77"/>
      <c r="F505" s="75"/>
      <c r="G505" s="99" t="s">
        <v>200</v>
      </c>
      <c r="H505" s="60" t="s">
        <v>103</v>
      </c>
      <c r="I505" s="67">
        <v>0</v>
      </c>
      <c r="J505" s="68">
        <v>0</v>
      </c>
      <c r="K505" s="49">
        <f t="shared" ca="1" si="113"/>
        <v>0</v>
      </c>
      <c r="L505" s="61"/>
      <c r="M505" s="61"/>
      <c r="N505" s="61"/>
    </row>
    <row r="506" spans="1:14" ht="21.75" customHeight="1" x14ac:dyDescent="0.4">
      <c r="A506" s="55"/>
      <c r="B506" s="56"/>
      <c r="C506" s="56"/>
      <c r="D506" s="73"/>
      <c r="E506" s="77"/>
      <c r="F506" s="75"/>
      <c r="G506" s="99" t="s">
        <v>201</v>
      </c>
      <c r="H506" s="60" t="s">
        <v>103</v>
      </c>
      <c r="I506" s="67">
        <v>0</v>
      </c>
      <c r="J506" s="68">
        <v>0</v>
      </c>
      <c r="K506" s="49">
        <f t="shared" ca="1" si="113"/>
        <v>0</v>
      </c>
      <c r="L506" s="61"/>
      <c r="M506" s="61"/>
      <c r="N506" s="61"/>
    </row>
    <row r="507" spans="1:14" ht="21.75" customHeight="1" x14ac:dyDescent="0.4">
      <c r="A507" s="55"/>
      <c r="B507" s="56"/>
      <c r="C507" s="56"/>
      <c r="D507" s="73"/>
      <c r="E507" s="77"/>
      <c r="F507" s="75"/>
      <c r="G507" s="99" t="s">
        <v>202</v>
      </c>
      <c r="H507" s="60" t="s">
        <v>103</v>
      </c>
      <c r="I507" s="67">
        <v>0</v>
      </c>
      <c r="J507" s="68">
        <v>0</v>
      </c>
      <c r="K507" s="49">
        <f t="shared" ca="1" si="113"/>
        <v>0</v>
      </c>
      <c r="L507" s="61"/>
      <c r="M507" s="61"/>
      <c r="N507" s="61"/>
    </row>
    <row r="508" spans="1:14" ht="21.75" customHeight="1" x14ac:dyDescent="0.4">
      <c r="A508" s="55"/>
      <c r="B508" s="56"/>
      <c r="C508" s="56"/>
      <c r="D508" s="73"/>
      <c r="E508" s="77"/>
      <c r="F508" s="75"/>
      <c r="G508" s="99" t="s">
        <v>203</v>
      </c>
      <c r="H508" s="60" t="s">
        <v>103</v>
      </c>
      <c r="I508" s="67">
        <v>0</v>
      </c>
      <c r="J508" s="68">
        <v>0</v>
      </c>
      <c r="K508" s="49">
        <f t="shared" ca="1" si="113"/>
        <v>0</v>
      </c>
      <c r="L508" s="61"/>
      <c r="M508" s="61"/>
      <c r="N508" s="61"/>
    </row>
    <row r="509" spans="1:14" ht="21.75" customHeight="1" x14ac:dyDescent="0.4">
      <c r="A509" s="55"/>
      <c r="B509" s="56"/>
      <c r="C509" s="56"/>
      <c r="D509" s="73"/>
      <c r="E509" s="77"/>
      <c r="F509" s="75"/>
      <c r="G509" s="74" t="s">
        <v>204</v>
      </c>
      <c r="H509" s="60" t="s">
        <v>103</v>
      </c>
      <c r="I509" s="67">
        <v>0</v>
      </c>
      <c r="J509" s="68">
        <v>0</v>
      </c>
      <c r="K509" s="49">
        <f t="shared" ca="1" si="113"/>
        <v>0</v>
      </c>
      <c r="L509" s="61"/>
      <c r="M509" s="61"/>
      <c r="N509" s="61"/>
    </row>
    <row r="510" spans="1:14" ht="21.75" customHeight="1" x14ac:dyDescent="0.4">
      <c r="A510" s="55"/>
      <c r="B510" s="56"/>
      <c r="C510" s="56"/>
      <c r="D510" s="73"/>
      <c r="E510" s="77"/>
      <c r="F510" s="75"/>
      <c r="G510" s="74" t="s">
        <v>205</v>
      </c>
      <c r="H510" s="60" t="s">
        <v>103</v>
      </c>
      <c r="I510" s="67">
        <f t="shared" ref="I510:J510" si="114">I511+I512</f>
        <v>0</v>
      </c>
      <c r="J510" s="67">
        <f t="shared" si="114"/>
        <v>0</v>
      </c>
      <c r="K510" s="49">
        <f t="shared" ca="1" si="113"/>
        <v>0</v>
      </c>
      <c r="L510" s="61"/>
      <c r="M510" s="61"/>
      <c r="N510" s="61"/>
    </row>
    <row r="511" spans="1:14" ht="21.75" customHeight="1" x14ac:dyDescent="0.4">
      <c r="A511" s="55"/>
      <c r="B511" s="56"/>
      <c r="C511" s="56"/>
      <c r="D511" s="73"/>
      <c r="E511" s="77"/>
      <c r="F511" s="75"/>
      <c r="G511" s="334" t="s">
        <v>206</v>
      </c>
      <c r="H511" s="60" t="s">
        <v>103</v>
      </c>
      <c r="I511" s="67">
        <v>0</v>
      </c>
      <c r="J511" s="68">
        <v>0</v>
      </c>
      <c r="K511" s="49">
        <f t="shared" ca="1" si="113"/>
        <v>0</v>
      </c>
      <c r="L511" s="61"/>
      <c r="M511" s="61"/>
      <c r="N511" s="61"/>
    </row>
    <row r="512" spans="1:14" ht="21.75" customHeight="1" x14ac:dyDescent="0.4">
      <c r="A512" s="55"/>
      <c r="B512" s="56"/>
      <c r="C512" s="56"/>
      <c r="D512" s="73"/>
      <c r="E512" s="77"/>
      <c r="F512" s="75"/>
      <c r="G512" s="334" t="s">
        <v>207</v>
      </c>
      <c r="H512" s="60" t="s">
        <v>103</v>
      </c>
      <c r="I512" s="67">
        <v>0</v>
      </c>
      <c r="J512" s="68">
        <v>0</v>
      </c>
      <c r="K512" s="49">
        <f t="shared" ca="1" si="113"/>
        <v>0</v>
      </c>
      <c r="L512" s="61"/>
      <c r="M512" s="61"/>
      <c r="N512" s="61"/>
    </row>
    <row r="513" spans="1:14" ht="21.75" customHeight="1" x14ac:dyDescent="0.4">
      <c r="A513" s="55"/>
      <c r="B513" s="56"/>
      <c r="C513" s="56"/>
      <c r="D513" s="73"/>
      <c r="E513" s="75"/>
      <c r="F513" s="74" t="s">
        <v>208</v>
      </c>
      <c r="G513" s="76"/>
      <c r="H513" s="60" t="s">
        <v>103</v>
      </c>
      <c r="I513" s="67">
        <f ca="1">IFERROR(__xludf.DUMMYFUNCTION("IMPORTRANGE(""https://docs.google.com/spreadsheets/d/1C3CXT74ZlgGe6_JY_1olB1XN4rF0dxEuIIF-xsYjHgg/edit?usp=sharing"",""งบกองทุน!ff36"")"),0)</f>
        <v>0</v>
      </c>
      <c r="J513" s="48">
        <f>J514</f>
        <v>0</v>
      </c>
      <c r="K513" s="49">
        <f t="shared" ref="K513:K519" ca="1" si="115">IF(I$513&gt;0,J513*100/I$513,0)</f>
        <v>0</v>
      </c>
      <c r="L513" s="61"/>
      <c r="M513" s="61"/>
      <c r="N513" s="61"/>
    </row>
    <row r="514" spans="1:14" ht="21.75" customHeight="1" x14ac:dyDescent="0.4">
      <c r="A514" s="55"/>
      <c r="B514" s="56"/>
      <c r="C514" s="56"/>
      <c r="D514" s="73"/>
      <c r="E514" s="77"/>
      <c r="F514" s="75"/>
      <c r="G514" s="99" t="s">
        <v>205</v>
      </c>
      <c r="H514" s="60" t="s">
        <v>103</v>
      </c>
      <c r="I514" s="48">
        <f t="shared" ref="I514:J514" si="116">I515+I516</f>
        <v>0</v>
      </c>
      <c r="J514" s="48">
        <f t="shared" si="116"/>
        <v>0</v>
      </c>
      <c r="K514" s="49">
        <f t="shared" ca="1" si="115"/>
        <v>0</v>
      </c>
      <c r="L514" s="61"/>
      <c r="M514" s="61"/>
      <c r="N514" s="61"/>
    </row>
    <row r="515" spans="1:14" ht="21.75" customHeight="1" x14ac:dyDescent="0.4">
      <c r="A515" s="55"/>
      <c r="B515" s="56"/>
      <c r="C515" s="56"/>
      <c r="D515" s="73"/>
      <c r="E515" s="77"/>
      <c r="F515" s="75"/>
      <c r="G515" s="334" t="s">
        <v>206</v>
      </c>
      <c r="H515" s="60" t="s">
        <v>103</v>
      </c>
      <c r="I515" s="67">
        <v>0</v>
      </c>
      <c r="J515" s="68">
        <v>0</v>
      </c>
      <c r="K515" s="49">
        <f t="shared" ca="1" si="115"/>
        <v>0</v>
      </c>
      <c r="L515" s="61"/>
      <c r="M515" s="61"/>
      <c r="N515" s="61"/>
    </row>
    <row r="516" spans="1:14" ht="21.75" customHeight="1" x14ac:dyDescent="0.4">
      <c r="A516" s="55"/>
      <c r="B516" s="56"/>
      <c r="C516" s="56"/>
      <c r="D516" s="73"/>
      <c r="E516" s="77"/>
      <c r="F516" s="75"/>
      <c r="G516" s="334" t="s">
        <v>207</v>
      </c>
      <c r="H516" s="60" t="s">
        <v>103</v>
      </c>
      <c r="I516" s="67">
        <v>0</v>
      </c>
      <c r="J516" s="68">
        <v>0</v>
      </c>
      <c r="K516" s="49">
        <f t="shared" ca="1" si="115"/>
        <v>0</v>
      </c>
      <c r="L516" s="61"/>
      <c r="M516" s="61"/>
      <c r="N516" s="61"/>
    </row>
    <row r="517" spans="1:14" ht="21.75" customHeight="1" x14ac:dyDescent="0.4">
      <c r="A517" s="55"/>
      <c r="B517" s="56"/>
      <c r="C517" s="56"/>
      <c r="D517" s="73"/>
      <c r="E517" s="77"/>
      <c r="F517" s="75"/>
      <c r="G517" s="99" t="s">
        <v>209</v>
      </c>
      <c r="H517" s="60" t="s">
        <v>103</v>
      </c>
      <c r="I517" s="67">
        <f t="shared" ref="I517:J517" si="117">SUM(I518:I519)</f>
        <v>0</v>
      </c>
      <c r="J517" s="67">
        <f t="shared" si="117"/>
        <v>0</v>
      </c>
      <c r="K517" s="49">
        <f t="shared" ca="1" si="115"/>
        <v>0</v>
      </c>
      <c r="L517" s="61"/>
      <c r="M517" s="61"/>
      <c r="N517" s="61"/>
    </row>
    <row r="518" spans="1:14" ht="21.75" customHeight="1" x14ac:dyDescent="0.4">
      <c r="A518" s="55"/>
      <c r="B518" s="56"/>
      <c r="C518" s="56"/>
      <c r="D518" s="73"/>
      <c r="E518" s="77"/>
      <c r="F518" s="75"/>
      <c r="G518" s="334" t="s">
        <v>210</v>
      </c>
      <c r="H518" s="60" t="s">
        <v>103</v>
      </c>
      <c r="I518" s="67">
        <v>0</v>
      </c>
      <c r="J518" s="68">
        <v>0</v>
      </c>
      <c r="K518" s="49">
        <f t="shared" ca="1" si="115"/>
        <v>0</v>
      </c>
      <c r="L518" s="61"/>
      <c r="M518" s="61"/>
      <c r="N518" s="61"/>
    </row>
    <row r="519" spans="1:14" ht="21.75" customHeight="1" x14ac:dyDescent="0.4">
      <c r="A519" s="55"/>
      <c r="B519" s="56"/>
      <c r="C519" s="56"/>
      <c r="D519" s="73"/>
      <c r="E519" s="77"/>
      <c r="F519" s="75"/>
      <c r="G519" s="334" t="s">
        <v>211</v>
      </c>
      <c r="H519" s="60" t="s">
        <v>103</v>
      </c>
      <c r="I519" s="67">
        <v>0</v>
      </c>
      <c r="J519" s="68">
        <v>0</v>
      </c>
      <c r="K519" s="49">
        <f t="shared" ca="1" si="115"/>
        <v>0</v>
      </c>
      <c r="L519" s="61"/>
      <c r="M519" s="61"/>
      <c r="N519" s="61"/>
    </row>
    <row r="520" spans="1:14" ht="21.75" customHeight="1" x14ac:dyDescent="0.4">
      <c r="A520" s="335" t="s">
        <v>212</v>
      </c>
      <c r="B520" s="336"/>
      <c r="C520" s="336"/>
      <c r="D520" s="336"/>
      <c r="E520" s="336"/>
      <c r="F520" s="336"/>
      <c r="G520" s="337"/>
      <c r="H520" s="338"/>
      <c r="I520" s="339"/>
      <c r="J520" s="339"/>
      <c r="K520" s="340"/>
      <c r="L520" s="340"/>
      <c r="M520" s="340"/>
      <c r="N520" s="341"/>
    </row>
    <row r="521" spans="1:14" ht="21.75" customHeight="1" x14ac:dyDescent="0.4">
      <c r="A521" s="316"/>
      <c r="B521" s="45" t="s">
        <v>213</v>
      </c>
      <c r="C521" s="43"/>
      <c r="D521" s="51"/>
      <c r="E521" s="45"/>
      <c r="F521" s="45"/>
      <c r="G521" s="46"/>
      <c r="H521" s="342" t="s">
        <v>20</v>
      </c>
      <c r="I521" s="200">
        <f ca="1">IFERROR(__xludf.DUMMYFUNCTION("IMPORTRANGE(""https://docs.google.com/spreadsheets/d/1muirlRDkqiswvy_NRZ3Yh955hx-PF6_HhssUYiSJj8o/edit?usp=sharing"",""กองทุน!D36"")"),1955020.26999999)</f>
        <v>1955020.26999999</v>
      </c>
      <c r="J521" s="200">
        <f ca="1">IFERROR(__xludf.DUMMYFUNCTION("IMPORTRANGE(""https://docs.google.com/spreadsheets/d/1muirlRDkqiswvy_NRZ3Yh955hx-PF6_HhssUYiSJj8o/edit?usp=sharing"",""กองทุน!F36"")"),0)</f>
        <v>0</v>
      </c>
      <c r="K521" s="201">
        <f t="shared" ref="K521:K528" ca="1" si="118">IF(I521&gt;0,J521*100/I521,0)</f>
        <v>0</v>
      </c>
      <c r="L521" s="201"/>
      <c r="M521" s="201"/>
      <c r="N521" s="53"/>
    </row>
    <row r="522" spans="1:14" ht="21.75" customHeight="1" x14ac:dyDescent="0.4">
      <c r="A522" s="316"/>
      <c r="B522" s="43"/>
      <c r="C522" s="43"/>
      <c r="D522" s="51"/>
      <c r="E522" s="45"/>
      <c r="F522" s="45"/>
      <c r="G522" s="46"/>
      <c r="H522" s="342" t="s">
        <v>16</v>
      </c>
      <c r="I522" s="200">
        <f ca="1">IFERROR(__xludf.DUMMYFUNCTION("IMPORTRANGE(""https://docs.google.com/spreadsheets/d/1muirlRDkqiswvy_NRZ3Yh955hx-PF6_HhssUYiSJj8o/edit?usp=sharing"",""กองทุน!C36"")"),111)</f>
        <v>111</v>
      </c>
      <c r="J522" s="200">
        <f ca="1">IFERROR(__xludf.DUMMYFUNCTION("IMPORTRANGE(""https://docs.google.com/spreadsheets/d/1muirlRDkqiswvy_NRZ3Yh955hx-PF6_HhssUYiSJj8o/edit?usp=sharing"",""กองทุน!E36"")"),0)</f>
        <v>0</v>
      </c>
      <c r="K522" s="201">
        <f t="shared" ca="1" si="118"/>
        <v>0</v>
      </c>
      <c r="L522" s="201"/>
      <c r="M522" s="201"/>
      <c r="N522" s="53"/>
    </row>
    <row r="523" spans="1:14" ht="21.75" customHeight="1" x14ac:dyDescent="0.4">
      <c r="A523" s="316"/>
      <c r="B523" s="45" t="s">
        <v>214</v>
      </c>
      <c r="C523" s="43"/>
      <c r="D523" s="51"/>
      <c r="E523" s="45"/>
      <c r="F523" s="45"/>
      <c r="G523" s="46"/>
      <c r="H523" s="342" t="s">
        <v>20</v>
      </c>
      <c r="I523" s="200">
        <f ca="1">IFERROR(__xludf.DUMMYFUNCTION("IMPORTRANGE(""https://docs.google.com/spreadsheets/d/1muirlRDkqiswvy_NRZ3Yh955hx-PF6_HhssUYiSJj8o/edit?usp=sharing"",""กองทุน!I36"")"),12295447.98)</f>
        <v>12295447.98</v>
      </c>
      <c r="J523" s="200">
        <f ca="1">IFERROR(__xludf.DUMMYFUNCTION("IMPORTRANGE(""https://docs.google.com/spreadsheets/d/1muirlRDkqiswvy_NRZ3Yh955hx-PF6_HhssUYiSJj8o/edit?usp=sharing"",""กองทุน!K36"")"),52512.13)</f>
        <v>52512.13</v>
      </c>
      <c r="K523" s="201">
        <f t="shared" ca="1" si="118"/>
        <v>0.42708594339480094</v>
      </c>
      <c r="L523" s="201"/>
      <c r="M523" s="201"/>
      <c r="N523" s="53"/>
    </row>
    <row r="524" spans="1:14" ht="21.75" customHeight="1" x14ac:dyDescent="0.4">
      <c r="A524" s="316"/>
      <c r="B524" s="43"/>
      <c r="C524" s="43"/>
      <c r="D524" s="51"/>
      <c r="E524" s="45"/>
      <c r="F524" s="45"/>
      <c r="G524" s="46"/>
      <c r="H524" s="342" t="s">
        <v>16</v>
      </c>
      <c r="I524" s="200">
        <f ca="1">IFERROR(__xludf.DUMMYFUNCTION("IMPORTRANGE(""https://docs.google.com/spreadsheets/d/1muirlRDkqiswvy_NRZ3Yh955hx-PF6_HhssUYiSJj8o/edit?usp=sharing"",""กองทุน!H36"")"),678)</f>
        <v>678</v>
      </c>
      <c r="J524" s="200">
        <f ca="1">IFERROR(__xludf.DUMMYFUNCTION("IMPORTRANGE(""https://docs.google.com/spreadsheets/d/1muirlRDkqiswvy_NRZ3Yh955hx-PF6_HhssUYiSJj8o/edit?usp=sharing"",""กองทุน!J36"")"),9)</f>
        <v>9</v>
      </c>
      <c r="K524" s="201">
        <f t="shared" ca="1" si="118"/>
        <v>1.3274336283185841</v>
      </c>
      <c r="L524" s="201"/>
      <c r="M524" s="201"/>
      <c r="N524" s="53"/>
    </row>
    <row r="525" spans="1:14" ht="21.75" customHeight="1" x14ac:dyDescent="0.4">
      <c r="A525" s="316"/>
      <c r="B525" s="45" t="s">
        <v>215</v>
      </c>
      <c r="C525" s="43"/>
      <c r="D525" s="51"/>
      <c r="E525" s="45"/>
      <c r="F525" s="45"/>
      <c r="G525" s="46"/>
      <c r="H525" s="342" t="s">
        <v>20</v>
      </c>
      <c r="I525" s="200">
        <f ca="1">IFERROR(__xludf.DUMMYFUNCTION("IMPORTRANGE(""https://docs.google.com/spreadsheets/d/1muirlRDkqiswvy_NRZ3Yh955hx-PF6_HhssUYiSJj8o/edit?usp=sharing"",""กองทุน!N36"")"),3855213.71)</f>
        <v>3855213.71</v>
      </c>
      <c r="J525" s="200">
        <f ca="1">IFERROR(__xludf.DUMMYFUNCTION("IMPORTRANGE(""https://docs.google.com/spreadsheets/d/1muirlRDkqiswvy_NRZ3Yh955hx-PF6_HhssUYiSJj8o/edit?usp=sharing"",""กองทุน!P36"")"),69411.07)</f>
        <v>69411.070000000007</v>
      </c>
      <c r="K525" s="201">
        <f t="shared" ca="1" si="118"/>
        <v>1.800446751368292</v>
      </c>
      <c r="L525" s="201"/>
      <c r="M525" s="201"/>
      <c r="N525" s="53"/>
    </row>
    <row r="526" spans="1:14" ht="21.75" customHeight="1" x14ac:dyDescent="0.4">
      <c r="A526" s="316"/>
      <c r="B526" s="45"/>
      <c r="C526" s="43"/>
      <c r="D526" s="51"/>
      <c r="E526" s="45"/>
      <c r="F526" s="45"/>
      <c r="G526" s="46"/>
      <c r="H526" s="342" t="s">
        <v>16</v>
      </c>
      <c r="I526" s="200">
        <f ca="1">IFERROR(__xludf.DUMMYFUNCTION("IMPORTRANGE(""https://docs.google.com/spreadsheets/d/1muirlRDkqiswvy_NRZ3Yh955hx-PF6_HhssUYiSJj8o/edit?usp=sharing"",""กองทุน!M36"")"),168)</f>
        <v>168</v>
      </c>
      <c r="J526" s="200">
        <f ca="1">IFERROR(__xludf.DUMMYFUNCTION("IMPORTRANGE(""https://docs.google.com/spreadsheets/d/1muirlRDkqiswvy_NRZ3Yh955hx-PF6_HhssUYiSJj8o/edit?usp=sharing"",""กองทุน!O36"")"),4)</f>
        <v>4</v>
      </c>
      <c r="K526" s="201">
        <f t="shared" ca="1" si="118"/>
        <v>2.3809523809523809</v>
      </c>
      <c r="L526" s="201"/>
      <c r="M526" s="201"/>
      <c r="N526" s="53"/>
    </row>
    <row r="527" spans="1:14" ht="21.75" customHeight="1" x14ac:dyDescent="0.4">
      <c r="A527" s="316"/>
      <c r="B527" s="45" t="s">
        <v>216</v>
      </c>
      <c r="C527" s="43"/>
      <c r="D527" s="51"/>
      <c r="E527" s="45"/>
      <c r="F527" s="45"/>
      <c r="G527" s="46"/>
      <c r="H527" s="342" t="s">
        <v>20</v>
      </c>
      <c r="I527" s="200">
        <f ca="1">IFERROR(__xludf.DUMMYFUNCTION("IMPORTRANGE(""https://docs.google.com/spreadsheets/d/1muirlRDkqiswvy_NRZ3Yh955hx-PF6_HhssUYiSJj8o/edit?usp=sharing"",""กองทุน!S36"")"),1000000)</f>
        <v>1000000</v>
      </c>
      <c r="J527" s="200">
        <f ca="1">IFERROR(__xludf.DUMMYFUNCTION("IMPORTRANGE(""https://docs.google.com/spreadsheets/d/1muirlRDkqiswvy_NRZ3Yh955hx-PF6_HhssUYiSJj8o/edit?usp=sharing"",""กองทุน!U36"")"),0)</f>
        <v>0</v>
      </c>
      <c r="K527" s="201">
        <f t="shared" ca="1" si="118"/>
        <v>0</v>
      </c>
      <c r="L527" s="201"/>
      <c r="M527" s="201"/>
      <c r="N527" s="53"/>
    </row>
    <row r="528" spans="1:14" ht="21.75" customHeight="1" x14ac:dyDescent="0.4">
      <c r="A528" s="317"/>
      <c r="B528" s="319"/>
      <c r="C528" s="319"/>
      <c r="D528" s="318"/>
      <c r="E528" s="343"/>
      <c r="F528" s="343"/>
      <c r="G528" s="344"/>
      <c r="H528" s="345" t="s">
        <v>16</v>
      </c>
      <c r="I528" s="322">
        <f ca="1">IFERROR(__xludf.DUMMYFUNCTION("IMPORTRANGE(""https://docs.google.com/spreadsheets/d/1muirlRDkqiswvy_NRZ3Yh955hx-PF6_HhssUYiSJj8o/edit?usp=sharing"",""กองทุน!R36"")"),50)</f>
        <v>50</v>
      </c>
      <c r="J528" s="322">
        <f ca="1">IFERROR(__xludf.DUMMYFUNCTION("IMPORTRANGE(""https://docs.google.com/spreadsheets/d/1muirlRDkqiswvy_NRZ3Yh955hx-PF6_HhssUYiSJj8o/edit?usp=sharing"",""กองทุน!T36"")"),0)</f>
        <v>0</v>
      </c>
      <c r="K528" s="323">
        <f t="shared" ca="1" si="118"/>
        <v>0</v>
      </c>
      <c r="L528" s="323"/>
      <c r="M528" s="323"/>
      <c r="N528" s="346"/>
    </row>
    <row r="529" spans="1:14" ht="21.75" customHeight="1" x14ac:dyDescent="0.4">
      <c r="A529" s="347"/>
      <c r="B529" s="347"/>
      <c r="C529" s="347"/>
      <c r="D529" s="347"/>
      <c r="E529" s="348" t="s">
        <v>217</v>
      </c>
      <c r="F529" s="348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&amp;P/&amp;N&amp;R&amp;F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L18" sqref="L18"/>
      <selection pane="bottomLeft" activeCell="L397" sqref="L397"/>
    </sheetView>
  </sheetViews>
  <sheetFormatPr defaultColWidth="12.625" defaultRowHeight="15" customHeight="1" x14ac:dyDescent="0.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4">
      <c r="A1" s="408" t="s">
        <v>0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</row>
    <row r="2" spans="1:14" ht="18" customHeight="1" x14ac:dyDescent="0.4">
      <c r="A2" s="403" t="s">
        <v>218</v>
      </c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404"/>
    </row>
    <row r="3" spans="1:14" ht="18" customHeight="1" x14ac:dyDescent="0.4">
      <c r="A3" s="403" t="s">
        <v>249</v>
      </c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04"/>
    </row>
    <row r="4" spans="1:14" ht="33.75" customHeight="1" x14ac:dyDescent="0.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21.75" customHeight="1" x14ac:dyDescent="0.55000000000000004">
      <c r="A5" s="405" t="s">
        <v>4</v>
      </c>
      <c r="B5" s="406"/>
      <c r="C5" s="406"/>
      <c r="D5" s="406"/>
      <c r="E5" s="406"/>
      <c r="F5" s="406"/>
      <c r="G5" s="407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2647395</v>
      </c>
      <c r="M6" s="16">
        <f t="shared" si="0"/>
        <v>0</v>
      </c>
      <c r="N6" s="17">
        <f ca="1">IF(L6&gt;0,M6*100/L6,0)</f>
        <v>0</v>
      </c>
    </row>
    <row r="7" spans="1:14" ht="21.75" customHeight="1" x14ac:dyDescent="0.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41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41">
        <f ca="1">IF(L9&gt;0,M9*100/L9,0)</f>
        <v>0</v>
      </c>
    </row>
    <row r="10" spans="1:14" ht="21.75" customHeight="1" x14ac:dyDescent="0.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41">
        <f t="shared" ca="1" si="2"/>
        <v>0</v>
      </c>
      <c r="L10" s="40"/>
      <c r="M10" s="40"/>
      <c r="N10" s="41"/>
    </row>
    <row r="11" spans="1:14" ht="21.75" customHeight="1" x14ac:dyDescent="0.4">
      <c r="A11" s="42"/>
      <c r="B11" s="43"/>
      <c r="C11" s="43" t="s">
        <v>17</v>
      </c>
      <c r="D11" s="44" t="s">
        <v>18</v>
      </c>
      <c r="E11" s="45"/>
      <c r="F11" s="45"/>
      <c r="G11" s="46" t="s">
        <v>19</v>
      </c>
      <c r="H11" s="47" t="s">
        <v>20</v>
      </c>
      <c r="I11" s="48" t="s">
        <v>21</v>
      </c>
      <c r="J11" s="48"/>
      <c r="K11" s="49"/>
      <c r="L11" s="50">
        <v>0</v>
      </c>
      <c r="M11" s="50">
        <v>0</v>
      </c>
      <c r="N11" s="50">
        <f t="shared" ref="N11:N14" si="4">+IF(L11&gt;0,M11*100/L11,0)</f>
        <v>0</v>
      </c>
    </row>
    <row r="12" spans="1:14" ht="21.75" customHeight="1" x14ac:dyDescent="0.4">
      <c r="A12" s="42"/>
      <c r="B12" s="43"/>
      <c r="C12" s="43"/>
      <c r="D12" s="51"/>
      <c r="E12" s="45"/>
      <c r="F12" s="45" t="s">
        <v>21</v>
      </c>
      <c r="G12" s="46" t="s">
        <v>22</v>
      </c>
      <c r="H12" s="47" t="s">
        <v>20</v>
      </c>
      <c r="I12" s="48"/>
      <c r="J12" s="48"/>
      <c r="K12" s="49"/>
      <c r="L12" s="53">
        <f ca="1">IFERROR(__xludf.DUMMYFUNCTION("IMPORTRANGE(""https://docs.google.com/spreadsheets/d/1C3CXT74ZlgGe6_JY_1olB1XN4rF0dxEuIIF-xsYjHgg/edit?usp=sharing"",""พรบ!C20"")"),0)</f>
        <v>0</v>
      </c>
      <c r="M12" s="50">
        <f>SUM(M13:M14)</f>
        <v>0</v>
      </c>
      <c r="N12" s="50">
        <f t="shared" ca="1" si="4"/>
        <v>0</v>
      </c>
    </row>
    <row r="13" spans="1:14" ht="21.75" customHeight="1" x14ac:dyDescent="0.4">
      <c r="A13" s="42"/>
      <c r="B13" s="43"/>
      <c r="C13" s="43"/>
      <c r="D13" s="51"/>
      <c r="E13" s="45"/>
      <c r="F13" s="45"/>
      <c r="G13" s="52" t="s">
        <v>23</v>
      </c>
      <c r="H13" s="47" t="s">
        <v>20</v>
      </c>
      <c r="I13" s="48"/>
      <c r="J13" s="67"/>
      <c r="K13" s="233"/>
      <c r="L13" s="53">
        <f ca="1">IFERROR(__xludf.DUMMYFUNCTION("IMPORTRANGE(""https://docs.google.com/spreadsheets/d/1C3CXT74ZlgGe6_JY_1olB1XN4rF0dxEuIIF-xsYjHgg/edit?usp=sharing"",""พรบ!D20"")"),0)</f>
        <v>0</v>
      </c>
      <c r="M13" s="53">
        <v>0</v>
      </c>
      <c r="N13" s="53">
        <f t="shared" ca="1" si="4"/>
        <v>0</v>
      </c>
    </row>
    <row r="14" spans="1:14" ht="21.75" customHeight="1" x14ac:dyDescent="0.4">
      <c r="A14" s="42"/>
      <c r="B14" s="43"/>
      <c r="C14" s="43"/>
      <c r="D14" s="51"/>
      <c r="E14" s="45"/>
      <c r="F14" s="45"/>
      <c r="G14" s="52" t="s">
        <v>24</v>
      </c>
      <c r="H14" s="47" t="s">
        <v>20</v>
      </c>
      <c r="I14" s="48"/>
      <c r="J14" s="67"/>
      <c r="K14" s="233"/>
      <c r="L14" s="53">
        <f ca="1">IFERROR(__xludf.DUMMYFUNCTION("IMPORTRANGE(""https://docs.google.com/spreadsheets/d/1C3CXT74ZlgGe6_JY_1olB1XN4rF0dxEuIIF-xsYjHgg/edit?usp=sharing"",""พรบ!E20"")"),0)</f>
        <v>0</v>
      </c>
      <c r="M14" s="53">
        <v>0</v>
      </c>
      <c r="N14" s="53">
        <f t="shared" ca="1" si="4"/>
        <v>0</v>
      </c>
    </row>
    <row r="15" spans="1:14" ht="21.75" customHeight="1" x14ac:dyDescent="0.4">
      <c r="A15" s="55"/>
      <c r="B15" s="56"/>
      <c r="C15" s="43" t="s">
        <v>17</v>
      </c>
      <c r="D15" s="57" t="s">
        <v>25</v>
      </c>
      <c r="E15" s="58"/>
      <c r="F15" s="58"/>
      <c r="G15" s="59"/>
      <c r="H15" s="60"/>
      <c r="I15" s="48"/>
      <c r="J15" s="67"/>
      <c r="K15" s="233"/>
      <c r="L15" s="53"/>
      <c r="M15" s="53"/>
      <c r="N15" s="61"/>
    </row>
    <row r="16" spans="1:14" ht="21.75" customHeight="1" x14ac:dyDescent="0.4">
      <c r="A16" s="55"/>
      <c r="B16" s="56"/>
      <c r="C16" s="56"/>
      <c r="D16" s="62">
        <v>1</v>
      </c>
      <c r="E16" s="63" t="s">
        <v>26</v>
      </c>
      <c r="F16" s="64"/>
      <c r="G16" s="65"/>
      <c r="H16" s="66"/>
      <c r="I16" s="67"/>
      <c r="J16" s="67">
        <v>0</v>
      </c>
      <c r="K16" s="233"/>
      <c r="L16" s="53"/>
      <c r="M16" s="53"/>
      <c r="N16" s="61"/>
    </row>
    <row r="17" spans="1:14" ht="21.75" customHeight="1" x14ac:dyDescent="0.4">
      <c r="A17" s="55"/>
      <c r="B17" s="56"/>
      <c r="C17" s="56"/>
      <c r="D17" s="69">
        <v>2</v>
      </c>
      <c r="E17" s="70" t="s">
        <v>27</v>
      </c>
      <c r="F17" s="71"/>
      <c r="G17" s="72"/>
      <c r="H17" s="66"/>
      <c r="I17" s="67"/>
      <c r="J17" s="67">
        <v>0</v>
      </c>
      <c r="K17" s="233"/>
      <c r="L17" s="53" t="s">
        <v>21</v>
      </c>
      <c r="M17" s="53" t="s">
        <v>21</v>
      </c>
      <c r="N17" s="61"/>
    </row>
    <row r="18" spans="1:14" ht="21.75" customHeight="1" x14ac:dyDescent="0.4">
      <c r="A18" s="55"/>
      <c r="B18" s="56"/>
      <c r="C18" s="56"/>
      <c r="D18" s="73"/>
      <c r="E18" s="74" t="s">
        <v>28</v>
      </c>
      <c r="F18" s="75"/>
      <c r="G18" s="76"/>
      <c r="H18" s="66"/>
      <c r="I18" s="67"/>
      <c r="J18" s="67">
        <v>0</v>
      </c>
      <c r="K18" s="233"/>
      <c r="L18" s="53"/>
      <c r="M18" s="53"/>
      <c r="N18" s="61"/>
    </row>
    <row r="19" spans="1:14" ht="21.75" customHeight="1" x14ac:dyDescent="0.4">
      <c r="A19" s="55"/>
      <c r="B19" s="56"/>
      <c r="C19" s="56"/>
      <c r="D19" s="73"/>
      <c r="E19" s="74" t="s">
        <v>29</v>
      </c>
      <c r="F19" s="75"/>
      <c r="G19" s="76"/>
      <c r="H19" s="66"/>
      <c r="I19" s="67"/>
      <c r="J19" s="67">
        <v>0</v>
      </c>
      <c r="K19" s="233"/>
      <c r="L19" s="53"/>
      <c r="M19" s="53"/>
      <c r="N19" s="61"/>
    </row>
    <row r="20" spans="1:14" ht="21.75" customHeight="1" x14ac:dyDescent="0.4">
      <c r="A20" s="55"/>
      <c r="B20" s="56"/>
      <c r="C20" s="56"/>
      <c r="D20" s="73"/>
      <c r="E20" s="77"/>
      <c r="F20" s="74" t="s">
        <v>30</v>
      </c>
      <c r="G20" s="75"/>
      <c r="H20" s="78" t="s">
        <v>15</v>
      </c>
      <c r="I20" s="79">
        <f t="shared" ref="I20:J20" ca="1" si="5">+I22+I24+I26</f>
        <v>0</v>
      </c>
      <c r="J20" s="79">
        <f t="shared" si="5"/>
        <v>0</v>
      </c>
      <c r="K20" s="362">
        <f t="shared" ref="K20:K28" ca="1" si="6">IF(I20&gt;0,J20*100/I20,0)</f>
        <v>0</v>
      </c>
      <c r="L20" s="53"/>
      <c r="M20" s="53"/>
      <c r="N20" s="61"/>
    </row>
    <row r="21" spans="1:14" ht="21.75" customHeight="1" x14ac:dyDescent="0.4">
      <c r="A21" s="55"/>
      <c r="B21" s="56"/>
      <c r="C21" s="56"/>
      <c r="D21" s="73"/>
      <c r="E21" s="77"/>
      <c r="F21" s="75"/>
      <c r="G21" s="76"/>
      <c r="H21" s="78" t="s">
        <v>16</v>
      </c>
      <c r="I21" s="79">
        <f t="shared" ref="I21:J21" ca="1" si="7">+I23+I25+I27</f>
        <v>0</v>
      </c>
      <c r="J21" s="79">
        <f t="shared" si="7"/>
        <v>0</v>
      </c>
      <c r="K21" s="362">
        <f t="shared" ca="1" si="6"/>
        <v>0</v>
      </c>
      <c r="L21" s="53"/>
      <c r="M21" s="53"/>
      <c r="N21" s="61"/>
    </row>
    <row r="22" spans="1:14" ht="21.75" customHeight="1" x14ac:dyDescent="0.4">
      <c r="A22" s="55"/>
      <c r="B22" s="56"/>
      <c r="C22" s="56"/>
      <c r="D22" s="73"/>
      <c r="E22" s="77"/>
      <c r="F22" s="75"/>
      <c r="G22" s="75" t="s">
        <v>31</v>
      </c>
      <c r="H22" s="60" t="s">
        <v>15</v>
      </c>
      <c r="I22" s="48">
        <f ca="1">IFERROR(__xludf.DUMMYFUNCTION("IMPORTRANGE(""https://docs.google.com/spreadsheets/d/1C3CXT74ZlgGe6_JY_1olB1XN4rF0dxEuIIF-xsYjHgg/edit?usp=sharing"",""พรบ!H20"")"),0)</f>
        <v>0</v>
      </c>
      <c r="J22" s="67">
        <v>0</v>
      </c>
      <c r="K22" s="233">
        <f t="shared" ca="1" si="6"/>
        <v>0</v>
      </c>
      <c r="L22" s="53"/>
      <c r="M22" s="53"/>
      <c r="N22" s="61"/>
    </row>
    <row r="23" spans="1:14" ht="21.75" customHeight="1" x14ac:dyDescent="0.4">
      <c r="A23" s="55"/>
      <c r="B23" s="56"/>
      <c r="C23" s="56"/>
      <c r="D23" s="73"/>
      <c r="E23" s="77"/>
      <c r="F23" s="75"/>
      <c r="G23" s="76"/>
      <c r="H23" s="60" t="s">
        <v>16</v>
      </c>
      <c r="I23" s="48">
        <f ca="1">IFERROR(__xludf.DUMMYFUNCTION("IMPORTRANGE(""https://docs.google.com/spreadsheets/d/1C3CXT74ZlgGe6_JY_1olB1XN4rF0dxEuIIF-xsYjHgg/edit?usp=sharing"",""พรบ!I20"")"),0)</f>
        <v>0</v>
      </c>
      <c r="J23" s="67">
        <v>0</v>
      </c>
      <c r="K23" s="233">
        <f t="shared" ca="1" si="6"/>
        <v>0</v>
      </c>
      <c r="L23" s="53"/>
      <c r="M23" s="53"/>
      <c r="N23" s="61"/>
    </row>
    <row r="24" spans="1:14" ht="21.75" customHeight="1" x14ac:dyDescent="0.4">
      <c r="A24" s="55"/>
      <c r="B24" s="56"/>
      <c r="C24" s="56"/>
      <c r="D24" s="73"/>
      <c r="E24" s="77"/>
      <c r="F24" s="75"/>
      <c r="G24" s="75" t="s">
        <v>32</v>
      </c>
      <c r="H24" s="60" t="s">
        <v>15</v>
      </c>
      <c r="I24" s="48">
        <f ca="1">IFERROR(__xludf.DUMMYFUNCTION("IMPORTRANGE(""https://docs.google.com/spreadsheets/d/1C3CXT74ZlgGe6_JY_1olB1XN4rF0dxEuIIF-xsYjHgg/edit?usp=sharing"",""พรบ!J20"")"),0)</f>
        <v>0</v>
      </c>
      <c r="J24" s="67">
        <v>0</v>
      </c>
      <c r="K24" s="233">
        <f t="shared" ca="1" si="6"/>
        <v>0</v>
      </c>
      <c r="L24" s="53"/>
      <c r="M24" s="53"/>
      <c r="N24" s="61"/>
    </row>
    <row r="25" spans="1:14" ht="21.75" customHeight="1" x14ac:dyDescent="0.4">
      <c r="A25" s="55"/>
      <c r="B25" s="56"/>
      <c r="C25" s="56"/>
      <c r="D25" s="73"/>
      <c r="E25" s="77"/>
      <c r="F25" s="75"/>
      <c r="G25" s="76"/>
      <c r="H25" s="60" t="s">
        <v>16</v>
      </c>
      <c r="I25" s="48">
        <f ca="1">IFERROR(__xludf.DUMMYFUNCTION("IMPORTRANGE(""https://docs.google.com/spreadsheets/d/1C3CXT74ZlgGe6_JY_1olB1XN4rF0dxEuIIF-xsYjHgg/edit?usp=sharing"",""พรบ!K20"")"),0)</f>
        <v>0</v>
      </c>
      <c r="J25" s="67">
        <v>0</v>
      </c>
      <c r="K25" s="233">
        <f t="shared" ca="1" si="6"/>
        <v>0</v>
      </c>
      <c r="L25" s="53"/>
      <c r="M25" s="53"/>
      <c r="N25" s="61"/>
    </row>
    <row r="26" spans="1:14" ht="21.75" customHeight="1" x14ac:dyDescent="0.4">
      <c r="A26" s="55"/>
      <c r="B26" s="56"/>
      <c r="C26" s="56"/>
      <c r="D26" s="73"/>
      <c r="E26" s="77"/>
      <c r="F26" s="75"/>
      <c r="G26" s="75" t="s">
        <v>33</v>
      </c>
      <c r="H26" s="60" t="s">
        <v>15</v>
      </c>
      <c r="I26" s="48">
        <f ca="1">IFERROR(__xludf.DUMMYFUNCTION("IMPORTRANGE(""https://docs.google.com/spreadsheets/d/1C3CXT74ZlgGe6_JY_1olB1XN4rF0dxEuIIF-xsYjHgg/edit?usp=sharing"",""พรบ!L20"")"),0)</f>
        <v>0</v>
      </c>
      <c r="J26" s="67">
        <v>0</v>
      </c>
      <c r="K26" s="233">
        <f t="shared" ca="1" si="6"/>
        <v>0</v>
      </c>
      <c r="L26" s="53"/>
      <c r="M26" s="53"/>
      <c r="N26" s="61"/>
    </row>
    <row r="27" spans="1:14" ht="21.75" customHeight="1" x14ac:dyDescent="0.4">
      <c r="A27" s="55"/>
      <c r="B27" s="56"/>
      <c r="C27" s="56"/>
      <c r="D27" s="73"/>
      <c r="E27" s="77"/>
      <c r="F27" s="75"/>
      <c r="G27" s="76"/>
      <c r="H27" s="60" t="s">
        <v>16</v>
      </c>
      <c r="I27" s="48">
        <f ca="1">IFERROR(__xludf.DUMMYFUNCTION("IMPORTRANGE(""https://docs.google.com/spreadsheets/d/1C3CXT74ZlgGe6_JY_1olB1XN4rF0dxEuIIF-xsYjHgg/edit?usp=sharing"",""พรบ!M20"")"),0)</f>
        <v>0</v>
      </c>
      <c r="J27" s="67">
        <v>0</v>
      </c>
      <c r="K27" s="233">
        <f t="shared" ca="1" si="6"/>
        <v>0</v>
      </c>
      <c r="L27" s="53"/>
      <c r="M27" s="53"/>
      <c r="N27" s="61"/>
    </row>
    <row r="28" spans="1:14" ht="21.75" customHeight="1" x14ac:dyDescent="0.4">
      <c r="A28" s="55"/>
      <c r="B28" s="56"/>
      <c r="C28" s="56"/>
      <c r="D28" s="73"/>
      <c r="E28" s="77"/>
      <c r="F28" s="74" t="s">
        <v>34</v>
      </c>
      <c r="G28" s="75"/>
      <c r="H28" s="60" t="s">
        <v>16</v>
      </c>
      <c r="I28" s="48">
        <f ca="1">IFERROR(__xludf.DUMMYFUNCTION("IMPORTRANGE(""https://docs.google.com/spreadsheets/d/1C3CXT74ZlgGe6_JY_1olB1XN4rF0dxEuIIF-xsYjHgg/edit?usp=sharing"",""พรบ!N20"")"),0)</f>
        <v>0</v>
      </c>
      <c r="J28" s="67">
        <v>0</v>
      </c>
      <c r="K28" s="233">
        <f t="shared" ca="1" si="6"/>
        <v>0</v>
      </c>
      <c r="L28" s="53"/>
      <c r="M28" s="53"/>
      <c r="N28" s="61"/>
    </row>
    <row r="29" spans="1:14" ht="21.75" customHeight="1" x14ac:dyDescent="0.4">
      <c r="A29" s="55"/>
      <c r="B29" s="56"/>
      <c r="C29" s="56"/>
      <c r="D29" s="73"/>
      <c r="E29" s="74" t="s">
        <v>35</v>
      </c>
      <c r="F29" s="75"/>
      <c r="G29" s="76"/>
      <c r="H29" s="66"/>
      <c r="I29" s="67"/>
      <c r="J29" s="67">
        <v>0</v>
      </c>
      <c r="K29" s="233"/>
      <c r="L29" s="53"/>
      <c r="M29" s="53"/>
      <c r="N29" s="61"/>
    </row>
    <row r="30" spans="1:14" ht="21.75" customHeight="1" x14ac:dyDescent="0.4">
      <c r="A30" s="55"/>
      <c r="B30" s="56"/>
      <c r="C30" s="56"/>
      <c r="D30" s="81">
        <v>3</v>
      </c>
      <c r="E30" s="82" t="s">
        <v>36</v>
      </c>
      <c r="F30" s="83"/>
      <c r="G30" s="84"/>
      <c r="H30" s="66"/>
      <c r="I30" s="67"/>
      <c r="J30" s="360">
        <v>0</v>
      </c>
      <c r="K30" s="233"/>
      <c r="L30" s="53"/>
      <c r="M30" s="53"/>
      <c r="N30" s="61"/>
    </row>
    <row r="31" spans="1:14" ht="21.75" customHeight="1" x14ac:dyDescent="0.4">
      <c r="A31" s="86" t="s">
        <v>37</v>
      </c>
      <c r="B31" s="87"/>
      <c r="C31" s="88"/>
      <c r="D31" s="87"/>
      <c r="E31" s="89"/>
      <c r="F31" s="89"/>
      <c r="G31" s="90"/>
      <c r="H31" s="91"/>
      <c r="I31" s="92"/>
      <c r="J31" s="92"/>
      <c r="K31" s="93"/>
      <c r="L31" s="94"/>
      <c r="M31" s="94"/>
      <c r="N31" s="95"/>
    </row>
    <row r="32" spans="1:14" ht="21.75" customHeight="1" x14ac:dyDescent="0.4">
      <c r="A32" s="34"/>
      <c r="B32" s="35" t="s">
        <v>38</v>
      </c>
      <c r="C32" s="35"/>
      <c r="D32" s="36"/>
      <c r="E32" s="35"/>
      <c r="F32" s="35"/>
      <c r="G32" s="96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41">
        <f t="shared" ref="K32:K33" ca="1" si="9">IF(I32&gt;0,J32*100/I32,0)</f>
        <v>0</v>
      </c>
      <c r="L32" s="97">
        <f ca="1">L34+L35</f>
        <v>0</v>
      </c>
      <c r="M32" s="97">
        <f>SUM(M34:M35)</f>
        <v>0</v>
      </c>
      <c r="N32" s="41">
        <f ca="1">IF(L32&gt;0,M32*100/L32,0)</f>
        <v>0</v>
      </c>
    </row>
    <row r="33" spans="1:14" ht="21.75" customHeight="1" x14ac:dyDescent="0.4">
      <c r="A33" s="34"/>
      <c r="B33" s="35"/>
      <c r="C33" s="35"/>
      <c r="D33" s="36" t="s">
        <v>39</v>
      </c>
      <c r="E33" s="35"/>
      <c r="F33" s="35"/>
      <c r="G33" s="96"/>
      <c r="H33" s="37" t="s">
        <v>40</v>
      </c>
      <c r="I33" s="38">
        <f ca="1">I48</f>
        <v>0</v>
      </c>
      <c r="J33" s="38">
        <f>+J48</f>
        <v>0</v>
      </c>
      <c r="K33" s="41">
        <f t="shared" ca="1" si="9"/>
        <v>0</v>
      </c>
      <c r="L33" s="97"/>
      <c r="M33" s="97"/>
      <c r="N33" s="41"/>
    </row>
    <row r="34" spans="1:14" ht="21.75" customHeight="1" x14ac:dyDescent="0.4">
      <c r="A34" s="42"/>
      <c r="B34" s="43"/>
      <c r="C34" s="43" t="s">
        <v>17</v>
      </c>
      <c r="D34" s="44" t="s">
        <v>18</v>
      </c>
      <c r="E34" s="45"/>
      <c r="F34" s="45"/>
      <c r="G34" s="46" t="s">
        <v>19</v>
      </c>
      <c r="H34" s="47" t="s">
        <v>20</v>
      </c>
      <c r="I34" s="48" t="s">
        <v>21</v>
      </c>
      <c r="J34" s="48"/>
      <c r="K34" s="49"/>
      <c r="L34" s="53">
        <v>0</v>
      </c>
      <c r="M34" s="50">
        <v>0</v>
      </c>
      <c r="N34" s="50">
        <f t="shared" ref="N34:N37" si="10">+IF(L34&gt;0,M34*100/L34,0)</f>
        <v>0</v>
      </c>
    </row>
    <row r="35" spans="1:14" ht="21.75" customHeight="1" x14ac:dyDescent="0.4">
      <c r="A35" s="42"/>
      <c r="B35" s="43"/>
      <c r="C35" s="43"/>
      <c r="D35" s="51"/>
      <c r="E35" s="45"/>
      <c r="F35" s="45" t="s">
        <v>21</v>
      </c>
      <c r="G35" s="46" t="s">
        <v>22</v>
      </c>
      <c r="H35" s="47" t="s">
        <v>20</v>
      </c>
      <c r="I35" s="48"/>
      <c r="J35" s="48"/>
      <c r="K35" s="49"/>
      <c r="L35" s="53">
        <f ca="1">IFERROR(__xludf.DUMMYFUNCTION("IMPORTRANGE(""https://docs.google.com/spreadsheets/d/1C3CXT74ZlgGe6_JY_1olB1XN4rF0dxEuIIF-xsYjHgg/edit?usp=sharing"",""พรบ!O20"")"),0)</f>
        <v>0</v>
      </c>
      <c r="M35" s="50">
        <f>SUM(M36:M37)</f>
        <v>0</v>
      </c>
      <c r="N35" s="50">
        <f t="shared" ca="1" si="10"/>
        <v>0</v>
      </c>
    </row>
    <row r="36" spans="1:14" ht="21.75" customHeight="1" x14ac:dyDescent="0.4">
      <c r="A36" s="42"/>
      <c r="B36" s="43"/>
      <c r="C36" s="43"/>
      <c r="D36" s="51"/>
      <c r="E36" s="45"/>
      <c r="F36" s="45"/>
      <c r="G36" s="52" t="s">
        <v>23</v>
      </c>
      <c r="H36" s="47" t="s">
        <v>20</v>
      </c>
      <c r="I36" s="48"/>
      <c r="J36" s="48"/>
      <c r="K36" s="49"/>
      <c r="L36" s="53">
        <f ca="1">IFERROR(__xludf.DUMMYFUNCTION("IMPORTRANGE(""https://docs.google.com/spreadsheets/d/1C3CXT74ZlgGe6_JY_1olB1XN4rF0dxEuIIF-xsYjHgg/edit?usp=sharing"",""พรบ!P20"")"),0)</f>
        <v>0</v>
      </c>
      <c r="M36" s="53">
        <v>0</v>
      </c>
      <c r="N36" s="53">
        <f t="shared" ca="1" si="10"/>
        <v>0</v>
      </c>
    </row>
    <row r="37" spans="1:14" ht="21.75" customHeight="1" x14ac:dyDescent="0.4">
      <c r="A37" s="42"/>
      <c r="B37" s="43"/>
      <c r="C37" s="43"/>
      <c r="D37" s="51"/>
      <c r="E37" s="45"/>
      <c r="F37" s="45"/>
      <c r="G37" s="52" t="s">
        <v>24</v>
      </c>
      <c r="H37" s="47" t="s">
        <v>20</v>
      </c>
      <c r="I37" s="48"/>
      <c r="J37" s="67"/>
      <c r="K37" s="233"/>
      <c r="L37" s="53">
        <f ca="1">IFERROR(__xludf.DUMMYFUNCTION("IMPORTRANGE(""https://docs.google.com/spreadsheets/d/1C3CXT74ZlgGe6_JY_1olB1XN4rF0dxEuIIF-xsYjHgg/edit?usp=sharing"",""พรบ!Q20"")"),0)</f>
        <v>0</v>
      </c>
      <c r="M37" s="53">
        <v>0</v>
      </c>
      <c r="N37" s="53">
        <f t="shared" ca="1" si="10"/>
        <v>0</v>
      </c>
    </row>
    <row r="38" spans="1:14" ht="21.75" customHeight="1" x14ac:dyDescent="0.4">
      <c r="A38" s="55"/>
      <c r="B38" s="56"/>
      <c r="C38" s="43" t="s">
        <v>17</v>
      </c>
      <c r="D38" s="57" t="s">
        <v>25</v>
      </c>
      <c r="E38" s="58"/>
      <c r="F38" s="58"/>
      <c r="G38" s="59"/>
      <c r="H38" s="60"/>
      <c r="I38" s="48"/>
      <c r="J38" s="67"/>
      <c r="K38" s="233"/>
      <c r="L38" s="53"/>
      <c r="M38" s="53"/>
      <c r="N38" s="61"/>
    </row>
    <row r="39" spans="1:14" ht="21.75" customHeight="1" x14ac:dyDescent="0.4">
      <c r="A39" s="55"/>
      <c r="B39" s="56"/>
      <c r="C39" s="56"/>
      <c r="D39" s="62">
        <v>1</v>
      </c>
      <c r="E39" s="63" t="s">
        <v>26</v>
      </c>
      <c r="F39" s="64"/>
      <c r="G39" s="65"/>
      <c r="H39" s="66"/>
      <c r="I39" s="67"/>
      <c r="J39" s="67">
        <v>0</v>
      </c>
      <c r="K39" s="233"/>
      <c r="L39" s="53"/>
      <c r="M39" s="53"/>
      <c r="N39" s="61"/>
    </row>
    <row r="40" spans="1:14" ht="21.75" customHeight="1" x14ac:dyDescent="0.4">
      <c r="A40" s="55"/>
      <c r="B40" s="56"/>
      <c r="C40" s="56"/>
      <c r="D40" s="69">
        <v>2</v>
      </c>
      <c r="E40" s="70" t="s">
        <v>27</v>
      </c>
      <c r="F40" s="71"/>
      <c r="G40" s="72"/>
      <c r="H40" s="66"/>
      <c r="I40" s="67"/>
      <c r="J40" s="67">
        <v>0</v>
      </c>
      <c r="K40" s="233"/>
      <c r="L40" s="53" t="s">
        <v>21</v>
      </c>
      <c r="M40" s="53" t="s">
        <v>21</v>
      </c>
      <c r="N40" s="61"/>
    </row>
    <row r="41" spans="1:14" ht="21.75" customHeight="1" x14ac:dyDescent="0.4">
      <c r="A41" s="55"/>
      <c r="B41" s="56"/>
      <c r="C41" s="56"/>
      <c r="D41" s="73"/>
      <c r="E41" s="74" t="s">
        <v>28</v>
      </c>
      <c r="F41" s="75"/>
      <c r="G41" s="76"/>
      <c r="H41" s="66"/>
      <c r="I41" s="67"/>
      <c r="J41" s="67">
        <v>0</v>
      </c>
      <c r="K41" s="233"/>
      <c r="L41" s="53"/>
      <c r="M41" s="53"/>
      <c r="N41" s="61"/>
    </row>
    <row r="42" spans="1:14" ht="21.75" customHeight="1" x14ac:dyDescent="0.4">
      <c r="A42" s="55"/>
      <c r="B42" s="56"/>
      <c r="C42" s="56"/>
      <c r="D42" s="73"/>
      <c r="E42" s="74" t="s">
        <v>29</v>
      </c>
      <c r="F42" s="75"/>
      <c r="G42" s="76"/>
      <c r="H42" s="66"/>
      <c r="I42" s="67"/>
      <c r="J42" s="67">
        <v>0</v>
      </c>
      <c r="K42" s="233"/>
      <c r="L42" s="53"/>
      <c r="M42" s="53"/>
      <c r="N42" s="61"/>
    </row>
    <row r="43" spans="1:14" ht="21.75" customHeight="1" x14ac:dyDescent="0.4">
      <c r="A43" s="55"/>
      <c r="B43" s="56"/>
      <c r="C43" s="56"/>
      <c r="D43" s="73"/>
      <c r="E43" s="75"/>
      <c r="F43" s="75" t="s">
        <v>41</v>
      </c>
      <c r="G43" s="75"/>
      <c r="H43" s="60" t="s">
        <v>42</v>
      </c>
      <c r="I43" s="48">
        <f ca="1">IFERROR(__xludf.DUMMYFUNCTION("IMPORTRANGE(""https://docs.google.com/spreadsheets/d/1C3CXT74ZlgGe6_JY_1olB1XN4rF0dxEuIIF-xsYjHgg/edit?usp=sharing"",""พรบ!R20"")"),0)</f>
        <v>0</v>
      </c>
      <c r="J43" s="67">
        <v>0</v>
      </c>
      <c r="K43" s="233">
        <f t="shared" ref="K43:K48" ca="1" si="11">IF(I43&gt;0,J43*100/I43,0)</f>
        <v>0</v>
      </c>
      <c r="L43" s="53"/>
      <c r="M43" s="53"/>
      <c r="N43" s="61"/>
    </row>
    <row r="44" spans="1:14" ht="21.75" customHeight="1" x14ac:dyDescent="0.4">
      <c r="A44" s="55"/>
      <c r="B44" s="56"/>
      <c r="C44" s="56"/>
      <c r="D44" s="73"/>
      <c r="E44" s="77"/>
      <c r="F44" s="74" t="s">
        <v>43</v>
      </c>
      <c r="G44" s="75"/>
      <c r="H44" s="60" t="s">
        <v>16</v>
      </c>
      <c r="I44" s="48">
        <f ca="1">IFERROR(__xludf.DUMMYFUNCTION("IMPORTRANGE(""https://docs.google.com/spreadsheets/d/1C3CXT74ZlgGe6_JY_1olB1XN4rF0dxEuIIF-xsYjHgg/edit?usp=sharing"",""พรบ!S20"")"),0)</f>
        <v>0</v>
      </c>
      <c r="J44" s="67">
        <v>0</v>
      </c>
      <c r="K44" s="233">
        <f t="shared" ca="1" si="11"/>
        <v>0</v>
      </c>
      <c r="L44" s="53"/>
      <c r="M44" s="53"/>
      <c r="N44" s="61"/>
    </row>
    <row r="45" spans="1:14" ht="21.75" customHeight="1" x14ac:dyDescent="0.4">
      <c r="A45" s="55"/>
      <c r="B45" s="56"/>
      <c r="C45" s="56"/>
      <c r="D45" s="73"/>
      <c r="E45" s="77"/>
      <c r="F45" s="75"/>
      <c r="G45" s="98" t="s">
        <v>44</v>
      </c>
      <c r="H45" s="60" t="s">
        <v>16</v>
      </c>
      <c r="I45" s="48">
        <f ca="1">IFERROR(__xludf.DUMMYFUNCTION("IMPORTRANGE(""https://docs.google.com/spreadsheets/d/1C3CXT74ZlgGe6_JY_1olB1XN4rF0dxEuIIF-xsYjHgg/edit?usp=sharing"",""พรบ!T20"")"),0)</f>
        <v>0</v>
      </c>
      <c r="J45" s="67">
        <v>0</v>
      </c>
      <c r="K45" s="233">
        <f t="shared" ca="1" si="11"/>
        <v>0</v>
      </c>
      <c r="L45" s="53"/>
      <c r="M45" s="53"/>
      <c r="N45" s="61"/>
    </row>
    <row r="46" spans="1:14" ht="21.75" customHeight="1" x14ac:dyDescent="0.4">
      <c r="A46" s="55"/>
      <c r="B46" s="56"/>
      <c r="C46" s="56"/>
      <c r="D46" s="73"/>
      <c r="E46" s="77"/>
      <c r="F46" s="75"/>
      <c r="G46" s="98" t="s">
        <v>45</v>
      </c>
      <c r="H46" s="60" t="s">
        <v>16</v>
      </c>
      <c r="I46" s="48">
        <f ca="1">IFERROR(__xludf.DUMMYFUNCTION("IMPORTRANGE(""https://docs.google.com/spreadsheets/d/1C3CXT74ZlgGe6_JY_1olB1XN4rF0dxEuIIF-xsYjHgg/edit?usp=sharing"",""พรบ!U20"")"),0)</f>
        <v>0</v>
      </c>
      <c r="J46" s="67">
        <v>0</v>
      </c>
      <c r="K46" s="233">
        <f t="shared" ca="1" si="11"/>
        <v>0</v>
      </c>
      <c r="L46" s="53"/>
      <c r="M46" s="53"/>
      <c r="N46" s="61"/>
    </row>
    <row r="47" spans="1:14" ht="21.75" customHeight="1" x14ac:dyDescent="0.4">
      <c r="A47" s="55"/>
      <c r="B47" s="56"/>
      <c r="C47" s="56"/>
      <c r="D47" s="73"/>
      <c r="E47" s="77"/>
      <c r="F47" s="75"/>
      <c r="G47" s="99" t="s">
        <v>46</v>
      </c>
      <c r="H47" s="60" t="s">
        <v>16</v>
      </c>
      <c r="I47" s="48">
        <f ca="1">IFERROR(__xludf.DUMMYFUNCTION("IMPORTRANGE(""https://docs.google.com/spreadsheets/d/1C3CXT74ZlgGe6_JY_1olB1XN4rF0dxEuIIF-xsYjHgg/edit?usp=sharing"",""พรบ!V20"")"),0)</f>
        <v>0</v>
      </c>
      <c r="J47" s="67">
        <v>0</v>
      </c>
      <c r="K47" s="233">
        <f t="shared" ca="1" si="11"/>
        <v>0</v>
      </c>
      <c r="L47" s="53"/>
      <c r="M47" s="53"/>
      <c r="N47" s="61"/>
    </row>
    <row r="48" spans="1:14" ht="21.75" customHeight="1" x14ac:dyDescent="0.4">
      <c r="A48" s="55"/>
      <c r="B48" s="56"/>
      <c r="C48" s="56"/>
      <c r="D48" s="73"/>
      <c r="E48" s="77"/>
      <c r="F48" s="75" t="s">
        <v>47</v>
      </c>
      <c r="G48" s="75"/>
      <c r="H48" s="60" t="s">
        <v>40</v>
      </c>
      <c r="I48" s="48">
        <f ca="1">IFERROR(__xludf.DUMMYFUNCTION("IMPORTRANGE(""https://docs.google.com/spreadsheets/d/1C3CXT74ZlgGe6_JY_1olB1XN4rF0dxEuIIF-xsYjHgg/edit?usp=sharing"",""พรบ!W20"")"),0)</f>
        <v>0</v>
      </c>
      <c r="J48" s="67">
        <v>0</v>
      </c>
      <c r="K48" s="233">
        <f t="shared" ca="1" si="11"/>
        <v>0</v>
      </c>
      <c r="L48" s="53"/>
      <c r="M48" s="53"/>
      <c r="N48" s="61"/>
    </row>
    <row r="49" spans="1:14" ht="21.75" customHeight="1" x14ac:dyDescent="0.4">
      <c r="A49" s="55"/>
      <c r="B49" s="56"/>
      <c r="C49" s="56"/>
      <c r="D49" s="73"/>
      <c r="E49" s="74" t="s">
        <v>35</v>
      </c>
      <c r="F49" s="75"/>
      <c r="G49" s="76"/>
      <c r="H49" s="66"/>
      <c r="I49" s="67"/>
      <c r="J49" s="67">
        <v>0</v>
      </c>
      <c r="K49" s="233"/>
      <c r="L49" s="53"/>
      <c r="M49" s="53"/>
      <c r="N49" s="61"/>
    </row>
    <row r="50" spans="1:14" ht="21.75" customHeight="1" x14ac:dyDescent="0.4">
      <c r="A50" s="55"/>
      <c r="B50" s="56"/>
      <c r="C50" s="56"/>
      <c r="D50" s="81">
        <v>3</v>
      </c>
      <c r="E50" s="82" t="s">
        <v>36</v>
      </c>
      <c r="F50" s="83"/>
      <c r="G50" s="84"/>
      <c r="H50" s="66"/>
      <c r="I50" s="67"/>
      <c r="J50" s="360">
        <v>0</v>
      </c>
      <c r="K50" s="233"/>
      <c r="L50" s="53"/>
      <c r="M50" s="53"/>
      <c r="N50" s="61"/>
    </row>
    <row r="51" spans="1:14" ht="21.75" customHeight="1" x14ac:dyDescent="0.4">
      <c r="A51" s="86" t="s">
        <v>48</v>
      </c>
      <c r="B51" s="100"/>
      <c r="C51" s="101"/>
      <c r="D51" s="100"/>
      <c r="E51" s="102"/>
      <c r="F51" s="102"/>
      <c r="G51" s="103"/>
      <c r="H51" s="91"/>
      <c r="I51" s="92"/>
      <c r="J51" s="92"/>
      <c r="K51" s="93"/>
      <c r="L51" s="94"/>
      <c r="M51" s="94"/>
      <c r="N51" s="95"/>
    </row>
    <row r="52" spans="1:14" ht="21.75" customHeight="1" x14ac:dyDescent="0.4">
      <c r="A52" s="34"/>
      <c r="B52" s="35" t="s">
        <v>49</v>
      </c>
      <c r="C52" s="104"/>
      <c r="D52" s="36"/>
      <c r="E52" s="35"/>
      <c r="F52" s="35"/>
      <c r="G52" s="96"/>
      <c r="H52" s="37" t="s">
        <v>16</v>
      </c>
      <c r="I52" s="38">
        <f ca="1">I62</f>
        <v>20</v>
      </c>
      <c r="J52" s="38">
        <f>+J62</f>
        <v>0</v>
      </c>
      <c r="K52" s="41">
        <f ca="1">IF(I52&gt;0,J52*100/I52,0)</f>
        <v>0</v>
      </c>
      <c r="L52" s="40">
        <f ca="1">L53+L54</f>
        <v>82440</v>
      </c>
      <c r="M52" s="40">
        <f>SUM(M53:M54)</f>
        <v>0</v>
      </c>
      <c r="N52" s="41">
        <f ca="1">IF(L52&gt;0,M52*100/L52,0)</f>
        <v>0</v>
      </c>
    </row>
    <row r="53" spans="1:14" ht="21.75" customHeight="1" x14ac:dyDescent="0.4">
      <c r="A53" s="42"/>
      <c r="B53" s="43"/>
      <c r="C53" s="43" t="s">
        <v>17</v>
      </c>
      <c r="D53" s="44" t="s">
        <v>18</v>
      </c>
      <c r="E53" s="45"/>
      <c r="F53" s="45"/>
      <c r="G53" s="46" t="s">
        <v>19</v>
      </c>
      <c r="H53" s="47" t="s">
        <v>20</v>
      </c>
      <c r="I53" s="48" t="s">
        <v>21</v>
      </c>
      <c r="J53" s="48"/>
      <c r="K53" s="49"/>
      <c r="L53" s="50">
        <v>0</v>
      </c>
      <c r="M53" s="50">
        <v>0</v>
      </c>
      <c r="N53" s="50">
        <f t="shared" ref="N53:N56" si="12">+IF(L53&gt;0,M53*100/L53,0)</f>
        <v>0</v>
      </c>
    </row>
    <row r="54" spans="1:14" ht="21.75" customHeight="1" x14ac:dyDescent="0.4">
      <c r="A54" s="42"/>
      <c r="B54" s="43"/>
      <c r="C54" s="43"/>
      <c r="D54" s="51"/>
      <c r="E54" s="45"/>
      <c r="F54" s="45" t="s">
        <v>21</v>
      </c>
      <c r="G54" s="46" t="s">
        <v>22</v>
      </c>
      <c r="H54" s="47" t="s">
        <v>20</v>
      </c>
      <c r="I54" s="48"/>
      <c r="J54" s="48"/>
      <c r="K54" s="49"/>
      <c r="L54" s="50">
        <f t="shared" ref="L54:M54" ca="1" si="13">SUM(L55:L56)</f>
        <v>82440</v>
      </c>
      <c r="M54" s="50">
        <f t="shared" si="13"/>
        <v>0</v>
      </c>
      <c r="N54" s="50">
        <f t="shared" ca="1" si="12"/>
        <v>0</v>
      </c>
    </row>
    <row r="55" spans="1:14" ht="21.75" customHeight="1" x14ac:dyDescent="0.4">
      <c r="A55" s="42"/>
      <c r="B55" s="43"/>
      <c r="C55" s="43"/>
      <c r="D55" s="51"/>
      <c r="E55" s="45"/>
      <c r="F55" s="45"/>
      <c r="G55" s="52" t="s">
        <v>23</v>
      </c>
      <c r="H55" s="47" t="s">
        <v>20</v>
      </c>
      <c r="I55" s="48"/>
      <c r="J55" s="48"/>
      <c r="K55" s="49"/>
      <c r="L55" s="53">
        <f ca="1">IFERROR(__xludf.DUMMYFUNCTION("IMPORTRANGE(""https://docs.google.com/spreadsheets/d/1C3CXT74ZlgGe6_JY_1olB1XN4rF0dxEuIIF-xsYjHgg/edit?usp=sharing"",""พรบ!Y20"")"),0)</f>
        <v>0</v>
      </c>
      <c r="M55" s="53">
        <v>0</v>
      </c>
      <c r="N55" s="53">
        <f t="shared" ca="1" si="12"/>
        <v>0</v>
      </c>
    </row>
    <row r="56" spans="1:14" ht="21.75" customHeight="1" x14ac:dyDescent="0.4">
      <c r="A56" s="42"/>
      <c r="B56" s="43"/>
      <c r="C56" s="43"/>
      <c r="D56" s="51"/>
      <c r="E56" s="45"/>
      <c r="F56" s="45"/>
      <c r="G56" s="52" t="s">
        <v>24</v>
      </c>
      <c r="H56" s="47" t="s">
        <v>20</v>
      </c>
      <c r="I56" s="48"/>
      <c r="J56" s="48"/>
      <c r="K56" s="49"/>
      <c r="L56" s="53">
        <f ca="1">IFERROR(__xludf.DUMMYFUNCTION("IMPORTRANGE(""https://docs.google.com/spreadsheets/d/1C3CXT74ZlgGe6_JY_1olB1XN4rF0dxEuIIF-xsYjHgg/edit?usp=sharing"",""พรบ!Z20"")"),82440)</f>
        <v>82440</v>
      </c>
      <c r="M56" s="54">
        <v>0</v>
      </c>
      <c r="N56" s="53">
        <f t="shared" ca="1" si="12"/>
        <v>0</v>
      </c>
    </row>
    <row r="57" spans="1:14" ht="21.75" customHeight="1" x14ac:dyDescent="0.4">
      <c r="A57" s="55"/>
      <c r="B57" s="56"/>
      <c r="C57" s="43" t="s">
        <v>17</v>
      </c>
      <c r="D57" s="57" t="s">
        <v>250</v>
      </c>
      <c r="E57" s="58"/>
      <c r="F57" s="58"/>
      <c r="G57" s="59"/>
      <c r="H57" s="60"/>
      <c r="I57" s="48"/>
      <c r="J57" s="48"/>
      <c r="K57" s="49"/>
      <c r="L57" s="61"/>
      <c r="M57" s="61"/>
      <c r="N57" s="61"/>
    </row>
    <row r="58" spans="1:14" ht="21.75" customHeight="1" x14ac:dyDescent="0.4">
      <c r="A58" s="55"/>
      <c r="B58" s="56"/>
      <c r="C58" s="56"/>
      <c r="D58" s="62">
        <v>1</v>
      </c>
      <c r="E58" s="63" t="s">
        <v>26</v>
      </c>
      <c r="F58" s="64"/>
      <c r="G58" s="65"/>
      <c r="H58" s="66"/>
      <c r="I58" s="67"/>
      <c r="J58" s="68">
        <v>0</v>
      </c>
      <c r="K58" s="49"/>
      <c r="L58" s="61"/>
      <c r="M58" s="61"/>
      <c r="N58" s="61"/>
    </row>
    <row r="59" spans="1:14" ht="21.75" customHeight="1" x14ac:dyDescent="0.4">
      <c r="A59" s="55"/>
      <c r="B59" s="56"/>
      <c r="C59" s="56"/>
      <c r="D59" s="69">
        <v>2</v>
      </c>
      <c r="E59" s="70" t="s">
        <v>27</v>
      </c>
      <c r="F59" s="71"/>
      <c r="G59" s="72"/>
      <c r="H59" s="66"/>
      <c r="I59" s="67"/>
      <c r="J59" s="68">
        <v>1</v>
      </c>
      <c r="K59" s="49"/>
      <c r="L59" s="61" t="s">
        <v>21</v>
      </c>
      <c r="M59" s="61" t="s">
        <v>21</v>
      </c>
      <c r="N59" s="61"/>
    </row>
    <row r="60" spans="1:14" ht="21.75" customHeight="1" x14ac:dyDescent="0.4">
      <c r="A60" s="55"/>
      <c r="B60" s="56"/>
      <c r="C60" s="56"/>
      <c r="D60" s="73"/>
      <c r="E60" s="74" t="s">
        <v>28</v>
      </c>
      <c r="F60" s="75"/>
      <c r="G60" s="76"/>
      <c r="H60" s="66"/>
      <c r="I60" s="67"/>
      <c r="J60" s="68">
        <v>1</v>
      </c>
      <c r="K60" s="49"/>
      <c r="L60" s="61"/>
      <c r="M60" s="61"/>
      <c r="N60" s="61"/>
    </row>
    <row r="61" spans="1:14" ht="21.75" customHeight="1" x14ac:dyDescent="0.4">
      <c r="A61" s="55"/>
      <c r="B61" s="56"/>
      <c r="C61" s="56"/>
      <c r="D61" s="73"/>
      <c r="E61" s="74" t="s">
        <v>29</v>
      </c>
      <c r="F61" s="75"/>
      <c r="G61" s="76"/>
      <c r="H61" s="66"/>
      <c r="I61" s="67"/>
      <c r="J61" s="68">
        <v>0</v>
      </c>
      <c r="K61" s="49"/>
      <c r="L61" s="61"/>
      <c r="M61" s="61"/>
      <c r="N61" s="61"/>
    </row>
    <row r="62" spans="1:14" ht="21.75" customHeight="1" x14ac:dyDescent="0.4">
      <c r="A62" s="55"/>
      <c r="B62" s="56"/>
      <c r="C62" s="56"/>
      <c r="D62" s="73"/>
      <c r="E62" s="77"/>
      <c r="F62" s="74" t="s">
        <v>50</v>
      </c>
      <c r="G62" s="76"/>
      <c r="H62" s="60" t="s">
        <v>16</v>
      </c>
      <c r="I62" s="67">
        <f ca="1">IFERROR(__xludf.DUMMYFUNCTION("IMPORTRANGE(""https://docs.google.com/spreadsheets/d/1C3CXT74ZlgGe6_JY_1olB1XN4rF0dxEuIIF-xsYjHgg/edit?usp=sharing"",""พรบ!AA20"")"),20)</f>
        <v>20</v>
      </c>
      <c r="J62" s="68">
        <v>0</v>
      </c>
      <c r="K62" s="49">
        <f t="shared" ref="K62:K63" ca="1" si="14">IF(I62&gt;0,J62*100/I62,0)</f>
        <v>0</v>
      </c>
      <c r="L62" s="61"/>
      <c r="M62" s="61"/>
      <c r="N62" s="61"/>
    </row>
    <row r="63" spans="1:14" ht="21.75" customHeight="1" x14ac:dyDescent="0.4">
      <c r="A63" s="55"/>
      <c r="B63" s="56"/>
      <c r="C63" s="56"/>
      <c r="D63" s="73"/>
      <c r="E63" s="77"/>
      <c r="F63" s="74" t="s">
        <v>51</v>
      </c>
      <c r="G63" s="76"/>
      <c r="H63" s="60" t="s">
        <v>16</v>
      </c>
      <c r="I63" s="67">
        <f ca="1">I62</f>
        <v>20</v>
      </c>
      <c r="J63" s="68">
        <v>0</v>
      </c>
      <c r="K63" s="49">
        <f t="shared" ca="1" si="14"/>
        <v>0</v>
      </c>
      <c r="L63" s="61"/>
      <c r="M63" s="61"/>
      <c r="N63" s="61"/>
    </row>
    <row r="64" spans="1:14" ht="21.75" customHeight="1" x14ac:dyDescent="0.4">
      <c r="A64" s="55"/>
      <c r="B64" s="56"/>
      <c r="C64" s="56"/>
      <c r="D64" s="73"/>
      <c r="E64" s="74" t="s">
        <v>35</v>
      </c>
      <c r="F64" s="75"/>
      <c r="G64" s="76"/>
      <c r="H64" s="66"/>
      <c r="I64" s="67"/>
      <c r="J64" s="68">
        <v>0</v>
      </c>
      <c r="K64" s="49"/>
      <c r="L64" s="61"/>
      <c r="M64" s="61"/>
      <c r="N64" s="61"/>
    </row>
    <row r="65" spans="1:14" ht="21.75" customHeight="1" x14ac:dyDescent="0.4">
      <c r="A65" s="105"/>
      <c r="B65" s="106"/>
      <c r="C65" s="106"/>
      <c r="D65" s="107">
        <v>3</v>
      </c>
      <c r="E65" s="108" t="s">
        <v>36</v>
      </c>
      <c r="F65" s="109"/>
      <c r="G65" s="110"/>
      <c r="H65" s="111"/>
      <c r="I65" s="112"/>
      <c r="J65" s="113">
        <v>0</v>
      </c>
      <c r="K65" s="114"/>
      <c r="L65" s="115"/>
      <c r="M65" s="115"/>
      <c r="N65" s="115"/>
    </row>
    <row r="66" spans="1:14" ht="21.75" customHeight="1" x14ac:dyDescent="0.4">
      <c r="A66" s="116" t="s">
        <v>52</v>
      </c>
      <c r="B66" s="117"/>
      <c r="C66" s="117"/>
      <c r="D66" s="117"/>
      <c r="E66" s="118"/>
      <c r="F66" s="118"/>
      <c r="G66" s="119"/>
      <c r="H66" s="120"/>
      <c r="I66" s="121"/>
      <c r="J66" s="121"/>
      <c r="K66" s="122"/>
      <c r="L66" s="123"/>
      <c r="M66" s="123"/>
      <c r="N66" s="123"/>
    </row>
    <row r="67" spans="1:14" ht="21.75" customHeight="1" x14ac:dyDescent="0.4">
      <c r="A67" s="124" t="s">
        <v>53</v>
      </c>
      <c r="B67" s="125"/>
      <c r="C67" s="125"/>
      <c r="D67" s="126"/>
      <c r="E67" s="126"/>
      <c r="F67" s="126"/>
      <c r="G67" s="127"/>
      <c r="H67" s="128"/>
      <c r="I67" s="129"/>
      <c r="J67" s="129"/>
      <c r="K67" s="130"/>
      <c r="L67" s="130"/>
      <c r="M67" s="130"/>
      <c r="N67" s="131"/>
    </row>
    <row r="68" spans="1:14" ht="21.75" customHeight="1" x14ac:dyDescent="0.4">
      <c r="A68" s="132"/>
      <c r="B68" s="133" t="s">
        <v>54</v>
      </c>
      <c r="C68" s="134"/>
      <c r="D68" s="133"/>
      <c r="E68" s="133"/>
      <c r="F68" s="133"/>
      <c r="G68" s="135"/>
      <c r="H68" s="136" t="s">
        <v>16</v>
      </c>
      <c r="I68" s="137">
        <f t="shared" ref="I68:J68" ca="1" si="15">I126+I129</f>
        <v>0</v>
      </c>
      <c r="J68" s="137">
        <f t="shared" si="15"/>
        <v>0</v>
      </c>
      <c r="K68" s="138">
        <f ca="1">IF(I68&gt;0,J68*100/I68,0)</f>
        <v>0</v>
      </c>
      <c r="L68" s="139">
        <f t="shared" ref="L68:M68" ca="1" si="16">SUM(L70:L71)</f>
        <v>69000</v>
      </c>
      <c r="M68" s="139">
        <f t="shared" si="16"/>
        <v>0</v>
      </c>
      <c r="N68" s="138">
        <f ca="1">IF(L68&gt;0,M68*100/L68,0)</f>
        <v>0</v>
      </c>
    </row>
    <row r="69" spans="1:14" ht="21.75" customHeight="1" x14ac:dyDescent="0.4">
      <c r="A69" s="132"/>
      <c r="B69" s="133" t="s">
        <v>55</v>
      </c>
      <c r="C69" s="134"/>
      <c r="D69" s="133"/>
      <c r="E69" s="133"/>
      <c r="F69" s="133"/>
      <c r="G69" s="135"/>
      <c r="H69" s="136"/>
      <c r="I69" s="137"/>
      <c r="J69" s="137"/>
      <c r="K69" s="138"/>
      <c r="L69" s="139"/>
      <c r="M69" s="139"/>
      <c r="N69" s="138"/>
    </row>
    <row r="70" spans="1:14" ht="21.75" customHeight="1" x14ac:dyDescent="0.4">
      <c r="A70" s="42"/>
      <c r="B70" s="43"/>
      <c r="C70" s="43" t="s">
        <v>17</v>
      </c>
      <c r="D70" s="44" t="s">
        <v>18</v>
      </c>
      <c r="E70" s="45"/>
      <c r="F70" s="45"/>
      <c r="G70" s="46" t="s">
        <v>19</v>
      </c>
      <c r="H70" s="47" t="s">
        <v>20</v>
      </c>
      <c r="I70" s="48" t="s">
        <v>21</v>
      </c>
      <c r="J70" s="48"/>
      <c r="K70" s="49"/>
      <c r="L70" s="50">
        <v>0</v>
      </c>
      <c r="M70" s="50">
        <v>0</v>
      </c>
      <c r="N70" s="50">
        <f t="shared" ref="N70:N77" si="17">+IF(L70&gt;0,M70*100/L70,0)</f>
        <v>0</v>
      </c>
    </row>
    <row r="71" spans="1:14" ht="21.75" customHeight="1" x14ac:dyDescent="0.4">
      <c r="A71" s="42"/>
      <c r="B71" s="43"/>
      <c r="C71" s="43"/>
      <c r="D71" s="51"/>
      <c r="E71" s="45"/>
      <c r="F71" s="45" t="s">
        <v>21</v>
      </c>
      <c r="G71" s="46" t="s">
        <v>22</v>
      </c>
      <c r="H71" s="47" t="s">
        <v>20</v>
      </c>
      <c r="I71" s="48"/>
      <c r="J71" s="48"/>
      <c r="K71" s="49"/>
      <c r="L71" s="50">
        <f ca="1">L72+L73</f>
        <v>69000</v>
      </c>
      <c r="M71" s="140">
        <f>SUM(M72:M73)</f>
        <v>0</v>
      </c>
      <c r="N71" s="50">
        <f t="shared" ca="1" si="17"/>
        <v>0</v>
      </c>
    </row>
    <row r="72" spans="1:14" ht="21.75" customHeight="1" x14ac:dyDescent="0.4">
      <c r="A72" s="42"/>
      <c r="B72" s="43"/>
      <c r="C72" s="43"/>
      <c r="D72" s="51"/>
      <c r="E72" s="45"/>
      <c r="F72" s="45"/>
      <c r="G72" s="52" t="s">
        <v>23</v>
      </c>
      <c r="H72" s="47" t="s">
        <v>20</v>
      </c>
      <c r="I72" s="48"/>
      <c r="J72" s="48"/>
      <c r="K72" s="49"/>
      <c r="L72" s="53">
        <f ca="1">IFERROR(__xludf.DUMMYFUNCTION("IMPORTRANGE(""https://docs.google.com/spreadsheets/d/1C3CXT74ZlgGe6_JY_1olB1XN4rF0dxEuIIF-xsYjHgg/edit?usp=sharing"",""พรบ!AD20"")"),0)</f>
        <v>0</v>
      </c>
      <c r="M72" s="53">
        <v>0</v>
      </c>
      <c r="N72" s="53">
        <f t="shared" ca="1" si="17"/>
        <v>0</v>
      </c>
    </row>
    <row r="73" spans="1:14" ht="21.75" customHeight="1" x14ac:dyDescent="0.4">
      <c r="A73" s="42"/>
      <c r="B73" s="43"/>
      <c r="C73" s="43"/>
      <c r="D73" s="51"/>
      <c r="E73" s="45"/>
      <c r="F73" s="45"/>
      <c r="G73" s="52" t="s">
        <v>24</v>
      </c>
      <c r="H73" s="47" t="s">
        <v>20</v>
      </c>
      <c r="I73" s="48"/>
      <c r="J73" s="48"/>
      <c r="K73" s="49"/>
      <c r="L73" s="53">
        <f t="shared" ref="L73:M73" ca="1" si="18">L77+L92+L104+L117+L132</f>
        <v>69000</v>
      </c>
      <c r="M73" s="53">
        <f t="shared" si="18"/>
        <v>0</v>
      </c>
      <c r="N73" s="53">
        <f t="shared" ca="1" si="17"/>
        <v>0</v>
      </c>
    </row>
    <row r="74" spans="1:14" ht="21.75" customHeight="1" x14ac:dyDescent="0.4">
      <c r="A74" s="141"/>
      <c r="B74" s="142"/>
      <c r="C74" s="143" t="s">
        <v>56</v>
      </c>
      <c r="D74" s="143"/>
      <c r="E74" s="143"/>
      <c r="F74" s="143"/>
      <c r="G74" s="144"/>
      <c r="H74" s="145" t="s">
        <v>57</v>
      </c>
      <c r="I74" s="146">
        <f t="shared" ref="I74:J74" ca="1" si="19">I83</f>
        <v>4</v>
      </c>
      <c r="J74" s="146">
        <f t="shared" si="19"/>
        <v>0</v>
      </c>
      <c r="K74" s="147">
        <f ca="1">IF(I74&gt;0,J74*100/I74,0)</f>
        <v>0</v>
      </c>
      <c r="L74" s="148">
        <f ca="1">L75+L76</f>
        <v>7500</v>
      </c>
      <c r="M74" s="148">
        <f>SUM(M75:M76)</f>
        <v>0</v>
      </c>
      <c r="N74" s="148">
        <f t="shared" ca="1" si="17"/>
        <v>0</v>
      </c>
    </row>
    <row r="75" spans="1:14" ht="21.75" customHeight="1" x14ac:dyDescent="0.4">
      <c r="A75" s="42"/>
      <c r="B75" s="43"/>
      <c r="C75" s="43" t="s">
        <v>17</v>
      </c>
      <c r="D75" s="44" t="s">
        <v>18</v>
      </c>
      <c r="E75" s="45"/>
      <c r="F75" s="45"/>
      <c r="G75" s="46" t="s">
        <v>19</v>
      </c>
      <c r="H75" s="47" t="s">
        <v>20</v>
      </c>
      <c r="I75" s="48" t="s">
        <v>21</v>
      </c>
      <c r="J75" s="48"/>
      <c r="K75" s="49"/>
      <c r="L75" s="50">
        <v>0</v>
      </c>
      <c r="M75" s="50">
        <v>0</v>
      </c>
      <c r="N75" s="50">
        <f t="shared" si="17"/>
        <v>0</v>
      </c>
    </row>
    <row r="76" spans="1:14" ht="21.75" customHeight="1" x14ac:dyDescent="0.4">
      <c r="A76" s="42"/>
      <c r="B76" s="43"/>
      <c r="C76" s="43"/>
      <c r="D76" s="51"/>
      <c r="E76" s="45"/>
      <c r="F76" s="45" t="s">
        <v>21</v>
      </c>
      <c r="G76" s="46" t="s">
        <v>22</v>
      </c>
      <c r="H76" s="47" t="s">
        <v>20</v>
      </c>
      <c r="I76" s="48"/>
      <c r="J76" s="48"/>
      <c r="K76" s="49"/>
      <c r="L76" s="50">
        <f t="shared" ref="L76:M76" ca="1" si="20">L77</f>
        <v>7500</v>
      </c>
      <c r="M76" s="50">
        <f t="shared" si="20"/>
        <v>0</v>
      </c>
      <c r="N76" s="50">
        <f t="shared" ca="1" si="17"/>
        <v>0</v>
      </c>
    </row>
    <row r="77" spans="1:14" ht="21.75" customHeight="1" x14ac:dyDescent="0.4">
      <c r="A77" s="42"/>
      <c r="B77" s="43"/>
      <c r="C77" s="43"/>
      <c r="D77" s="51"/>
      <c r="E77" s="45"/>
      <c r="F77" s="45"/>
      <c r="G77" s="52" t="s">
        <v>24</v>
      </c>
      <c r="H77" s="47" t="s">
        <v>20</v>
      </c>
      <c r="I77" s="48"/>
      <c r="J77" s="48"/>
      <c r="K77" s="49"/>
      <c r="L77" s="53">
        <f ca="1">IFERROR(__xludf.DUMMYFUNCTION("IMPORTRANGE(""https://docs.google.com/spreadsheets/d/1C3CXT74ZlgGe6_JY_1olB1XN4rF0dxEuIIF-xsYjHgg/edit?usp=sharing"",""พรบ!AF20"")"),7500)</f>
        <v>7500</v>
      </c>
      <c r="M77" s="54">
        <v>0</v>
      </c>
      <c r="N77" s="53">
        <f t="shared" ca="1" si="17"/>
        <v>0</v>
      </c>
    </row>
    <row r="78" spans="1:14" ht="21.75" customHeight="1" x14ac:dyDescent="0.4">
      <c r="A78" s="55"/>
      <c r="B78" s="56"/>
      <c r="C78" s="43" t="s">
        <v>17</v>
      </c>
      <c r="D78" s="57" t="s">
        <v>25</v>
      </c>
      <c r="E78" s="58"/>
      <c r="F78" s="58"/>
      <c r="G78" s="59"/>
      <c r="H78" s="60"/>
      <c r="I78" s="48"/>
      <c r="J78" s="48"/>
      <c r="K78" s="49"/>
      <c r="L78" s="61"/>
      <c r="M78" s="61"/>
      <c r="N78" s="61"/>
    </row>
    <row r="79" spans="1:14" ht="21.75" customHeight="1" x14ac:dyDescent="0.4">
      <c r="A79" s="55"/>
      <c r="B79" s="56"/>
      <c r="C79" s="56"/>
      <c r="D79" s="62">
        <v>1</v>
      </c>
      <c r="E79" s="63" t="s">
        <v>26</v>
      </c>
      <c r="F79" s="64"/>
      <c r="G79" s="65"/>
      <c r="H79" s="66"/>
      <c r="I79" s="67"/>
      <c r="J79" s="68">
        <v>0</v>
      </c>
      <c r="K79" s="49"/>
      <c r="L79" s="61"/>
      <c r="M79" s="61"/>
      <c r="N79" s="61"/>
    </row>
    <row r="80" spans="1:14" ht="21.75" customHeight="1" x14ac:dyDescent="0.4">
      <c r="A80" s="55"/>
      <c r="B80" s="56"/>
      <c r="C80" s="56"/>
      <c r="D80" s="69">
        <v>2</v>
      </c>
      <c r="E80" s="70" t="s">
        <v>27</v>
      </c>
      <c r="F80" s="71"/>
      <c r="G80" s="72"/>
      <c r="H80" s="66"/>
      <c r="I80" s="67"/>
      <c r="J80" s="68">
        <v>0</v>
      </c>
      <c r="K80" s="49"/>
      <c r="L80" s="61" t="s">
        <v>21</v>
      </c>
      <c r="M80" s="61" t="s">
        <v>21</v>
      </c>
      <c r="N80" s="61"/>
    </row>
    <row r="81" spans="1:14" ht="21.75" customHeight="1" x14ac:dyDescent="0.4">
      <c r="A81" s="55"/>
      <c r="B81" s="56"/>
      <c r="C81" s="56"/>
      <c r="D81" s="73"/>
      <c r="E81" s="74" t="s">
        <v>28</v>
      </c>
      <c r="F81" s="75"/>
      <c r="G81" s="76"/>
      <c r="H81" s="66"/>
      <c r="I81" s="67"/>
      <c r="J81" s="68">
        <v>0</v>
      </c>
      <c r="K81" s="49"/>
      <c r="L81" s="61"/>
      <c r="M81" s="61"/>
      <c r="N81" s="61"/>
    </row>
    <row r="82" spans="1:14" ht="21.75" customHeight="1" x14ac:dyDescent="0.4">
      <c r="A82" s="55"/>
      <c r="B82" s="56"/>
      <c r="C82" s="56"/>
      <c r="D82" s="73"/>
      <c r="E82" s="74" t="s">
        <v>29</v>
      </c>
      <c r="F82" s="75"/>
      <c r="G82" s="76"/>
      <c r="H82" s="66"/>
      <c r="I82" s="67"/>
      <c r="J82" s="68">
        <v>0</v>
      </c>
      <c r="K82" s="49"/>
      <c r="L82" s="61"/>
      <c r="M82" s="61"/>
      <c r="N82" s="61"/>
    </row>
    <row r="83" spans="1:14" ht="21.75" customHeight="1" x14ac:dyDescent="0.4">
      <c r="A83" s="55"/>
      <c r="B83" s="56"/>
      <c r="C83" s="56"/>
      <c r="D83" s="73"/>
      <c r="E83" s="77"/>
      <c r="F83" s="74" t="s">
        <v>58</v>
      </c>
      <c r="G83" s="76"/>
      <c r="H83" s="60" t="s">
        <v>57</v>
      </c>
      <c r="I83" s="67">
        <f ca="1">IFERROR(__xludf.DUMMYFUNCTION("IMPORTRANGE(""https://docs.google.com/spreadsheets/d/1C3CXT74ZlgGe6_JY_1olB1XN4rF0dxEuIIF-xsYjHgg/edit?usp=sharing"",""พรบ!AG20"")"),4)</f>
        <v>4</v>
      </c>
      <c r="J83" s="68">
        <v>0</v>
      </c>
      <c r="K83" s="49">
        <f ca="1">IF(I83&gt;0,J83*100/I83,0)</f>
        <v>0</v>
      </c>
      <c r="L83" s="61"/>
      <c r="M83" s="61"/>
      <c r="N83" s="61"/>
    </row>
    <row r="84" spans="1:14" ht="21.75" customHeight="1" x14ac:dyDescent="0.4">
      <c r="A84" s="55"/>
      <c r="B84" s="56"/>
      <c r="C84" s="56"/>
      <c r="D84" s="73"/>
      <c r="E84" s="75"/>
      <c r="F84" s="75" t="s">
        <v>59</v>
      </c>
      <c r="G84" s="76"/>
      <c r="H84" s="66" t="s">
        <v>16</v>
      </c>
      <c r="I84" s="67"/>
      <c r="J84" s="67">
        <f>J85+J86</f>
        <v>0</v>
      </c>
      <c r="K84" s="49"/>
      <c r="L84" s="61"/>
      <c r="M84" s="61"/>
      <c r="N84" s="61"/>
    </row>
    <row r="85" spans="1:14" ht="21.75" customHeight="1" x14ac:dyDescent="0.4">
      <c r="A85" s="55"/>
      <c r="B85" s="56"/>
      <c r="C85" s="56"/>
      <c r="D85" s="73"/>
      <c r="E85" s="75"/>
      <c r="F85" s="75"/>
      <c r="G85" s="76" t="s">
        <v>60</v>
      </c>
      <c r="H85" s="66" t="s">
        <v>16</v>
      </c>
      <c r="I85" s="67"/>
      <c r="J85" s="68">
        <v>0</v>
      </c>
      <c r="K85" s="49"/>
      <c r="L85" s="61"/>
      <c r="M85" s="61"/>
      <c r="N85" s="61"/>
    </row>
    <row r="86" spans="1:14" ht="21.75" customHeight="1" x14ac:dyDescent="0.4">
      <c r="A86" s="55"/>
      <c r="B86" s="56"/>
      <c r="C86" s="56"/>
      <c r="D86" s="73"/>
      <c r="E86" s="75"/>
      <c r="F86" s="75"/>
      <c r="G86" s="76" t="s">
        <v>61</v>
      </c>
      <c r="H86" s="66" t="s">
        <v>16</v>
      </c>
      <c r="I86" s="67"/>
      <c r="J86" s="68">
        <v>0</v>
      </c>
      <c r="K86" s="49"/>
      <c r="L86" s="61"/>
      <c r="M86" s="61"/>
      <c r="N86" s="61"/>
    </row>
    <row r="87" spans="1:14" ht="21.75" customHeight="1" x14ac:dyDescent="0.4">
      <c r="A87" s="55"/>
      <c r="B87" s="56"/>
      <c r="C87" s="56"/>
      <c r="D87" s="73"/>
      <c r="E87" s="74" t="s">
        <v>35</v>
      </c>
      <c r="F87" s="75"/>
      <c r="G87" s="76"/>
      <c r="H87" s="66"/>
      <c r="I87" s="67"/>
      <c r="J87" s="68">
        <v>0</v>
      </c>
      <c r="K87" s="49"/>
      <c r="L87" s="61"/>
      <c r="M87" s="61"/>
      <c r="N87" s="61"/>
    </row>
    <row r="88" spans="1:14" ht="21.75" customHeight="1" x14ac:dyDescent="0.4">
      <c r="A88" s="55"/>
      <c r="B88" s="56"/>
      <c r="C88" s="56"/>
      <c r="D88" s="81">
        <v>3</v>
      </c>
      <c r="E88" s="82" t="s">
        <v>36</v>
      </c>
      <c r="F88" s="83"/>
      <c r="G88" s="84"/>
      <c r="H88" s="66"/>
      <c r="I88" s="67"/>
      <c r="J88" s="85">
        <v>0</v>
      </c>
      <c r="K88" s="49"/>
      <c r="L88" s="61"/>
      <c r="M88" s="61"/>
      <c r="N88" s="61"/>
    </row>
    <row r="89" spans="1:14" ht="21.75" customHeight="1" x14ac:dyDescent="0.4">
      <c r="A89" s="141"/>
      <c r="B89" s="142"/>
      <c r="C89" s="143" t="s">
        <v>62</v>
      </c>
      <c r="D89" s="143"/>
      <c r="E89" s="143"/>
      <c r="F89" s="143"/>
      <c r="G89" s="144"/>
      <c r="H89" s="149" t="s">
        <v>63</v>
      </c>
      <c r="I89" s="150">
        <f t="shared" ref="I89:J89" ca="1" si="21">I98</f>
        <v>3</v>
      </c>
      <c r="J89" s="150">
        <f t="shared" si="21"/>
        <v>0</v>
      </c>
      <c r="K89" s="151">
        <f ca="1">IF(I89&gt;0,J89*100/I89,0)</f>
        <v>0</v>
      </c>
      <c r="L89" s="148">
        <f ca="1">L90+L91</f>
        <v>42000</v>
      </c>
      <c r="M89" s="148">
        <f>SUM(M90:M91)</f>
        <v>0</v>
      </c>
      <c r="N89" s="148">
        <f t="shared" ref="N89:N92" ca="1" si="22">+IF(L89&gt;0,M89*100/L89,0)</f>
        <v>0</v>
      </c>
    </row>
    <row r="90" spans="1:14" ht="21.75" customHeight="1" x14ac:dyDescent="0.4">
      <c r="A90" s="42"/>
      <c r="B90" s="43"/>
      <c r="C90" s="43" t="s">
        <v>17</v>
      </c>
      <c r="D90" s="44" t="s">
        <v>18</v>
      </c>
      <c r="E90" s="45"/>
      <c r="F90" s="45"/>
      <c r="G90" s="46" t="s">
        <v>19</v>
      </c>
      <c r="H90" s="47" t="s">
        <v>20</v>
      </c>
      <c r="I90" s="48" t="s">
        <v>21</v>
      </c>
      <c r="J90" s="48"/>
      <c r="K90" s="49"/>
      <c r="L90" s="50">
        <v>0</v>
      </c>
      <c r="M90" s="50">
        <v>0</v>
      </c>
      <c r="N90" s="50">
        <f t="shared" si="22"/>
        <v>0</v>
      </c>
    </row>
    <row r="91" spans="1:14" ht="21.75" customHeight="1" x14ac:dyDescent="0.4">
      <c r="A91" s="42"/>
      <c r="B91" s="43"/>
      <c r="C91" s="43"/>
      <c r="D91" s="51"/>
      <c r="E91" s="45"/>
      <c r="F91" s="45" t="s">
        <v>21</v>
      </c>
      <c r="G91" s="46" t="s">
        <v>22</v>
      </c>
      <c r="H91" s="47" t="s">
        <v>20</v>
      </c>
      <c r="I91" s="48"/>
      <c r="J91" s="48"/>
      <c r="K91" s="49"/>
      <c r="L91" s="50">
        <f t="shared" ref="L91:M91" ca="1" si="23">L92</f>
        <v>42000</v>
      </c>
      <c r="M91" s="50">
        <f t="shared" si="23"/>
        <v>0</v>
      </c>
      <c r="N91" s="50">
        <f t="shared" ca="1" si="22"/>
        <v>0</v>
      </c>
    </row>
    <row r="92" spans="1:14" ht="21.75" customHeight="1" x14ac:dyDescent="0.4">
      <c r="A92" s="42"/>
      <c r="B92" s="43"/>
      <c r="C92" s="43"/>
      <c r="D92" s="51"/>
      <c r="E92" s="45"/>
      <c r="F92" s="45"/>
      <c r="G92" s="52" t="s">
        <v>24</v>
      </c>
      <c r="H92" s="47" t="s">
        <v>20</v>
      </c>
      <c r="I92" s="48"/>
      <c r="J92" s="48"/>
      <c r="K92" s="49"/>
      <c r="L92" s="53">
        <f ca="1">IFERROR(__xludf.DUMMYFUNCTION("IMPORTRANGE(""https://docs.google.com/spreadsheets/d/1C3CXT74ZlgGe6_JY_1olB1XN4rF0dxEuIIF-xsYjHgg/edit?usp=sharing"",""พรบ!AH20"")"),42000)</f>
        <v>42000</v>
      </c>
      <c r="M92" s="54">
        <v>0</v>
      </c>
      <c r="N92" s="53">
        <f t="shared" ca="1" si="22"/>
        <v>0</v>
      </c>
    </row>
    <row r="93" spans="1:14" ht="21.75" customHeight="1" x14ac:dyDescent="0.4">
      <c r="A93" s="55"/>
      <c r="B93" s="56"/>
      <c r="C93" s="43" t="s">
        <v>17</v>
      </c>
      <c r="D93" s="57" t="s">
        <v>25</v>
      </c>
      <c r="E93" s="58"/>
      <c r="F93" s="58"/>
      <c r="G93" s="59"/>
      <c r="H93" s="60"/>
      <c r="I93" s="48"/>
      <c r="J93" s="48"/>
      <c r="K93" s="49"/>
      <c r="L93" s="61"/>
      <c r="M93" s="61"/>
      <c r="N93" s="61"/>
    </row>
    <row r="94" spans="1:14" ht="21.75" customHeight="1" x14ac:dyDescent="0.4">
      <c r="A94" s="55"/>
      <c r="B94" s="56"/>
      <c r="C94" s="56"/>
      <c r="D94" s="62">
        <v>1</v>
      </c>
      <c r="E94" s="63" t="s">
        <v>26</v>
      </c>
      <c r="F94" s="64"/>
      <c r="G94" s="65"/>
      <c r="H94" s="66"/>
      <c r="I94" s="67"/>
      <c r="J94" s="68">
        <v>0</v>
      </c>
      <c r="K94" s="49"/>
      <c r="L94" s="61"/>
      <c r="M94" s="61"/>
      <c r="N94" s="61"/>
    </row>
    <row r="95" spans="1:14" ht="21.75" customHeight="1" x14ac:dyDescent="0.4">
      <c r="A95" s="55"/>
      <c r="B95" s="56"/>
      <c r="C95" s="56"/>
      <c r="D95" s="69">
        <v>2</v>
      </c>
      <c r="E95" s="70" t="s">
        <v>27</v>
      </c>
      <c r="F95" s="71"/>
      <c r="G95" s="72"/>
      <c r="H95" s="66"/>
      <c r="I95" s="67"/>
      <c r="J95" s="68">
        <v>1</v>
      </c>
      <c r="K95" s="49"/>
      <c r="L95" s="61" t="s">
        <v>21</v>
      </c>
      <c r="M95" s="61" t="s">
        <v>21</v>
      </c>
      <c r="N95" s="61"/>
    </row>
    <row r="96" spans="1:14" ht="21.75" customHeight="1" x14ac:dyDescent="0.4">
      <c r="A96" s="55"/>
      <c r="B96" s="56"/>
      <c r="C96" s="56"/>
      <c r="D96" s="73"/>
      <c r="E96" s="74" t="s">
        <v>28</v>
      </c>
      <c r="F96" s="75"/>
      <c r="G96" s="76"/>
      <c r="H96" s="66"/>
      <c r="I96" s="67"/>
      <c r="J96" s="68">
        <v>0</v>
      </c>
      <c r="K96" s="49"/>
      <c r="L96" s="61"/>
      <c r="M96" s="61"/>
      <c r="N96" s="61"/>
    </row>
    <row r="97" spans="1:14" ht="21.75" customHeight="1" x14ac:dyDescent="0.4">
      <c r="A97" s="55"/>
      <c r="B97" s="56"/>
      <c r="C97" s="56"/>
      <c r="D97" s="73"/>
      <c r="E97" s="74" t="s">
        <v>29</v>
      </c>
      <c r="F97" s="75"/>
      <c r="G97" s="76"/>
      <c r="H97" s="66"/>
      <c r="I97" s="67"/>
      <c r="J97" s="68">
        <v>0</v>
      </c>
      <c r="K97" s="49"/>
      <c r="L97" s="61"/>
      <c r="M97" s="61"/>
      <c r="N97" s="61"/>
    </row>
    <row r="98" spans="1:14" ht="21.75" customHeight="1" x14ac:dyDescent="0.4">
      <c r="A98" s="55"/>
      <c r="B98" s="56"/>
      <c r="C98" s="56"/>
      <c r="D98" s="73"/>
      <c r="E98" s="77"/>
      <c r="F98" s="74" t="s">
        <v>64</v>
      </c>
      <c r="G98" s="76"/>
      <c r="H98" s="60" t="s">
        <v>63</v>
      </c>
      <c r="I98" s="67">
        <f ca="1">IFERROR(__xludf.DUMMYFUNCTION("IMPORTRANGE(""https://docs.google.com/spreadsheets/d/1C3CXT74ZlgGe6_JY_1olB1XN4rF0dxEuIIF-xsYjHgg/edit?usp=sharing"",""พรบ!AI20"")"),3)</f>
        <v>3</v>
      </c>
      <c r="J98" s="68">
        <v>0</v>
      </c>
      <c r="K98" s="49">
        <f ca="1">IF(I98&gt;0,J98*100/I98,0)</f>
        <v>0</v>
      </c>
      <c r="L98" s="53">
        <f ca="1">IFERROR(__xludf.DUMMYFUNCTION("IMPORTRANGE(""https://docs.google.com/spreadsheets/d/1C3CXT74ZlgGe6_JY_1olB1XN4rF0dxEuIIF-xsYjHgg/edit?usp=sharing"",""กปร!C20"")"),36000)</f>
        <v>36000</v>
      </c>
      <c r="M98" s="359">
        <v>0</v>
      </c>
      <c r="N98" s="61">
        <f ca="1">+IF(L98&gt;0,M98*100/L98,0)</f>
        <v>0</v>
      </c>
    </row>
    <row r="99" spans="1:14" ht="21.75" customHeight="1" x14ac:dyDescent="0.4">
      <c r="A99" s="55"/>
      <c r="B99" s="56"/>
      <c r="C99" s="56"/>
      <c r="D99" s="73"/>
      <c r="E99" s="74" t="s">
        <v>35</v>
      </c>
      <c r="F99" s="75"/>
      <c r="G99" s="76"/>
      <c r="H99" s="66"/>
      <c r="I99" s="67"/>
      <c r="J99" s="68">
        <v>0</v>
      </c>
      <c r="K99" s="49"/>
      <c r="L99" s="61"/>
      <c r="M99" s="61"/>
      <c r="N99" s="61"/>
    </row>
    <row r="100" spans="1:14" ht="21.75" customHeight="1" x14ac:dyDescent="0.4">
      <c r="A100" s="55"/>
      <c r="B100" s="56"/>
      <c r="C100" s="56"/>
      <c r="D100" s="81">
        <v>3</v>
      </c>
      <c r="E100" s="82" t="s">
        <v>36</v>
      </c>
      <c r="F100" s="83"/>
      <c r="G100" s="84"/>
      <c r="H100" s="66"/>
      <c r="I100" s="67"/>
      <c r="J100" s="85">
        <v>0</v>
      </c>
      <c r="K100" s="49"/>
      <c r="L100" s="61"/>
      <c r="M100" s="61"/>
      <c r="N100" s="61"/>
    </row>
    <row r="101" spans="1:14" ht="21.75" customHeight="1" x14ac:dyDescent="0.4">
      <c r="A101" s="141"/>
      <c r="B101" s="142"/>
      <c r="C101" s="143" t="s">
        <v>65</v>
      </c>
      <c r="D101" s="143"/>
      <c r="E101" s="143"/>
      <c r="F101" s="143"/>
      <c r="G101" s="144"/>
      <c r="H101" s="149" t="s">
        <v>63</v>
      </c>
      <c r="I101" s="150">
        <f t="shared" ref="I101:J101" ca="1" si="24">I111</f>
        <v>0</v>
      </c>
      <c r="J101" s="150">
        <f t="shared" si="24"/>
        <v>0</v>
      </c>
      <c r="K101" s="151">
        <f ca="1">IF(I101&gt;0,J101*100/I101,0)</f>
        <v>0</v>
      </c>
      <c r="L101" s="148">
        <f ca="1">L102+L103</f>
        <v>0</v>
      </c>
      <c r="M101" s="148">
        <f>SUM(M102:M103)</f>
        <v>0</v>
      </c>
      <c r="N101" s="148">
        <f t="shared" ref="N101:N104" ca="1" si="25">+IF(L101&gt;0,M101*100/L101,0)</f>
        <v>0</v>
      </c>
    </row>
    <row r="102" spans="1:14" ht="21.75" customHeight="1" x14ac:dyDescent="0.4">
      <c r="A102" s="42"/>
      <c r="B102" s="43"/>
      <c r="C102" s="43" t="s">
        <v>17</v>
      </c>
      <c r="D102" s="44" t="s">
        <v>18</v>
      </c>
      <c r="E102" s="45"/>
      <c r="F102" s="45"/>
      <c r="G102" s="46" t="s">
        <v>19</v>
      </c>
      <c r="H102" s="47" t="s">
        <v>20</v>
      </c>
      <c r="I102" s="48" t="s">
        <v>21</v>
      </c>
      <c r="J102" s="48"/>
      <c r="K102" s="49"/>
      <c r="L102" s="50">
        <v>0</v>
      </c>
      <c r="M102" s="50">
        <v>0</v>
      </c>
      <c r="N102" s="50">
        <f t="shared" si="25"/>
        <v>0</v>
      </c>
    </row>
    <row r="103" spans="1:14" ht="21.75" customHeight="1" x14ac:dyDescent="0.4">
      <c r="A103" s="42"/>
      <c r="B103" s="43"/>
      <c r="C103" s="43"/>
      <c r="D103" s="51"/>
      <c r="E103" s="45"/>
      <c r="F103" s="45" t="s">
        <v>21</v>
      </c>
      <c r="G103" s="46" t="s">
        <v>22</v>
      </c>
      <c r="H103" s="47" t="s">
        <v>20</v>
      </c>
      <c r="I103" s="48"/>
      <c r="J103" s="48"/>
      <c r="K103" s="49"/>
      <c r="L103" s="50">
        <f ca="1">SUM(L104)</f>
        <v>0</v>
      </c>
      <c r="M103" s="50">
        <f>M104</f>
        <v>0</v>
      </c>
      <c r="N103" s="50">
        <f t="shared" ca="1" si="25"/>
        <v>0</v>
      </c>
    </row>
    <row r="104" spans="1:14" ht="21.75" customHeight="1" x14ac:dyDescent="0.4">
      <c r="A104" s="42"/>
      <c r="B104" s="43"/>
      <c r="C104" s="43"/>
      <c r="D104" s="51"/>
      <c r="E104" s="45"/>
      <c r="F104" s="45"/>
      <c r="G104" s="52" t="s">
        <v>24</v>
      </c>
      <c r="H104" s="47" t="s">
        <v>20</v>
      </c>
      <c r="I104" s="48"/>
      <c r="J104" s="67"/>
      <c r="K104" s="233"/>
      <c r="L104" s="53">
        <f ca="1">IFERROR(__xludf.DUMMYFUNCTION("IMPORTRANGE(""https://docs.google.com/spreadsheets/d/1C3CXT74ZlgGe6_JY_1olB1XN4rF0dxEuIIF-xsYjHgg/edit?usp=sharing"",""พรบ!AJ20"")"),0)</f>
        <v>0</v>
      </c>
      <c r="M104" s="53">
        <v>0</v>
      </c>
      <c r="N104" s="53">
        <f t="shared" ca="1" si="25"/>
        <v>0</v>
      </c>
    </row>
    <row r="105" spans="1:14" ht="21.75" customHeight="1" x14ac:dyDescent="0.4">
      <c r="A105" s="55"/>
      <c r="B105" s="56"/>
      <c r="C105" s="43" t="s">
        <v>17</v>
      </c>
      <c r="D105" s="57" t="s">
        <v>25</v>
      </c>
      <c r="E105" s="58"/>
      <c r="F105" s="58"/>
      <c r="G105" s="59"/>
      <c r="H105" s="60"/>
      <c r="I105" s="48"/>
      <c r="J105" s="67"/>
      <c r="K105" s="233"/>
      <c r="L105" s="53"/>
      <c r="M105" s="53"/>
      <c r="N105" s="61"/>
    </row>
    <row r="106" spans="1:14" ht="21.75" customHeight="1" x14ac:dyDescent="0.4">
      <c r="A106" s="55"/>
      <c r="B106" s="56"/>
      <c r="C106" s="56"/>
      <c r="D106" s="62">
        <v>1</v>
      </c>
      <c r="E106" s="63" t="s">
        <v>26</v>
      </c>
      <c r="F106" s="64"/>
      <c r="G106" s="65"/>
      <c r="H106" s="66"/>
      <c r="I106" s="67"/>
      <c r="J106" s="67">
        <v>0</v>
      </c>
      <c r="K106" s="233"/>
      <c r="L106" s="53"/>
      <c r="M106" s="53"/>
      <c r="N106" s="61"/>
    </row>
    <row r="107" spans="1:14" ht="21.75" customHeight="1" x14ac:dyDescent="0.4">
      <c r="A107" s="55"/>
      <c r="B107" s="56"/>
      <c r="C107" s="56"/>
      <c r="D107" s="69">
        <v>2</v>
      </c>
      <c r="E107" s="70" t="s">
        <v>27</v>
      </c>
      <c r="F107" s="71"/>
      <c r="G107" s="72"/>
      <c r="H107" s="66"/>
      <c r="I107" s="67"/>
      <c r="J107" s="67">
        <v>0</v>
      </c>
      <c r="K107" s="233"/>
      <c r="L107" s="53" t="s">
        <v>21</v>
      </c>
      <c r="M107" s="53" t="s">
        <v>21</v>
      </c>
      <c r="N107" s="61"/>
    </row>
    <row r="108" spans="1:14" ht="21.75" customHeight="1" x14ac:dyDescent="0.4">
      <c r="A108" s="55"/>
      <c r="B108" s="56"/>
      <c r="C108" s="56"/>
      <c r="D108" s="73"/>
      <c r="E108" s="74" t="s">
        <v>28</v>
      </c>
      <c r="F108" s="75"/>
      <c r="G108" s="76"/>
      <c r="H108" s="66"/>
      <c r="I108" s="67"/>
      <c r="J108" s="67">
        <v>0</v>
      </c>
      <c r="K108" s="233"/>
      <c r="L108" s="53"/>
      <c r="M108" s="53"/>
      <c r="N108" s="61"/>
    </row>
    <row r="109" spans="1:14" ht="21.75" customHeight="1" x14ac:dyDescent="0.4">
      <c r="A109" s="55"/>
      <c r="B109" s="56"/>
      <c r="C109" s="56"/>
      <c r="D109" s="73"/>
      <c r="E109" s="74" t="s">
        <v>29</v>
      </c>
      <c r="F109" s="75"/>
      <c r="G109" s="76"/>
      <c r="H109" s="66"/>
      <c r="I109" s="67"/>
      <c r="J109" s="67">
        <v>0</v>
      </c>
      <c r="K109" s="233"/>
      <c r="L109" s="53"/>
      <c r="M109" s="53"/>
      <c r="N109" s="61"/>
    </row>
    <row r="110" spans="1:14" ht="21.75" customHeight="1" x14ac:dyDescent="0.55000000000000004">
      <c r="A110" s="55"/>
      <c r="B110" s="56"/>
      <c r="C110" s="56"/>
      <c r="D110" s="73"/>
      <c r="E110" s="77"/>
      <c r="F110" s="74" t="s">
        <v>66</v>
      </c>
      <c r="G110" s="76"/>
      <c r="H110" s="60" t="s">
        <v>63</v>
      </c>
      <c r="I110" s="67">
        <f ca="1">IFERROR(__xludf.DUMMYFUNCTION("IMPORTRANGE(""https://docs.google.com/spreadsheets/d/1C3CXT74ZlgGe6_JY_1olB1XN4rF0dxEuIIF-xsYjHgg/edit?usp=sharing"",""พรบ!AK20"")"),0)</f>
        <v>0</v>
      </c>
      <c r="J110" s="67">
        <v>0</v>
      </c>
      <c r="K110" s="233">
        <f t="shared" ref="K110:K111" ca="1" si="26">IF(I110&gt;0,J110*100/I110,0)</f>
        <v>0</v>
      </c>
      <c r="L110" s="53">
        <f ca="1">IFERROR(__xludf.DUMMYFUNCTION("IMPORTRANGE(""https://docs.google.com/spreadsheets/d/1C3CXT74ZlgGe6_JY_1olB1XN4rF0dxEuIIF-xsYjHgg/edit?usp=sharing"",""กปร!D20"")"),0)</f>
        <v>0</v>
      </c>
      <c r="M110" s="399">
        <v>0</v>
      </c>
      <c r="N110" s="400">
        <f t="shared" ref="N110:N111" ca="1" si="27">+IF(L110&gt;0,M110*100/L110,0)</f>
        <v>0</v>
      </c>
    </row>
    <row r="111" spans="1:14" ht="21.75" customHeight="1" x14ac:dyDescent="0.55000000000000004">
      <c r="A111" s="55"/>
      <c r="B111" s="56"/>
      <c r="C111" s="56"/>
      <c r="D111" s="73"/>
      <c r="E111" s="77"/>
      <c r="F111" s="74" t="s">
        <v>67</v>
      </c>
      <c r="G111" s="76"/>
      <c r="H111" s="60" t="s">
        <v>63</v>
      </c>
      <c r="I111" s="67">
        <f ca="1">IFERROR(__xludf.DUMMYFUNCTION("IMPORTRANGE(""https://docs.google.com/spreadsheets/d/1C3CXT74ZlgGe6_JY_1olB1XN4rF0dxEuIIF-xsYjHgg/edit?usp=sharing"",""พรบ!AL20"")"),0)</f>
        <v>0</v>
      </c>
      <c r="J111" s="67">
        <v>0</v>
      </c>
      <c r="K111" s="233">
        <f t="shared" ca="1" si="26"/>
        <v>0</v>
      </c>
      <c r="L111" s="53">
        <f ca="1">IFERROR(__xludf.DUMMYFUNCTION("IMPORTRANGE(""https://docs.google.com/spreadsheets/d/1C3CXT74ZlgGe6_JY_1olB1XN4rF0dxEuIIF-xsYjHgg/edit?usp=sharing"",""กปร!E20"")"),0)</f>
        <v>0</v>
      </c>
      <c r="M111" s="399">
        <v>0</v>
      </c>
      <c r="N111" s="400">
        <f t="shared" ca="1" si="27"/>
        <v>0</v>
      </c>
    </row>
    <row r="112" spans="1:14" ht="21.75" customHeight="1" x14ac:dyDescent="0.4">
      <c r="A112" s="55"/>
      <c r="B112" s="56"/>
      <c r="C112" s="56"/>
      <c r="D112" s="73"/>
      <c r="E112" s="74" t="s">
        <v>35</v>
      </c>
      <c r="F112" s="75"/>
      <c r="G112" s="76"/>
      <c r="H112" s="66"/>
      <c r="I112" s="67"/>
      <c r="J112" s="67">
        <v>0</v>
      </c>
      <c r="K112" s="233"/>
      <c r="L112" s="53"/>
      <c r="M112" s="53"/>
      <c r="N112" s="61"/>
    </row>
    <row r="113" spans="1:14" ht="21.75" customHeight="1" x14ac:dyDescent="0.4">
      <c r="A113" s="55"/>
      <c r="B113" s="56"/>
      <c r="C113" s="56"/>
      <c r="D113" s="81">
        <v>3</v>
      </c>
      <c r="E113" s="82" t="s">
        <v>36</v>
      </c>
      <c r="F113" s="83"/>
      <c r="G113" s="84"/>
      <c r="H113" s="66"/>
      <c r="I113" s="67"/>
      <c r="J113" s="360">
        <v>0</v>
      </c>
      <c r="K113" s="233"/>
      <c r="L113" s="53"/>
      <c r="M113" s="53"/>
      <c r="N113" s="61"/>
    </row>
    <row r="114" spans="1:14" ht="21.75" customHeight="1" x14ac:dyDescent="0.4">
      <c r="A114" s="141"/>
      <c r="B114" s="142"/>
      <c r="C114" s="143" t="s">
        <v>68</v>
      </c>
      <c r="D114" s="143"/>
      <c r="E114" s="143"/>
      <c r="F114" s="143"/>
      <c r="G114" s="144"/>
      <c r="H114" s="152" t="s">
        <v>69</v>
      </c>
      <c r="I114" s="150">
        <f t="shared" ref="I114:J114" ca="1" si="28">I125</f>
        <v>50000</v>
      </c>
      <c r="J114" s="150">
        <f t="shared" si="28"/>
        <v>0</v>
      </c>
      <c r="K114" s="151">
        <f ca="1">IF(I114&gt;0,J114*100/I114,0)</f>
        <v>0</v>
      </c>
      <c r="L114" s="148">
        <f ca="1">L115+L116</f>
        <v>19500</v>
      </c>
      <c r="M114" s="148">
        <f>SUM(M115:M116)</f>
        <v>0</v>
      </c>
      <c r="N114" s="148">
        <f t="shared" ref="N114:N117" ca="1" si="29">+IF(L114&gt;0,M114*100/L114,0)</f>
        <v>0</v>
      </c>
    </row>
    <row r="115" spans="1:14" ht="21.75" customHeight="1" x14ac:dyDescent="0.4">
      <c r="A115" s="42"/>
      <c r="B115" s="43"/>
      <c r="C115" s="43" t="s">
        <v>17</v>
      </c>
      <c r="D115" s="44" t="s">
        <v>18</v>
      </c>
      <c r="E115" s="45"/>
      <c r="F115" s="45"/>
      <c r="G115" s="46" t="s">
        <v>19</v>
      </c>
      <c r="H115" s="47" t="s">
        <v>20</v>
      </c>
      <c r="I115" s="48" t="s">
        <v>21</v>
      </c>
      <c r="J115" s="48"/>
      <c r="K115" s="49"/>
      <c r="L115" s="50">
        <v>0</v>
      </c>
      <c r="M115" s="50">
        <v>0</v>
      </c>
      <c r="N115" s="50">
        <f t="shared" si="29"/>
        <v>0</v>
      </c>
    </row>
    <row r="116" spans="1:14" ht="21.75" customHeight="1" x14ac:dyDescent="0.4">
      <c r="A116" s="42"/>
      <c r="B116" s="43"/>
      <c r="C116" s="43"/>
      <c r="D116" s="51"/>
      <c r="E116" s="45"/>
      <c r="F116" s="45" t="s">
        <v>21</v>
      </c>
      <c r="G116" s="46" t="s">
        <v>22</v>
      </c>
      <c r="H116" s="47" t="s">
        <v>20</v>
      </c>
      <c r="I116" s="48"/>
      <c r="J116" s="48"/>
      <c r="K116" s="49"/>
      <c r="L116" s="50">
        <f ca="1">SUM(L117)</f>
        <v>19500</v>
      </c>
      <c r="M116" s="50">
        <f>M117</f>
        <v>0</v>
      </c>
      <c r="N116" s="50">
        <f t="shared" ca="1" si="29"/>
        <v>0</v>
      </c>
    </row>
    <row r="117" spans="1:14" ht="21.75" customHeight="1" x14ac:dyDescent="0.4">
      <c r="A117" s="42"/>
      <c r="B117" s="43"/>
      <c r="C117" s="43"/>
      <c r="D117" s="51"/>
      <c r="E117" s="45"/>
      <c r="F117" s="45"/>
      <c r="G117" s="52" t="s">
        <v>24</v>
      </c>
      <c r="H117" s="47" t="s">
        <v>20</v>
      </c>
      <c r="I117" s="48"/>
      <c r="J117" s="48"/>
      <c r="K117" s="49"/>
      <c r="L117" s="53">
        <f ca="1">IFERROR(__xludf.DUMMYFUNCTION("IMPORTRANGE(""https://docs.google.com/spreadsheets/d/1C3CXT74ZlgGe6_JY_1olB1XN4rF0dxEuIIF-xsYjHgg/edit?usp=sharing"",""พรบ!AM20"")"),19500)</f>
        <v>19500</v>
      </c>
      <c r="M117" s="54">
        <v>0</v>
      </c>
      <c r="N117" s="53">
        <f t="shared" ca="1" si="29"/>
        <v>0</v>
      </c>
    </row>
    <row r="118" spans="1:14" ht="21.75" customHeight="1" x14ac:dyDescent="0.4">
      <c r="A118" s="55"/>
      <c r="B118" s="56"/>
      <c r="C118" s="43" t="s">
        <v>17</v>
      </c>
      <c r="D118" s="57" t="s">
        <v>25</v>
      </c>
      <c r="E118" s="58"/>
      <c r="F118" s="58"/>
      <c r="G118" s="59"/>
      <c r="H118" s="60"/>
      <c r="I118" s="48"/>
      <c r="J118" s="48"/>
      <c r="K118" s="49"/>
      <c r="L118" s="61"/>
      <c r="M118" s="61"/>
      <c r="N118" s="61"/>
    </row>
    <row r="119" spans="1:14" ht="21.75" customHeight="1" x14ac:dyDescent="0.4">
      <c r="A119" s="55"/>
      <c r="B119" s="56"/>
      <c r="C119" s="56"/>
      <c r="D119" s="62">
        <v>1</v>
      </c>
      <c r="E119" s="63" t="s">
        <v>26</v>
      </c>
      <c r="F119" s="64"/>
      <c r="G119" s="65"/>
      <c r="H119" s="66"/>
      <c r="I119" s="67"/>
      <c r="J119" s="68">
        <v>0</v>
      </c>
      <c r="K119" s="49"/>
      <c r="L119" s="61"/>
      <c r="M119" s="61"/>
      <c r="N119" s="61"/>
    </row>
    <row r="120" spans="1:14" ht="21.75" customHeight="1" x14ac:dyDescent="0.4">
      <c r="A120" s="55"/>
      <c r="B120" s="56"/>
      <c r="C120" s="56"/>
      <c r="D120" s="69">
        <v>2</v>
      </c>
      <c r="E120" s="70" t="s">
        <v>27</v>
      </c>
      <c r="F120" s="71"/>
      <c r="G120" s="72"/>
      <c r="H120" s="66"/>
      <c r="I120" s="67"/>
      <c r="J120" s="68">
        <v>1</v>
      </c>
      <c r="K120" s="49"/>
      <c r="L120" s="61" t="s">
        <v>21</v>
      </c>
      <c r="M120" s="61" t="s">
        <v>21</v>
      </c>
      <c r="N120" s="61"/>
    </row>
    <row r="121" spans="1:14" ht="21.75" customHeight="1" x14ac:dyDescent="0.4">
      <c r="A121" s="55"/>
      <c r="B121" s="56"/>
      <c r="C121" s="56"/>
      <c r="D121" s="73"/>
      <c r="E121" s="74" t="s">
        <v>28</v>
      </c>
      <c r="F121" s="75"/>
      <c r="G121" s="76"/>
      <c r="H121" s="66"/>
      <c r="I121" s="67"/>
      <c r="J121" s="68">
        <v>0</v>
      </c>
      <c r="K121" s="49"/>
      <c r="L121" s="61"/>
      <c r="M121" s="61"/>
      <c r="N121" s="61"/>
    </row>
    <row r="122" spans="1:14" ht="21.75" customHeight="1" x14ac:dyDescent="0.4">
      <c r="A122" s="55"/>
      <c r="B122" s="56"/>
      <c r="C122" s="56"/>
      <c r="D122" s="73"/>
      <c r="E122" s="74" t="s">
        <v>29</v>
      </c>
      <c r="F122" s="75"/>
      <c r="G122" s="76"/>
      <c r="H122" s="66"/>
      <c r="I122" s="67"/>
      <c r="J122" s="68">
        <v>0</v>
      </c>
      <c r="K122" s="49"/>
      <c r="L122" s="61"/>
      <c r="M122" s="61"/>
      <c r="N122" s="61"/>
    </row>
    <row r="123" spans="1:14" ht="21.75" customHeight="1" x14ac:dyDescent="0.4">
      <c r="A123" s="55"/>
      <c r="B123" s="56"/>
      <c r="C123" s="56"/>
      <c r="D123" s="73"/>
      <c r="E123" s="75"/>
      <c r="F123" s="75" t="s">
        <v>70</v>
      </c>
      <c r="G123" s="76"/>
      <c r="H123" s="60"/>
      <c r="I123" s="67"/>
      <c r="J123" s="67"/>
      <c r="K123" s="49"/>
      <c r="L123" s="61"/>
      <c r="M123" s="61"/>
      <c r="N123" s="61"/>
    </row>
    <row r="124" spans="1:14" ht="21.75" customHeight="1" x14ac:dyDescent="0.4">
      <c r="A124" s="55"/>
      <c r="B124" s="56"/>
      <c r="C124" s="56"/>
      <c r="D124" s="73"/>
      <c r="E124" s="77"/>
      <c r="F124" s="75"/>
      <c r="G124" s="74" t="s">
        <v>71</v>
      </c>
      <c r="H124" s="60" t="s">
        <v>69</v>
      </c>
      <c r="I124" s="67">
        <f ca="1">IFERROR(__xludf.DUMMYFUNCTION("IMPORTRANGE(""https://docs.google.com/spreadsheets/d/1C3CXT74ZlgGe6_JY_1olB1XN4rF0dxEuIIF-xsYjHgg/edit?usp=sharing"",""พรบ!AO20"")"),50000)</f>
        <v>50000</v>
      </c>
      <c r="J124" s="68">
        <v>0</v>
      </c>
      <c r="K124" s="49">
        <f t="shared" ref="K124:K126" ca="1" si="30">IF(I124&gt;0,J124*100/I124,0)</f>
        <v>0</v>
      </c>
      <c r="L124" s="61"/>
      <c r="M124" s="61"/>
      <c r="N124" s="61"/>
    </row>
    <row r="125" spans="1:14" ht="21.75" customHeight="1" x14ac:dyDescent="0.55000000000000004">
      <c r="A125" s="55"/>
      <c r="B125" s="56"/>
      <c r="C125" s="56"/>
      <c r="D125" s="73"/>
      <c r="E125" s="77"/>
      <c r="F125" s="75"/>
      <c r="G125" s="74" t="s">
        <v>72</v>
      </c>
      <c r="H125" s="60" t="s">
        <v>69</v>
      </c>
      <c r="I125" s="67">
        <f ca="1">IFERROR(__xludf.DUMMYFUNCTION("IMPORTRANGE(""https://docs.google.com/spreadsheets/d/1C3CXT74ZlgGe6_JY_1olB1XN4rF0dxEuIIF-xsYjHgg/edit?usp=sharing"",""พรบ!AP20"")"),50000)</f>
        <v>50000</v>
      </c>
      <c r="J125" s="68">
        <v>0</v>
      </c>
      <c r="K125" s="49">
        <f t="shared" ca="1" si="30"/>
        <v>0</v>
      </c>
      <c r="L125" s="53">
        <f ca="1">IFERROR(__xludf.DUMMYFUNCTION("IMPORTRANGE(""https://docs.google.com/spreadsheets/d/1C3CXT74ZlgGe6_JY_1olB1XN4rF0dxEuIIF-xsYjHgg/edit?usp=sharing"",""กปร!F20"")"),13500)</f>
        <v>13500</v>
      </c>
      <c r="M125" s="401">
        <v>0</v>
      </c>
      <c r="N125" s="400">
        <f t="shared" ref="N125:N126" ca="1" si="31">+IF(L125&gt;0,M125*100/L125,0)</f>
        <v>0</v>
      </c>
    </row>
    <row r="126" spans="1:14" ht="21.75" customHeight="1" x14ac:dyDescent="0.55000000000000004">
      <c r="A126" s="55"/>
      <c r="B126" s="56"/>
      <c r="C126" s="56"/>
      <c r="D126" s="73"/>
      <c r="E126" s="77"/>
      <c r="F126" s="75" t="s">
        <v>73</v>
      </c>
      <c r="G126" s="76"/>
      <c r="H126" s="60" t="s">
        <v>16</v>
      </c>
      <c r="I126" s="67">
        <f ca="1">IFERROR(__xludf.DUMMYFUNCTION("IMPORTRANGE(""https://docs.google.com/spreadsheets/d/1C3CXT74ZlgGe6_JY_1olB1XN4rF0dxEuIIF-xsYjHgg/edit?usp=sharing"",""พรบ!AQ20"")"),0)</f>
        <v>0</v>
      </c>
      <c r="J126" s="67">
        <v>0</v>
      </c>
      <c r="K126" s="49">
        <f t="shared" ca="1" si="30"/>
        <v>0</v>
      </c>
      <c r="L126" s="53">
        <f ca="1">IFERROR(__xludf.DUMMYFUNCTION("IMPORTRANGE(""https://docs.google.com/spreadsheets/d/1C3CXT74ZlgGe6_JY_1olB1XN4rF0dxEuIIF-xsYjHgg/edit?usp=sharing"",""กปร!G20"")"),0)</f>
        <v>0</v>
      </c>
      <c r="M126" s="399">
        <v>0</v>
      </c>
      <c r="N126" s="400">
        <f t="shared" ca="1" si="31"/>
        <v>0</v>
      </c>
    </row>
    <row r="127" spans="1:14" ht="21.75" customHeight="1" x14ac:dyDescent="0.4">
      <c r="A127" s="55"/>
      <c r="B127" s="56"/>
      <c r="C127" s="56"/>
      <c r="D127" s="73"/>
      <c r="E127" s="74" t="s">
        <v>35</v>
      </c>
      <c r="F127" s="75"/>
      <c r="G127" s="76"/>
      <c r="H127" s="66"/>
      <c r="I127" s="67"/>
      <c r="J127" s="68">
        <v>0</v>
      </c>
      <c r="K127" s="49"/>
      <c r="L127" s="61"/>
      <c r="M127" s="61"/>
      <c r="N127" s="61"/>
    </row>
    <row r="128" spans="1:14" ht="21.75" customHeight="1" x14ac:dyDescent="0.4">
      <c r="A128" s="105"/>
      <c r="B128" s="106"/>
      <c r="C128" s="106"/>
      <c r="D128" s="107">
        <v>3</v>
      </c>
      <c r="E128" s="108" t="s">
        <v>36</v>
      </c>
      <c r="F128" s="109"/>
      <c r="G128" s="110"/>
      <c r="H128" s="111"/>
      <c r="I128" s="112"/>
      <c r="J128" s="113">
        <v>0</v>
      </c>
      <c r="K128" s="114"/>
      <c r="L128" s="115"/>
      <c r="M128" s="115"/>
      <c r="N128" s="115"/>
    </row>
    <row r="129" spans="1:14" ht="21.75" customHeight="1" x14ac:dyDescent="0.4">
      <c r="A129" s="141"/>
      <c r="B129" s="142"/>
      <c r="C129" s="153" t="s">
        <v>74</v>
      </c>
      <c r="D129" s="143"/>
      <c r="E129" s="143"/>
      <c r="F129" s="143"/>
      <c r="G129" s="144"/>
      <c r="H129" s="152" t="s">
        <v>16</v>
      </c>
      <c r="I129" s="150">
        <f t="shared" ref="I129:J129" ca="1" si="32">I138</f>
        <v>0</v>
      </c>
      <c r="J129" s="150">
        <f t="shared" si="32"/>
        <v>0</v>
      </c>
      <c r="K129" s="151">
        <f ca="1">IF(I129&gt;0,J129*100/I129,0)</f>
        <v>0</v>
      </c>
      <c r="L129" s="148">
        <f ca="1">L130+L131</f>
        <v>0</v>
      </c>
      <c r="M129" s="148">
        <f>SUM(M130:M131)</f>
        <v>0</v>
      </c>
      <c r="N129" s="148">
        <f t="shared" ref="N129:N132" ca="1" si="33">+IF(L129&gt;0,M129*100/L129,0)</f>
        <v>0</v>
      </c>
    </row>
    <row r="130" spans="1:14" ht="21.75" customHeight="1" x14ac:dyDescent="0.4">
      <c r="A130" s="42"/>
      <c r="B130" s="43"/>
      <c r="C130" s="43" t="s">
        <v>17</v>
      </c>
      <c r="D130" s="44" t="s">
        <v>18</v>
      </c>
      <c r="E130" s="45"/>
      <c r="F130" s="45"/>
      <c r="G130" s="46" t="s">
        <v>19</v>
      </c>
      <c r="H130" s="47" t="s">
        <v>20</v>
      </c>
      <c r="I130" s="48" t="s">
        <v>21</v>
      </c>
      <c r="J130" s="48"/>
      <c r="K130" s="49"/>
      <c r="L130" s="50">
        <v>0</v>
      </c>
      <c r="M130" s="50">
        <v>0</v>
      </c>
      <c r="N130" s="50">
        <f t="shared" si="33"/>
        <v>0</v>
      </c>
    </row>
    <row r="131" spans="1:14" ht="21.75" customHeight="1" x14ac:dyDescent="0.4">
      <c r="A131" s="42"/>
      <c r="B131" s="43"/>
      <c r="C131" s="43"/>
      <c r="D131" s="51"/>
      <c r="E131" s="45"/>
      <c r="F131" s="45" t="s">
        <v>21</v>
      </c>
      <c r="G131" s="46" t="s">
        <v>22</v>
      </c>
      <c r="H131" s="47" t="s">
        <v>20</v>
      </c>
      <c r="I131" s="48"/>
      <c r="J131" s="48"/>
      <c r="K131" s="49"/>
      <c r="L131" s="50">
        <f ca="1">SUM(L132)</f>
        <v>0</v>
      </c>
      <c r="M131" s="50">
        <f>M132</f>
        <v>0</v>
      </c>
      <c r="N131" s="50">
        <f t="shared" ca="1" si="33"/>
        <v>0</v>
      </c>
    </row>
    <row r="132" spans="1:14" ht="21.75" customHeight="1" x14ac:dyDescent="0.4">
      <c r="A132" s="42"/>
      <c r="B132" s="43"/>
      <c r="C132" s="43"/>
      <c r="D132" s="51"/>
      <c r="E132" s="45"/>
      <c r="F132" s="45"/>
      <c r="G132" s="52" t="s">
        <v>24</v>
      </c>
      <c r="H132" s="47" t="s">
        <v>20</v>
      </c>
      <c r="I132" s="48"/>
      <c r="J132" s="67"/>
      <c r="K132" s="233"/>
      <c r="L132" s="53">
        <f ca="1">IFERROR(__xludf.DUMMYFUNCTION("IMPORTRANGE(""https://docs.google.com/spreadsheets/d/1C3CXT74ZlgGe6_JY_1olB1XN4rF0dxEuIIF-xsYjHgg/edit?usp=sharing"",""พรบ!AR20"")"),0)</f>
        <v>0</v>
      </c>
      <c r="M132" s="53">
        <v>0</v>
      </c>
      <c r="N132" s="53">
        <f t="shared" ca="1" si="33"/>
        <v>0</v>
      </c>
    </row>
    <row r="133" spans="1:14" ht="21.75" customHeight="1" x14ac:dyDescent="0.4">
      <c r="A133" s="55"/>
      <c r="B133" s="56"/>
      <c r="C133" s="43" t="s">
        <v>17</v>
      </c>
      <c r="D133" s="57" t="s">
        <v>25</v>
      </c>
      <c r="E133" s="58"/>
      <c r="F133" s="58"/>
      <c r="G133" s="59"/>
      <c r="H133" s="60"/>
      <c r="I133" s="48"/>
      <c r="J133" s="67"/>
      <c r="K133" s="233"/>
      <c r="L133" s="53"/>
      <c r="M133" s="53"/>
      <c r="N133" s="61"/>
    </row>
    <row r="134" spans="1:14" ht="21.75" customHeight="1" x14ac:dyDescent="0.4">
      <c r="A134" s="55"/>
      <c r="B134" s="56"/>
      <c r="C134" s="56"/>
      <c r="D134" s="62">
        <v>1</v>
      </c>
      <c r="E134" s="63" t="s">
        <v>26</v>
      </c>
      <c r="F134" s="64"/>
      <c r="G134" s="65"/>
      <c r="H134" s="66"/>
      <c r="I134" s="67"/>
      <c r="J134" s="67">
        <v>0</v>
      </c>
      <c r="K134" s="233"/>
      <c r="L134" s="53"/>
      <c r="M134" s="53"/>
      <c r="N134" s="61"/>
    </row>
    <row r="135" spans="1:14" ht="21.75" customHeight="1" x14ac:dyDescent="0.4">
      <c r="A135" s="55"/>
      <c r="B135" s="56"/>
      <c r="C135" s="56"/>
      <c r="D135" s="69">
        <v>2</v>
      </c>
      <c r="E135" s="70" t="s">
        <v>27</v>
      </c>
      <c r="F135" s="71"/>
      <c r="G135" s="72"/>
      <c r="H135" s="66"/>
      <c r="I135" s="67"/>
      <c r="J135" s="67">
        <v>0</v>
      </c>
      <c r="K135" s="233"/>
      <c r="L135" s="53" t="s">
        <v>21</v>
      </c>
      <c r="M135" s="53" t="s">
        <v>21</v>
      </c>
      <c r="N135" s="61"/>
    </row>
    <row r="136" spans="1:14" ht="21.75" customHeight="1" x14ac:dyDescent="0.4">
      <c r="A136" s="55"/>
      <c r="B136" s="56"/>
      <c r="C136" s="56"/>
      <c r="D136" s="73"/>
      <c r="E136" s="74" t="s">
        <v>28</v>
      </c>
      <c r="F136" s="75"/>
      <c r="G136" s="76"/>
      <c r="H136" s="66"/>
      <c r="I136" s="67"/>
      <c r="J136" s="67">
        <v>0</v>
      </c>
      <c r="K136" s="233"/>
      <c r="L136" s="53"/>
      <c r="M136" s="53"/>
      <c r="N136" s="61"/>
    </row>
    <row r="137" spans="1:14" ht="21.75" customHeight="1" x14ac:dyDescent="0.4">
      <c r="A137" s="55"/>
      <c r="B137" s="56"/>
      <c r="C137" s="56"/>
      <c r="D137" s="73"/>
      <c r="E137" s="74" t="s">
        <v>29</v>
      </c>
      <c r="F137" s="75"/>
      <c r="G137" s="76"/>
      <c r="H137" s="66"/>
      <c r="I137" s="67"/>
      <c r="J137" s="67">
        <v>0</v>
      </c>
      <c r="K137" s="233"/>
      <c r="L137" s="53"/>
      <c r="M137" s="53"/>
      <c r="N137" s="61"/>
    </row>
    <row r="138" spans="1:14" ht="21.75" customHeight="1" x14ac:dyDescent="0.55000000000000004">
      <c r="A138" s="55"/>
      <c r="B138" s="56"/>
      <c r="C138" s="56"/>
      <c r="D138" s="73"/>
      <c r="E138" s="77"/>
      <c r="F138" s="75" t="s">
        <v>75</v>
      </c>
      <c r="G138" s="76"/>
      <c r="H138" s="60" t="s">
        <v>16</v>
      </c>
      <c r="I138" s="67">
        <f ca="1">IFERROR(__xludf.DUMMYFUNCTION("IMPORTRANGE(""https://docs.google.com/spreadsheets/d/1C3CXT74ZlgGe6_JY_1olB1XN4rF0dxEuIIF-xsYjHgg/edit?usp=sharing"",""พรบ!AS20"")"),0)</f>
        <v>0</v>
      </c>
      <c r="J138" s="67">
        <v>0</v>
      </c>
      <c r="K138" s="233">
        <f ca="1">IF(I138&gt;0,J138*100/I138,0)</f>
        <v>0</v>
      </c>
      <c r="L138" s="53">
        <f ca="1">IFERROR(__xludf.DUMMYFUNCTION("IMPORTRANGE(""https://docs.google.com/spreadsheets/d/1C3CXT74ZlgGe6_JY_1olB1XN4rF0dxEuIIF-xsYjHgg/edit?usp=sharing"",""กปร!H20"")"),0)</f>
        <v>0</v>
      </c>
      <c r="M138" s="399">
        <v>0</v>
      </c>
      <c r="N138" s="400">
        <f ca="1">+IF(L138&gt;0,M138*100/L138,0)</f>
        <v>0</v>
      </c>
    </row>
    <row r="139" spans="1:14" ht="21.75" customHeight="1" x14ac:dyDescent="0.4">
      <c r="A139" s="55"/>
      <c r="B139" s="56"/>
      <c r="C139" s="56"/>
      <c r="D139" s="73"/>
      <c r="E139" s="77"/>
      <c r="F139" s="74" t="s">
        <v>34</v>
      </c>
      <c r="G139" s="76"/>
      <c r="H139" s="60"/>
      <c r="I139" s="67"/>
      <c r="J139" s="67"/>
      <c r="K139" s="233"/>
      <c r="L139" s="53"/>
      <c r="M139" s="53"/>
      <c r="N139" s="61"/>
    </row>
    <row r="140" spans="1:14" ht="21.75" customHeight="1" x14ac:dyDescent="0.55000000000000004">
      <c r="A140" s="55"/>
      <c r="B140" s="56"/>
      <c r="C140" s="56"/>
      <c r="D140" s="73"/>
      <c r="E140" s="77"/>
      <c r="F140" s="75"/>
      <c r="G140" s="99" t="s">
        <v>76</v>
      </c>
      <c r="H140" s="60" t="s">
        <v>16</v>
      </c>
      <c r="I140" s="67">
        <f ca="1">IFERROR(__xludf.DUMMYFUNCTION("IMPORTRANGE(""https://docs.google.com/spreadsheets/d/1C3CXT74ZlgGe6_JY_1olB1XN4rF0dxEuIIF-xsYjHgg/edit?usp=sharing"",""พรบ!AT20"")"),0)</f>
        <v>0</v>
      </c>
      <c r="J140" s="67">
        <v>0</v>
      </c>
      <c r="K140" s="233">
        <f t="shared" ref="K140:K141" ca="1" si="34">IF(I140&gt;0,J140*100/I140,0)</f>
        <v>0</v>
      </c>
      <c r="L140" s="53">
        <f ca="1">IFERROR(__xludf.DUMMYFUNCTION("IMPORTRANGE(""https://docs.google.com/spreadsheets/d/1C3CXT74ZlgGe6_JY_1olB1XN4rF0dxEuIIF-xsYjHgg/edit?usp=sharing"",""กปร!I20"")"),0)</f>
        <v>0</v>
      </c>
      <c r="M140" s="399">
        <v>0</v>
      </c>
      <c r="N140" s="400">
        <f t="shared" ref="N140:N141" ca="1" si="35">+IF(L140&gt;0,M140*100/L140,0)</f>
        <v>0</v>
      </c>
    </row>
    <row r="141" spans="1:14" ht="21.75" customHeight="1" x14ac:dyDescent="0.55000000000000004">
      <c r="A141" s="55"/>
      <c r="B141" s="56"/>
      <c r="C141" s="56"/>
      <c r="D141" s="73"/>
      <c r="E141" s="77"/>
      <c r="F141" s="75"/>
      <c r="G141" s="99" t="s">
        <v>77</v>
      </c>
      <c r="H141" s="60" t="s">
        <v>40</v>
      </c>
      <c r="I141" s="67">
        <f ca="1">IFERROR(__xludf.DUMMYFUNCTION("IMPORTRANGE(""https://docs.google.com/spreadsheets/d/1C3CXT74ZlgGe6_JY_1olB1XN4rF0dxEuIIF-xsYjHgg/edit?usp=sharing"",""พรบ!AU20"")"),0)</f>
        <v>0</v>
      </c>
      <c r="J141" s="67">
        <v>0</v>
      </c>
      <c r="K141" s="233">
        <f t="shared" ca="1" si="34"/>
        <v>0</v>
      </c>
      <c r="L141" s="53">
        <f ca="1">IFERROR(__xludf.DUMMYFUNCTION("IMPORTRANGE(""https://docs.google.com/spreadsheets/d/1C3CXT74ZlgGe6_JY_1olB1XN4rF0dxEuIIF-xsYjHgg/edit?usp=sharing"",""กปร!J20"")"),0)</f>
        <v>0</v>
      </c>
      <c r="M141" s="399">
        <v>0</v>
      </c>
      <c r="N141" s="400">
        <f t="shared" ca="1" si="35"/>
        <v>0</v>
      </c>
    </row>
    <row r="142" spans="1:14" ht="21.75" customHeight="1" x14ac:dyDescent="0.4">
      <c r="A142" s="55"/>
      <c r="B142" s="56"/>
      <c r="C142" s="56"/>
      <c r="D142" s="73"/>
      <c r="E142" s="74" t="s">
        <v>35</v>
      </c>
      <c r="F142" s="75"/>
      <c r="G142" s="76"/>
      <c r="H142" s="66"/>
      <c r="I142" s="67"/>
      <c r="J142" s="67">
        <v>0</v>
      </c>
      <c r="K142" s="233"/>
      <c r="L142" s="53"/>
      <c r="M142" s="53"/>
      <c r="N142" s="61"/>
    </row>
    <row r="143" spans="1:14" ht="21.75" customHeight="1" x14ac:dyDescent="0.4">
      <c r="A143" s="105"/>
      <c r="B143" s="106"/>
      <c r="C143" s="106"/>
      <c r="D143" s="107">
        <v>3</v>
      </c>
      <c r="E143" s="108" t="s">
        <v>36</v>
      </c>
      <c r="F143" s="109"/>
      <c r="G143" s="110"/>
      <c r="H143" s="111"/>
      <c r="I143" s="112"/>
      <c r="J143" s="356">
        <v>0</v>
      </c>
      <c r="K143" s="357"/>
      <c r="L143" s="358"/>
      <c r="M143" s="358"/>
      <c r="N143" s="115"/>
    </row>
    <row r="144" spans="1:14" ht="21.75" customHeight="1" x14ac:dyDescent="0.4">
      <c r="A144" s="132"/>
      <c r="B144" s="133" t="s">
        <v>78</v>
      </c>
      <c r="C144" s="134"/>
      <c r="D144" s="133"/>
      <c r="E144" s="133"/>
      <c r="F144" s="133"/>
      <c r="G144" s="135"/>
      <c r="H144" s="136" t="s">
        <v>16</v>
      </c>
      <c r="I144" s="137">
        <f t="shared" ref="I144:J144" ca="1" si="36">+I149+I158</f>
        <v>15</v>
      </c>
      <c r="J144" s="137">
        <f t="shared" si="36"/>
        <v>0</v>
      </c>
      <c r="K144" s="138">
        <f ca="1">IF(I144&gt;0,J144*100/I144,0)</f>
        <v>0</v>
      </c>
      <c r="L144" s="139">
        <f ca="1">L145+L146</f>
        <v>21125</v>
      </c>
      <c r="M144" s="139">
        <f>SUM(M145:M146)</f>
        <v>0</v>
      </c>
      <c r="N144" s="138">
        <f ca="1">IF(L144&gt;0,M144*100/L144,0)</f>
        <v>0</v>
      </c>
    </row>
    <row r="145" spans="1:14" ht="21.75" customHeight="1" x14ac:dyDescent="0.4">
      <c r="A145" s="42"/>
      <c r="B145" s="43"/>
      <c r="C145" s="43" t="s">
        <v>17</v>
      </c>
      <c r="D145" s="44" t="s">
        <v>18</v>
      </c>
      <c r="E145" s="45"/>
      <c r="F145" s="45"/>
      <c r="G145" s="46" t="s">
        <v>19</v>
      </c>
      <c r="H145" s="47" t="s">
        <v>20</v>
      </c>
      <c r="I145" s="48" t="s">
        <v>21</v>
      </c>
      <c r="J145" s="48"/>
      <c r="K145" s="49"/>
      <c r="L145" s="50">
        <v>0</v>
      </c>
      <c r="M145" s="50">
        <v>0</v>
      </c>
      <c r="N145" s="50">
        <f t="shared" ref="N145:N148" si="37">+IF(L145&gt;0,M145*100/L145,0)</f>
        <v>0</v>
      </c>
    </row>
    <row r="146" spans="1:14" ht="21.75" customHeight="1" x14ac:dyDescent="0.4">
      <c r="A146" s="42"/>
      <c r="B146" s="43"/>
      <c r="C146" s="43"/>
      <c r="D146" s="51"/>
      <c r="E146" s="45"/>
      <c r="F146" s="45" t="s">
        <v>21</v>
      </c>
      <c r="G146" s="46" t="s">
        <v>22</v>
      </c>
      <c r="H146" s="47" t="s">
        <v>20</v>
      </c>
      <c r="I146" s="48"/>
      <c r="J146" s="48"/>
      <c r="K146" s="49"/>
      <c r="L146" s="50">
        <f t="shared" ref="L146:M146" ca="1" si="38">SUM(L147:L148)</f>
        <v>21125</v>
      </c>
      <c r="M146" s="50">
        <f t="shared" si="38"/>
        <v>0</v>
      </c>
      <c r="N146" s="50">
        <f t="shared" ca="1" si="37"/>
        <v>0</v>
      </c>
    </row>
    <row r="147" spans="1:14" ht="21.75" customHeight="1" x14ac:dyDescent="0.4">
      <c r="A147" s="42"/>
      <c r="B147" s="43"/>
      <c r="C147" s="43"/>
      <c r="D147" s="51"/>
      <c r="E147" s="45"/>
      <c r="F147" s="45"/>
      <c r="G147" s="52" t="s">
        <v>23</v>
      </c>
      <c r="H147" s="47" t="s">
        <v>20</v>
      </c>
      <c r="I147" s="48"/>
      <c r="J147" s="48"/>
      <c r="K147" s="49"/>
      <c r="L147" s="53">
        <v>0</v>
      </c>
      <c r="M147" s="53">
        <v>0</v>
      </c>
      <c r="N147" s="53">
        <f t="shared" si="37"/>
        <v>0</v>
      </c>
    </row>
    <row r="148" spans="1:14" ht="21.75" customHeight="1" x14ac:dyDescent="0.4">
      <c r="A148" s="42"/>
      <c r="B148" s="43"/>
      <c r="C148" s="43"/>
      <c r="D148" s="51"/>
      <c r="E148" s="45"/>
      <c r="F148" s="45"/>
      <c r="G148" s="52" t="s">
        <v>24</v>
      </c>
      <c r="H148" s="47" t="s">
        <v>20</v>
      </c>
      <c r="I148" s="48"/>
      <c r="J148" s="48"/>
      <c r="K148" s="49"/>
      <c r="L148" s="53">
        <f ca="1">IFERROR(__xludf.DUMMYFUNCTION("IMPORTRANGE(""https://docs.google.com/spreadsheets/d/1C3CXT74ZlgGe6_JY_1olB1XN4rF0dxEuIIF-xsYjHgg/edit?usp=sharing"",""พรบ!AY20"")"),21125)</f>
        <v>21125</v>
      </c>
      <c r="M148" s="54">
        <v>0</v>
      </c>
      <c r="N148" s="53">
        <f t="shared" ca="1" si="37"/>
        <v>0</v>
      </c>
    </row>
    <row r="149" spans="1:14" ht="21.75" customHeight="1" x14ac:dyDescent="0.4">
      <c r="A149" s="55"/>
      <c r="B149" s="155"/>
      <c r="C149" s="134" t="s">
        <v>79</v>
      </c>
      <c r="D149" s="133"/>
      <c r="E149" s="133"/>
      <c r="F149" s="133"/>
      <c r="G149" s="135"/>
      <c r="H149" s="136" t="s">
        <v>16</v>
      </c>
      <c r="I149" s="137">
        <f ca="1">I155</f>
        <v>15</v>
      </c>
      <c r="J149" s="137">
        <f>+J155</f>
        <v>0</v>
      </c>
      <c r="K149" s="138">
        <f ca="1">IF(I149&gt;0,J149*100/I149,0)</f>
        <v>0</v>
      </c>
      <c r="L149" s="140"/>
      <c r="M149" s="140"/>
      <c r="N149" s="140"/>
    </row>
    <row r="150" spans="1:14" ht="21.75" customHeight="1" x14ac:dyDescent="0.4">
      <c r="A150" s="55"/>
      <c r="B150" s="56"/>
      <c r="C150" s="43" t="s">
        <v>17</v>
      </c>
      <c r="D150" s="57" t="s">
        <v>25</v>
      </c>
      <c r="E150" s="58"/>
      <c r="F150" s="58"/>
      <c r="G150" s="59"/>
      <c r="H150" s="60"/>
      <c r="I150" s="48"/>
      <c r="J150" s="48"/>
      <c r="K150" s="49"/>
      <c r="L150" s="61"/>
      <c r="M150" s="61"/>
      <c r="N150" s="61"/>
    </row>
    <row r="151" spans="1:14" ht="21.75" customHeight="1" x14ac:dyDescent="0.4">
      <c r="A151" s="55"/>
      <c r="B151" s="56"/>
      <c r="C151" s="56"/>
      <c r="D151" s="62">
        <v>1</v>
      </c>
      <c r="E151" s="63" t="s">
        <v>26</v>
      </c>
      <c r="F151" s="64"/>
      <c r="G151" s="65"/>
      <c r="H151" s="66"/>
      <c r="I151" s="67"/>
      <c r="J151" s="68">
        <v>0</v>
      </c>
      <c r="K151" s="49"/>
      <c r="L151" s="61"/>
      <c r="M151" s="61"/>
      <c r="N151" s="61"/>
    </row>
    <row r="152" spans="1:14" ht="21.75" customHeight="1" x14ac:dyDescent="0.4">
      <c r="A152" s="55"/>
      <c r="B152" s="56"/>
      <c r="C152" s="56"/>
      <c r="D152" s="69">
        <v>2</v>
      </c>
      <c r="E152" s="70" t="s">
        <v>27</v>
      </c>
      <c r="F152" s="71"/>
      <c r="G152" s="72"/>
      <c r="H152" s="66"/>
      <c r="I152" s="67"/>
      <c r="J152" s="68">
        <v>1</v>
      </c>
      <c r="K152" s="49"/>
      <c r="L152" s="61" t="s">
        <v>21</v>
      </c>
      <c r="M152" s="61" t="s">
        <v>21</v>
      </c>
      <c r="N152" s="61"/>
    </row>
    <row r="153" spans="1:14" ht="21.75" customHeight="1" x14ac:dyDescent="0.4">
      <c r="A153" s="55"/>
      <c r="B153" s="56"/>
      <c r="C153" s="56"/>
      <c r="D153" s="73"/>
      <c r="E153" s="74" t="s">
        <v>28</v>
      </c>
      <c r="F153" s="75"/>
      <c r="G153" s="76"/>
      <c r="H153" s="66"/>
      <c r="I153" s="67"/>
      <c r="J153" s="68">
        <v>1</v>
      </c>
      <c r="K153" s="49"/>
      <c r="L153" s="61"/>
      <c r="M153" s="61"/>
      <c r="N153" s="61"/>
    </row>
    <row r="154" spans="1:14" ht="21.75" customHeight="1" x14ac:dyDescent="0.4">
      <c r="A154" s="55"/>
      <c r="B154" s="56"/>
      <c r="C154" s="56"/>
      <c r="D154" s="73"/>
      <c r="E154" s="74" t="s">
        <v>29</v>
      </c>
      <c r="F154" s="75"/>
      <c r="G154" s="76"/>
      <c r="H154" s="66"/>
      <c r="I154" s="67"/>
      <c r="J154" s="68">
        <v>1</v>
      </c>
      <c r="K154" s="49"/>
      <c r="L154" s="61"/>
      <c r="M154" s="61"/>
      <c r="N154" s="61"/>
    </row>
    <row r="155" spans="1:14" ht="21.75" customHeight="1" x14ac:dyDescent="0.4">
      <c r="A155" s="55"/>
      <c r="B155" s="56"/>
      <c r="C155" s="56"/>
      <c r="D155" s="73"/>
      <c r="E155" s="77"/>
      <c r="F155" s="75"/>
      <c r="G155" s="99" t="s">
        <v>50</v>
      </c>
      <c r="H155" s="66" t="s">
        <v>16</v>
      </c>
      <c r="I155" s="67">
        <f ca="1">IFERROR(__xludf.DUMMYFUNCTION("IMPORTRANGE(""https://docs.google.com/spreadsheets/d/1C3CXT74ZlgGe6_JY_1olB1XN4rF0dxEuIIF-xsYjHgg/edit?usp=sharing"",""พรบ!BA20"")"),15)</f>
        <v>15</v>
      </c>
      <c r="J155" s="68">
        <v>0</v>
      </c>
      <c r="K155" s="49">
        <f ca="1">IF(I155&gt;0,J155*100/I155,0)</f>
        <v>0</v>
      </c>
      <c r="L155" s="61"/>
      <c r="M155" s="61"/>
      <c r="N155" s="61"/>
    </row>
    <row r="156" spans="1:14" ht="21.75" customHeight="1" x14ac:dyDescent="0.4">
      <c r="A156" s="55"/>
      <c r="B156" s="56"/>
      <c r="C156" s="56"/>
      <c r="D156" s="73"/>
      <c r="E156" s="74" t="s">
        <v>35</v>
      </c>
      <c r="F156" s="75"/>
      <c r="G156" s="76"/>
      <c r="H156" s="66"/>
      <c r="I156" s="67"/>
      <c r="J156" s="68">
        <v>0</v>
      </c>
      <c r="K156" s="49"/>
      <c r="L156" s="61"/>
      <c r="M156" s="61"/>
      <c r="N156" s="61"/>
    </row>
    <row r="157" spans="1:14" ht="21.75" customHeight="1" x14ac:dyDescent="0.4">
      <c r="A157" s="55"/>
      <c r="B157" s="56"/>
      <c r="C157" s="56"/>
      <c r="D157" s="81">
        <v>3</v>
      </c>
      <c r="E157" s="82" t="s">
        <v>36</v>
      </c>
      <c r="F157" s="83"/>
      <c r="G157" s="84"/>
      <c r="H157" s="66"/>
      <c r="I157" s="67"/>
      <c r="J157" s="85">
        <v>0</v>
      </c>
      <c r="K157" s="49"/>
      <c r="L157" s="61"/>
      <c r="M157" s="61"/>
      <c r="N157" s="61"/>
    </row>
    <row r="158" spans="1:14" ht="21.75" customHeight="1" x14ac:dyDescent="0.4">
      <c r="A158" s="55"/>
      <c r="B158" s="56"/>
      <c r="C158" s="134" t="s">
        <v>81</v>
      </c>
      <c r="D158" s="156"/>
      <c r="E158" s="133"/>
      <c r="F158" s="133"/>
      <c r="G158" s="135"/>
      <c r="H158" s="136" t="s">
        <v>16</v>
      </c>
      <c r="I158" s="137">
        <f>I164</f>
        <v>0</v>
      </c>
      <c r="J158" s="137">
        <f>+J164</f>
        <v>0</v>
      </c>
      <c r="K158" s="138">
        <f>IF(I158&gt;0,J158*100/I158,0)</f>
        <v>0</v>
      </c>
      <c r="L158" s="61"/>
      <c r="M158" s="61"/>
      <c r="N158" s="61"/>
    </row>
    <row r="159" spans="1:14" ht="21.75" customHeight="1" x14ac:dyDescent="0.4">
      <c r="A159" s="55"/>
      <c r="B159" s="56"/>
      <c r="C159" s="43" t="s">
        <v>17</v>
      </c>
      <c r="D159" s="57" t="s">
        <v>25</v>
      </c>
      <c r="E159" s="58"/>
      <c r="F159" s="58"/>
      <c r="G159" s="59"/>
      <c r="H159" s="60"/>
      <c r="I159" s="48"/>
      <c r="J159" s="48"/>
      <c r="K159" s="49"/>
      <c r="L159" s="61"/>
      <c r="M159" s="61"/>
      <c r="N159" s="61"/>
    </row>
    <row r="160" spans="1:14" ht="21.75" customHeight="1" x14ac:dyDescent="0.4">
      <c r="A160" s="55"/>
      <c r="B160" s="56"/>
      <c r="C160" s="56"/>
      <c r="D160" s="62">
        <v>1</v>
      </c>
      <c r="E160" s="63" t="s">
        <v>26</v>
      </c>
      <c r="F160" s="64"/>
      <c r="G160" s="65"/>
      <c r="H160" s="66"/>
      <c r="I160" s="67"/>
      <c r="J160" s="67">
        <v>0</v>
      </c>
      <c r="K160" s="49"/>
      <c r="L160" s="61"/>
      <c r="M160" s="61"/>
      <c r="N160" s="61"/>
    </row>
    <row r="161" spans="1:14" ht="21.75" customHeight="1" x14ac:dyDescent="0.4">
      <c r="A161" s="55"/>
      <c r="B161" s="56"/>
      <c r="C161" s="56"/>
      <c r="D161" s="69">
        <v>2</v>
      </c>
      <c r="E161" s="70" t="s">
        <v>27</v>
      </c>
      <c r="F161" s="71"/>
      <c r="G161" s="72"/>
      <c r="H161" s="66"/>
      <c r="I161" s="67"/>
      <c r="J161" s="67">
        <v>0</v>
      </c>
      <c r="K161" s="49"/>
      <c r="L161" s="61" t="s">
        <v>21</v>
      </c>
      <c r="M161" s="61" t="s">
        <v>21</v>
      </c>
      <c r="N161" s="61"/>
    </row>
    <row r="162" spans="1:14" ht="21.75" customHeight="1" x14ac:dyDescent="0.4">
      <c r="A162" s="55"/>
      <c r="B162" s="56"/>
      <c r="C162" s="56"/>
      <c r="D162" s="73"/>
      <c r="E162" s="74" t="s">
        <v>28</v>
      </c>
      <c r="F162" s="75"/>
      <c r="G162" s="76"/>
      <c r="H162" s="66"/>
      <c r="I162" s="67"/>
      <c r="J162" s="67">
        <v>0</v>
      </c>
      <c r="K162" s="49"/>
      <c r="L162" s="61"/>
      <c r="M162" s="61"/>
      <c r="N162" s="61"/>
    </row>
    <row r="163" spans="1:14" ht="21.75" customHeight="1" x14ac:dyDescent="0.4">
      <c r="A163" s="55"/>
      <c r="B163" s="56"/>
      <c r="C163" s="56"/>
      <c r="D163" s="73"/>
      <c r="E163" s="74" t="s">
        <v>29</v>
      </c>
      <c r="F163" s="75"/>
      <c r="G163" s="76"/>
      <c r="H163" s="66"/>
      <c r="I163" s="67"/>
      <c r="J163" s="67">
        <v>0</v>
      </c>
      <c r="K163" s="49"/>
      <c r="L163" s="61"/>
      <c r="M163" s="61"/>
      <c r="N163" s="61"/>
    </row>
    <row r="164" spans="1:14" ht="21.75" customHeight="1" x14ac:dyDescent="0.4">
      <c r="A164" s="55"/>
      <c r="B164" s="56"/>
      <c r="C164" s="56"/>
      <c r="D164" s="73"/>
      <c r="E164" s="75"/>
      <c r="F164" s="74" t="s">
        <v>82</v>
      </c>
      <c r="G164" s="75"/>
      <c r="H164" s="66" t="s">
        <v>16</v>
      </c>
      <c r="I164" s="67">
        <v>0</v>
      </c>
      <c r="J164" s="67">
        <v>0</v>
      </c>
      <c r="K164" s="49">
        <f>IF(I164&gt;0,J164*100/I164,0)</f>
        <v>0</v>
      </c>
      <c r="L164" s="61"/>
      <c r="M164" s="61"/>
      <c r="N164" s="61"/>
    </row>
    <row r="165" spans="1:14" ht="21.75" customHeight="1" x14ac:dyDescent="0.4">
      <c r="A165" s="55"/>
      <c r="B165" s="56"/>
      <c r="C165" s="56"/>
      <c r="D165" s="73"/>
      <c r="E165" s="74" t="s">
        <v>35</v>
      </c>
      <c r="F165" s="75"/>
      <c r="G165" s="76"/>
      <c r="H165" s="66"/>
      <c r="I165" s="67"/>
      <c r="J165" s="67">
        <v>0</v>
      </c>
      <c r="K165" s="49"/>
      <c r="L165" s="61"/>
      <c r="M165" s="61"/>
      <c r="N165" s="61"/>
    </row>
    <row r="166" spans="1:14" ht="21.75" customHeight="1" x14ac:dyDescent="0.4">
      <c r="A166" s="105"/>
      <c r="B166" s="106"/>
      <c r="C166" s="106"/>
      <c r="D166" s="107">
        <v>3</v>
      </c>
      <c r="E166" s="108" t="s">
        <v>36</v>
      </c>
      <c r="F166" s="109"/>
      <c r="G166" s="110"/>
      <c r="H166" s="111"/>
      <c r="I166" s="112"/>
      <c r="J166" s="356">
        <v>0</v>
      </c>
      <c r="K166" s="114"/>
      <c r="L166" s="115"/>
      <c r="M166" s="115"/>
      <c r="N166" s="115"/>
    </row>
    <row r="167" spans="1:14" ht="21.75" customHeight="1" x14ac:dyDescent="0.4">
      <c r="A167" s="157" t="s">
        <v>83</v>
      </c>
      <c r="B167" s="158"/>
      <c r="C167" s="158"/>
      <c r="D167" s="158"/>
      <c r="E167" s="159"/>
      <c r="F167" s="159"/>
      <c r="G167" s="160"/>
      <c r="H167" s="161"/>
      <c r="I167" s="162"/>
      <c r="J167" s="162"/>
      <c r="K167" s="163"/>
      <c r="L167" s="164"/>
      <c r="M167" s="164"/>
      <c r="N167" s="165"/>
    </row>
    <row r="168" spans="1:14" ht="21.75" customHeight="1" x14ac:dyDescent="0.4">
      <c r="A168" s="166" t="s">
        <v>84</v>
      </c>
      <c r="B168" s="167"/>
      <c r="C168" s="167"/>
      <c r="D168" s="168"/>
      <c r="E168" s="168"/>
      <c r="F168" s="168"/>
      <c r="G168" s="169"/>
      <c r="H168" s="170"/>
      <c r="I168" s="171"/>
      <c r="J168" s="171"/>
      <c r="K168" s="172"/>
      <c r="L168" s="172"/>
      <c r="M168" s="172"/>
      <c r="N168" s="173"/>
    </row>
    <row r="169" spans="1:14" ht="21.75" customHeight="1" x14ac:dyDescent="0.4">
      <c r="A169" s="174"/>
      <c r="B169" s="175" t="s">
        <v>85</v>
      </c>
      <c r="C169" s="175"/>
      <c r="D169" s="175"/>
      <c r="E169" s="175"/>
      <c r="F169" s="175"/>
      <c r="G169" s="176"/>
      <c r="H169" s="177" t="s">
        <v>16</v>
      </c>
      <c r="I169" s="178">
        <f ca="1">I180</f>
        <v>0</v>
      </c>
      <c r="J169" s="178">
        <f>+J180</f>
        <v>0</v>
      </c>
      <c r="K169" s="179">
        <f ca="1">IF(I169&gt;0,J169*100/I169,0)</f>
        <v>0</v>
      </c>
      <c r="L169" s="180">
        <f ca="1">L170+L171</f>
        <v>0</v>
      </c>
      <c r="M169" s="180">
        <f>SUM(M170:M171)</f>
        <v>0</v>
      </c>
      <c r="N169" s="179">
        <f ca="1">IF(L169&gt;0,M169*100/L169,0)</f>
        <v>0</v>
      </c>
    </row>
    <row r="170" spans="1:14" ht="21.75" customHeight="1" x14ac:dyDescent="0.4">
      <c r="A170" s="42"/>
      <c r="B170" s="43"/>
      <c r="C170" s="43" t="s">
        <v>17</v>
      </c>
      <c r="D170" s="44" t="s">
        <v>18</v>
      </c>
      <c r="E170" s="45"/>
      <c r="F170" s="45"/>
      <c r="G170" s="46" t="s">
        <v>19</v>
      </c>
      <c r="H170" s="47" t="s">
        <v>20</v>
      </c>
      <c r="I170" s="48" t="s">
        <v>21</v>
      </c>
      <c r="J170" s="48"/>
      <c r="K170" s="49"/>
      <c r="L170" s="50">
        <v>0</v>
      </c>
      <c r="M170" s="50">
        <v>0</v>
      </c>
      <c r="N170" s="50">
        <f t="shared" ref="N170:N173" si="39">+IF(L170&gt;0,M170*100/L170,0)</f>
        <v>0</v>
      </c>
    </row>
    <row r="171" spans="1:14" ht="21.75" customHeight="1" x14ac:dyDescent="0.4">
      <c r="A171" s="42"/>
      <c r="B171" s="43"/>
      <c r="C171" s="43"/>
      <c r="D171" s="51"/>
      <c r="E171" s="45"/>
      <c r="F171" s="45" t="s">
        <v>21</v>
      </c>
      <c r="G171" s="46" t="s">
        <v>22</v>
      </c>
      <c r="H171" s="47" t="s">
        <v>20</v>
      </c>
      <c r="I171" s="48"/>
      <c r="J171" s="48"/>
      <c r="K171" s="49"/>
      <c r="L171" s="50">
        <f t="shared" ref="L171:M171" ca="1" si="40">SUM(L172:L173)</f>
        <v>0</v>
      </c>
      <c r="M171" s="50">
        <f t="shared" si="40"/>
        <v>0</v>
      </c>
      <c r="N171" s="50">
        <f t="shared" ca="1" si="39"/>
        <v>0</v>
      </c>
    </row>
    <row r="172" spans="1:14" ht="21.75" customHeight="1" x14ac:dyDescent="0.4">
      <c r="A172" s="42"/>
      <c r="B172" s="43"/>
      <c r="C172" s="43"/>
      <c r="D172" s="51"/>
      <c r="E172" s="45"/>
      <c r="F172" s="45"/>
      <c r="G172" s="52" t="s">
        <v>23</v>
      </c>
      <c r="H172" s="47" t="s">
        <v>20</v>
      </c>
      <c r="I172" s="48"/>
      <c r="J172" s="67"/>
      <c r="K172" s="233"/>
      <c r="L172" s="53">
        <f ca="1">IFERROR(__xludf.DUMMYFUNCTION("IMPORTRANGE(""https://docs.google.com/spreadsheets/d/1C3CXT74ZlgGe6_JY_1olB1XN4rF0dxEuIIF-xsYjHgg/edit?usp=sharing"",""พรบ!BD20"")"),0)</f>
        <v>0</v>
      </c>
      <c r="M172" s="53">
        <v>0</v>
      </c>
      <c r="N172" s="53">
        <f t="shared" ca="1" si="39"/>
        <v>0</v>
      </c>
    </row>
    <row r="173" spans="1:14" ht="21.75" customHeight="1" x14ac:dyDescent="0.4">
      <c r="A173" s="42"/>
      <c r="B173" s="43"/>
      <c r="C173" s="43"/>
      <c r="D173" s="51"/>
      <c r="E173" s="45"/>
      <c r="F173" s="45"/>
      <c r="G173" s="52" t="s">
        <v>24</v>
      </c>
      <c r="H173" s="47" t="s">
        <v>20</v>
      </c>
      <c r="I173" s="48"/>
      <c r="J173" s="67"/>
      <c r="K173" s="233"/>
      <c r="L173" s="53">
        <f ca="1">IFERROR(__xludf.DUMMYFUNCTION("IMPORTRANGE(""https://docs.google.com/spreadsheets/d/1C3CXT74ZlgGe6_JY_1olB1XN4rF0dxEuIIF-xsYjHgg/edit?usp=sharing"",""พรบ!BE20"")"),0)</f>
        <v>0</v>
      </c>
      <c r="M173" s="53">
        <v>0</v>
      </c>
      <c r="N173" s="53">
        <f t="shared" ca="1" si="39"/>
        <v>0</v>
      </c>
    </row>
    <row r="174" spans="1:14" ht="21.75" customHeight="1" x14ac:dyDescent="0.4">
      <c r="A174" s="55"/>
      <c r="B174" s="56"/>
      <c r="C174" s="43" t="s">
        <v>17</v>
      </c>
      <c r="D174" s="57" t="s">
        <v>25</v>
      </c>
      <c r="E174" s="58"/>
      <c r="F174" s="58"/>
      <c r="G174" s="59"/>
      <c r="H174" s="60"/>
      <c r="I174" s="48"/>
      <c r="J174" s="67"/>
      <c r="K174" s="233"/>
      <c r="L174" s="53"/>
      <c r="M174" s="53"/>
      <c r="N174" s="61"/>
    </row>
    <row r="175" spans="1:14" ht="21.75" customHeight="1" x14ac:dyDescent="0.4">
      <c r="A175" s="55"/>
      <c r="B175" s="56"/>
      <c r="C175" s="56"/>
      <c r="D175" s="62">
        <v>1</v>
      </c>
      <c r="E175" s="63" t="s">
        <v>26</v>
      </c>
      <c r="F175" s="64"/>
      <c r="G175" s="65"/>
      <c r="H175" s="66"/>
      <c r="I175" s="67"/>
      <c r="J175" s="67">
        <v>0</v>
      </c>
      <c r="K175" s="233"/>
      <c r="L175" s="53"/>
      <c r="M175" s="53"/>
      <c r="N175" s="61"/>
    </row>
    <row r="176" spans="1:14" ht="21.75" customHeight="1" x14ac:dyDescent="0.4">
      <c r="A176" s="55"/>
      <c r="B176" s="56"/>
      <c r="C176" s="56"/>
      <c r="D176" s="69">
        <v>2</v>
      </c>
      <c r="E176" s="70" t="s">
        <v>27</v>
      </c>
      <c r="F176" s="71"/>
      <c r="G176" s="72"/>
      <c r="H176" s="66"/>
      <c r="I176" s="67"/>
      <c r="J176" s="67">
        <v>0</v>
      </c>
      <c r="K176" s="233"/>
      <c r="L176" s="53" t="s">
        <v>21</v>
      </c>
      <c r="M176" s="53" t="s">
        <v>21</v>
      </c>
      <c r="N176" s="61"/>
    </row>
    <row r="177" spans="1:14" ht="21.75" customHeight="1" x14ac:dyDescent="0.4">
      <c r="A177" s="55"/>
      <c r="B177" s="56"/>
      <c r="C177" s="56"/>
      <c r="D177" s="73"/>
      <c r="E177" s="74" t="s">
        <v>28</v>
      </c>
      <c r="F177" s="75"/>
      <c r="G177" s="76"/>
      <c r="H177" s="66"/>
      <c r="I177" s="67"/>
      <c r="J177" s="67">
        <v>0</v>
      </c>
      <c r="K177" s="233"/>
      <c r="L177" s="53"/>
      <c r="M177" s="53"/>
      <c r="N177" s="61"/>
    </row>
    <row r="178" spans="1:14" ht="21.75" customHeight="1" x14ac:dyDescent="0.4">
      <c r="A178" s="55"/>
      <c r="B178" s="56"/>
      <c r="C178" s="56"/>
      <c r="D178" s="73"/>
      <c r="E178" s="74" t="s">
        <v>29</v>
      </c>
      <c r="F178" s="75"/>
      <c r="G178" s="76"/>
      <c r="H178" s="66"/>
      <c r="I178" s="67"/>
      <c r="J178" s="67">
        <v>0</v>
      </c>
      <c r="K178" s="233"/>
      <c r="L178" s="53"/>
      <c r="M178" s="53"/>
      <c r="N178" s="61"/>
    </row>
    <row r="179" spans="1:14" ht="21.75" customHeight="1" x14ac:dyDescent="0.4">
      <c r="A179" s="55"/>
      <c r="B179" s="56"/>
      <c r="C179" s="56"/>
      <c r="D179" s="73"/>
      <c r="E179" s="77"/>
      <c r="F179" s="74" t="s">
        <v>86</v>
      </c>
      <c r="G179" s="76"/>
      <c r="H179" s="60" t="s">
        <v>40</v>
      </c>
      <c r="I179" s="67">
        <f ca="1">IFERROR(__xludf.DUMMYFUNCTION("IMPORTRANGE(""https://docs.google.com/spreadsheets/d/1C3CXT74ZlgGe6_JY_1olB1XN4rF0dxEuIIF-xsYjHgg/edit?usp=sharing"",""พรบ!BF20"")"),0)</f>
        <v>0</v>
      </c>
      <c r="J179" s="67">
        <v>0</v>
      </c>
      <c r="K179" s="233">
        <f t="shared" ref="K179:K182" ca="1" si="41">IF(I179&gt;0,J179*100/I179,0)</f>
        <v>0</v>
      </c>
      <c r="L179" s="53"/>
      <c r="M179" s="53"/>
      <c r="N179" s="61"/>
    </row>
    <row r="180" spans="1:14" ht="21.75" customHeight="1" x14ac:dyDescent="0.4">
      <c r="A180" s="55"/>
      <c r="B180" s="56"/>
      <c r="C180" s="56"/>
      <c r="D180" s="73"/>
      <c r="E180" s="77"/>
      <c r="F180" s="74" t="s">
        <v>87</v>
      </c>
      <c r="G180" s="76"/>
      <c r="H180" s="60" t="s">
        <v>16</v>
      </c>
      <c r="I180" s="67">
        <f ca="1">IFERROR(__xludf.DUMMYFUNCTION("IMPORTRANGE(""https://docs.google.com/spreadsheets/d/1C3CXT74ZlgGe6_JY_1olB1XN4rF0dxEuIIF-xsYjHgg/edit?usp=sharing"",""พรบ!BG20"")"),0)</f>
        <v>0</v>
      </c>
      <c r="J180" s="67">
        <v>0</v>
      </c>
      <c r="K180" s="233">
        <f t="shared" ca="1" si="41"/>
        <v>0</v>
      </c>
      <c r="L180" s="53"/>
      <c r="M180" s="53"/>
      <c r="N180" s="61"/>
    </row>
    <row r="181" spans="1:14" ht="21.75" customHeight="1" x14ac:dyDescent="0.4">
      <c r="A181" s="55"/>
      <c r="B181" s="56"/>
      <c r="C181" s="56"/>
      <c r="D181" s="73"/>
      <c r="E181" s="77"/>
      <c r="F181" s="74" t="s">
        <v>88</v>
      </c>
      <c r="G181" s="76"/>
      <c r="H181" s="60" t="s">
        <v>16</v>
      </c>
      <c r="I181" s="67">
        <f ca="1">IFERROR(__xludf.DUMMYFUNCTION("IMPORTRANGE(""https://docs.google.com/spreadsheets/d/1C3CXT74ZlgGe6_JY_1olB1XN4rF0dxEuIIF-xsYjHgg/edit?usp=sharing"",""พรบ!BH20"")"),0)</f>
        <v>0</v>
      </c>
      <c r="J181" s="67">
        <v>0</v>
      </c>
      <c r="K181" s="233">
        <f t="shared" ca="1" si="41"/>
        <v>0</v>
      </c>
      <c r="L181" s="53"/>
      <c r="M181" s="53"/>
      <c r="N181" s="61"/>
    </row>
    <row r="182" spans="1:14" ht="21.75" customHeight="1" x14ac:dyDescent="0.4">
      <c r="A182" s="55"/>
      <c r="B182" s="56"/>
      <c r="C182" s="56"/>
      <c r="D182" s="73"/>
      <c r="E182" s="77"/>
      <c r="F182" s="74" t="s">
        <v>89</v>
      </c>
      <c r="G182" s="76"/>
      <c r="H182" s="60" t="s">
        <v>16</v>
      </c>
      <c r="I182" s="67">
        <f ca="1">IFERROR(__xludf.DUMMYFUNCTION("IMPORTRANGE(""https://docs.google.com/spreadsheets/d/1C3CXT74ZlgGe6_JY_1olB1XN4rF0dxEuIIF-xsYjHgg/edit?usp=sharing"",""พรบ!BI20"")"),0)</f>
        <v>0</v>
      </c>
      <c r="J182" s="67">
        <v>0</v>
      </c>
      <c r="K182" s="233">
        <f t="shared" ca="1" si="41"/>
        <v>0</v>
      </c>
      <c r="L182" s="53"/>
      <c r="M182" s="53"/>
      <c r="N182" s="61"/>
    </row>
    <row r="183" spans="1:14" ht="21.75" customHeight="1" x14ac:dyDescent="0.4">
      <c r="A183" s="55"/>
      <c r="B183" s="56"/>
      <c r="C183" s="56"/>
      <c r="D183" s="73"/>
      <c r="E183" s="74" t="s">
        <v>35</v>
      </c>
      <c r="F183" s="75"/>
      <c r="G183" s="76"/>
      <c r="H183" s="66"/>
      <c r="I183" s="67"/>
      <c r="J183" s="67">
        <v>0</v>
      </c>
      <c r="K183" s="233"/>
      <c r="L183" s="53"/>
      <c r="M183" s="53"/>
      <c r="N183" s="61"/>
    </row>
    <row r="184" spans="1:14" ht="21.75" customHeight="1" x14ac:dyDescent="0.4">
      <c r="A184" s="105"/>
      <c r="B184" s="106"/>
      <c r="C184" s="106"/>
      <c r="D184" s="107">
        <v>3</v>
      </c>
      <c r="E184" s="108" t="s">
        <v>36</v>
      </c>
      <c r="F184" s="109"/>
      <c r="G184" s="110"/>
      <c r="H184" s="111"/>
      <c r="I184" s="112"/>
      <c r="J184" s="356">
        <v>0</v>
      </c>
      <c r="K184" s="357"/>
      <c r="L184" s="358"/>
      <c r="M184" s="358"/>
      <c r="N184" s="115"/>
    </row>
    <row r="185" spans="1:14" ht="21.75" customHeight="1" x14ac:dyDescent="0.4">
      <c r="A185" s="174"/>
      <c r="B185" s="175" t="s">
        <v>90</v>
      </c>
      <c r="C185" s="175"/>
      <c r="D185" s="175"/>
      <c r="E185" s="175"/>
      <c r="F185" s="175"/>
      <c r="G185" s="176"/>
      <c r="H185" s="177" t="s">
        <v>16</v>
      </c>
      <c r="I185" s="178">
        <f ca="1">I195</f>
        <v>15</v>
      </c>
      <c r="J185" s="178">
        <f>+J195</f>
        <v>0</v>
      </c>
      <c r="K185" s="179">
        <f ca="1">IF(I185&gt;0,J185*100/I185,0)</f>
        <v>0</v>
      </c>
      <c r="L185" s="180">
        <f ca="1">L186+L187</f>
        <v>319200</v>
      </c>
      <c r="M185" s="180">
        <f>SUM(M186:M187)</f>
        <v>0</v>
      </c>
      <c r="N185" s="179">
        <f ca="1">IF(L185&gt;0,M185*100/L185,0)</f>
        <v>0</v>
      </c>
    </row>
    <row r="186" spans="1:14" ht="21.75" customHeight="1" x14ac:dyDescent="0.4">
      <c r="A186" s="42"/>
      <c r="B186" s="43"/>
      <c r="C186" s="43" t="s">
        <v>17</v>
      </c>
      <c r="D186" s="44" t="s">
        <v>18</v>
      </c>
      <c r="E186" s="45"/>
      <c r="F186" s="45"/>
      <c r="G186" s="46" t="s">
        <v>19</v>
      </c>
      <c r="H186" s="47" t="s">
        <v>20</v>
      </c>
      <c r="I186" s="48" t="s">
        <v>21</v>
      </c>
      <c r="J186" s="48"/>
      <c r="K186" s="49"/>
      <c r="L186" s="50">
        <v>0</v>
      </c>
      <c r="M186" s="50">
        <v>0</v>
      </c>
      <c r="N186" s="50">
        <f t="shared" ref="N186:N189" si="42">+IF(L186&gt;0,M186*100/L186,0)</f>
        <v>0</v>
      </c>
    </row>
    <row r="187" spans="1:14" ht="21.75" customHeight="1" x14ac:dyDescent="0.4">
      <c r="A187" s="42"/>
      <c r="B187" s="43"/>
      <c r="C187" s="43"/>
      <c r="D187" s="51"/>
      <c r="E187" s="45"/>
      <c r="F187" s="45" t="s">
        <v>21</v>
      </c>
      <c r="G187" s="46" t="s">
        <v>22</v>
      </c>
      <c r="H187" s="47" t="s">
        <v>20</v>
      </c>
      <c r="I187" s="48"/>
      <c r="J187" s="48"/>
      <c r="K187" s="49"/>
      <c r="L187" s="50">
        <f t="shared" ref="L187:M187" ca="1" si="43">SUM(L188:L189)</f>
        <v>319200</v>
      </c>
      <c r="M187" s="50">
        <f t="shared" si="43"/>
        <v>0</v>
      </c>
      <c r="N187" s="50">
        <f t="shared" ca="1" si="42"/>
        <v>0</v>
      </c>
    </row>
    <row r="188" spans="1:14" ht="21.75" customHeight="1" x14ac:dyDescent="0.4">
      <c r="A188" s="42"/>
      <c r="B188" s="43"/>
      <c r="C188" s="43"/>
      <c r="D188" s="51"/>
      <c r="E188" s="45"/>
      <c r="F188" s="45"/>
      <c r="G188" s="52" t="s">
        <v>23</v>
      </c>
      <c r="H188" s="47" t="s">
        <v>20</v>
      </c>
      <c r="I188" s="48"/>
      <c r="J188" s="48"/>
      <c r="K188" s="49"/>
      <c r="L188" s="53">
        <f ca="1">IFERROR(__xludf.DUMMYFUNCTION("IMPORTRANGE(""https://docs.google.com/spreadsheets/d/1C3CXT74ZlgGe6_JY_1olB1XN4rF0dxEuIIF-xsYjHgg/edit?usp=sharing"",""พรบ!BK20"")"),264000)</f>
        <v>264000</v>
      </c>
      <c r="M188" s="54">
        <v>0</v>
      </c>
      <c r="N188" s="53">
        <f t="shared" ca="1" si="42"/>
        <v>0</v>
      </c>
    </row>
    <row r="189" spans="1:14" ht="21.75" customHeight="1" x14ac:dyDescent="0.4">
      <c r="A189" s="42"/>
      <c r="B189" s="43"/>
      <c r="C189" s="43"/>
      <c r="D189" s="51"/>
      <c r="E189" s="45"/>
      <c r="F189" s="45"/>
      <c r="G189" s="52" t="s">
        <v>24</v>
      </c>
      <c r="H189" s="47" t="s">
        <v>20</v>
      </c>
      <c r="I189" s="48"/>
      <c r="J189" s="48"/>
      <c r="K189" s="49"/>
      <c r="L189" s="53">
        <f ca="1">IFERROR(__xludf.DUMMYFUNCTION("IMPORTRANGE(""https://docs.google.com/spreadsheets/d/1C3CXT74ZlgGe6_JY_1olB1XN4rF0dxEuIIF-xsYjHgg/edit?usp=sharing"",""พรบ!BL20"")"),55200)</f>
        <v>55200</v>
      </c>
      <c r="M189" s="54">
        <v>0</v>
      </c>
      <c r="N189" s="53">
        <f t="shared" ca="1" si="42"/>
        <v>0</v>
      </c>
    </row>
    <row r="190" spans="1:14" ht="21.75" customHeight="1" x14ac:dyDescent="0.4">
      <c r="A190" s="55"/>
      <c r="B190" s="56"/>
      <c r="C190" s="43" t="s">
        <v>17</v>
      </c>
      <c r="D190" s="57" t="s">
        <v>25</v>
      </c>
      <c r="E190" s="58"/>
      <c r="F190" s="58"/>
      <c r="G190" s="59"/>
      <c r="H190" s="60"/>
      <c r="I190" s="48"/>
      <c r="J190" s="48"/>
      <c r="K190" s="49"/>
      <c r="L190" s="61"/>
      <c r="M190" s="61"/>
      <c r="N190" s="61"/>
    </row>
    <row r="191" spans="1:14" ht="21.75" customHeight="1" x14ac:dyDescent="0.4">
      <c r="A191" s="55"/>
      <c r="B191" s="56"/>
      <c r="C191" s="56"/>
      <c r="D191" s="62">
        <v>1</v>
      </c>
      <c r="E191" s="63" t="s">
        <v>26</v>
      </c>
      <c r="F191" s="64"/>
      <c r="G191" s="65"/>
      <c r="H191" s="66"/>
      <c r="I191" s="67"/>
      <c r="J191" s="68">
        <v>0</v>
      </c>
      <c r="K191" s="49"/>
      <c r="L191" s="61"/>
      <c r="M191" s="61"/>
      <c r="N191" s="61"/>
    </row>
    <row r="192" spans="1:14" ht="21.75" customHeight="1" x14ac:dyDescent="0.4">
      <c r="A192" s="55"/>
      <c r="B192" s="56"/>
      <c r="C192" s="56"/>
      <c r="D192" s="69">
        <v>2</v>
      </c>
      <c r="E192" s="70" t="s">
        <v>27</v>
      </c>
      <c r="F192" s="71"/>
      <c r="G192" s="72"/>
      <c r="H192" s="66"/>
      <c r="I192" s="67"/>
      <c r="J192" s="68">
        <v>1</v>
      </c>
      <c r="K192" s="49"/>
      <c r="L192" s="61"/>
      <c r="M192" s="61"/>
      <c r="N192" s="61"/>
    </row>
    <row r="193" spans="1:14" ht="21.75" customHeight="1" x14ac:dyDescent="0.4">
      <c r="A193" s="55"/>
      <c r="B193" s="56"/>
      <c r="C193" s="56"/>
      <c r="D193" s="73"/>
      <c r="E193" s="74" t="s">
        <v>28</v>
      </c>
      <c r="F193" s="75"/>
      <c r="G193" s="76"/>
      <c r="H193" s="66"/>
      <c r="I193" s="67"/>
      <c r="J193" s="68">
        <v>1</v>
      </c>
      <c r="K193" s="49"/>
      <c r="L193" s="61"/>
      <c r="M193" s="61"/>
      <c r="N193" s="61"/>
    </row>
    <row r="194" spans="1:14" ht="21.75" customHeight="1" x14ac:dyDescent="0.4">
      <c r="A194" s="55"/>
      <c r="B194" s="56"/>
      <c r="C194" s="56"/>
      <c r="D194" s="73"/>
      <c r="E194" s="74" t="s">
        <v>29</v>
      </c>
      <c r="F194" s="75"/>
      <c r="G194" s="76"/>
      <c r="H194" s="66"/>
      <c r="I194" s="67"/>
      <c r="J194" s="68">
        <v>0</v>
      </c>
      <c r="K194" s="49"/>
      <c r="L194" s="61"/>
      <c r="M194" s="61"/>
      <c r="N194" s="61"/>
    </row>
    <row r="195" spans="1:14" ht="21.75" customHeight="1" x14ac:dyDescent="0.4">
      <c r="A195" s="55"/>
      <c r="B195" s="56"/>
      <c r="C195" s="56"/>
      <c r="D195" s="73"/>
      <c r="E195" s="75"/>
      <c r="F195" s="74" t="s">
        <v>91</v>
      </c>
      <c r="G195" s="76"/>
      <c r="H195" s="66" t="s">
        <v>16</v>
      </c>
      <c r="I195" s="67">
        <f ca="1">IFERROR(__xludf.DUMMYFUNCTION("IMPORTRANGE(""https://docs.google.com/spreadsheets/d/1C3CXT74ZlgGe6_JY_1olB1XN4rF0dxEuIIF-xsYjHgg/edit?usp=sharing"",""พรบ!BM20"")"),15)</f>
        <v>15</v>
      </c>
      <c r="J195" s="68">
        <v>0</v>
      </c>
      <c r="K195" s="49">
        <f ca="1">IF(I195&gt;0,J195*100/I195,0)</f>
        <v>0</v>
      </c>
      <c r="L195" s="61"/>
      <c r="M195" s="61"/>
      <c r="N195" s="61"/>
    </row>
    <row r="196" spans="1:14" ht="21.75" customHeight="1" x14ac:dyDescent="0.4">
      <c r="A196" s="55"/>
      <c r="B196" s="56"/>
      <c r="C196" s="56"/>
      <c r="D196" s="73"/>
      <c r="E196" s="74" t="s">
        <v>35</v>
      </c>
      <c r="F196" s="75"/>
      <c r="G196" s="76"/>
      <c r="H196" s="66"/>
      <c r="I196" s="67"/>
      <c r="J196" s="68">
        <v>0</v>
      </c>
      <c r="K196" s="49"/>
      <c r="L196" s="61"/>
      <c r="M196" s="61"/>
      <c r="N196" s="61"/>
    </row>
    <row r="197" spans="1:14" ht="21.75" customHeight="1" x14ac:dyDescent="0.4">
      <c r="A197" s="55"/>
      <c r="B197" s="56"/>
      <c r="C197" s="56"/>
      <c r="D197" s="81">
        <v>3</v>
      </c>
      <c r="E197" s="82" t="s">
        <v>36</v>
      </c>
      <c r="F197" s="83"/>
      <c r="G197" s="84"/>
      <c r="H197" s="66"/>
      <c r="I197" s="67"/>
      <c r="J197" s="85">
        <v>0</v>
      </c>
      <c r="K197" s="49"/>
      <c r="L197" s="61"/>
      <c r="M197" s="61"/>
      <c r="N197" s="61"/>
    </row>
    <row r="198" spans="1:14" ht="21.75" customHeight="1" x14ac:dyDescent="0.4">
      <c r="A198" s="166" t="s">
        <v>92</v>
      </c>
      <c r="B198" s="167"/>
      <c r="C198" s="167"/>
      <c r="D198" s="168"/>
      <c r="E198" s="167"/>
      <c r="F198" s="167"/>
      <c r="G198" s="181"/>
      <c r="H198" s="182"/>
      <c r="I198" s="183"/>
      <c r="J198" s="183"/>
      <c r="K198" s="184"/>
      <c r="L198" s="184"/>
      <c r="M198" s="184"/>
      <c r="N198" s="173"/>
    </row>
    <row r="199" spans="1:14" ht="21.75" customHeight="1" x14ac:dyDescent="0.4">
      <c r="A199" s="185"/>
      <c r="B199" s="175" t="s">
        <v>93</v>
      </c>
      <c r="C199" s="186"/>
      <c r="D199" s="187"/>
      <c r="E199" s="175"/>
      <c r="F199" s="175"/>
      <c r="G199" s="176"/>
      <c r="H199" s="177" t="s">
        <v>16</v>
      </c>
      <c r="I199" s="178">
        <f t="shared" ref="I199:J199" ca="1" si="44">I209</f>
        <v>0</v>
      </c>
      <c r="J199" s="178">
        <f t="shared" si="44"/>
        <v>0</v>
      </c>
      <c r="K199" s="179">
        <f ca="1">IF(I199&gt;0,J199*100/I199,0)</f>
        <v>0</v>
      </c>
      <c r="L199" s="180">
        <f ca="1">L200+L201</f>
        <v>0</v>
      </c>
      <c r="M199" s="180">
        <f>SUM(M200:M201)</f>
        <v>0</v>
      </c>
      <c r="N199" s="179">
        <f ca="1">IF(L199&gt;0,M199*100/L199,0)</f>
        <v>0</v>
      </c>
    </row>
    <row r="200" spans="1:14" ht="21.75" customHeight="1" x14ac:dyDescent="0.4">
      <c r="A200" s="42"/>
      <c r="B200" s="43"/>
      <c r="C200" s="43" t="s">
        <v>17</v>
      </c>
      <c r="D200" s="44" t="s">
        <v>18</v>
      </c>
      <c r="E200" s="45"/>
      <c r="F200" s="45"/>
      <c r="G200" s="46" t="s">
        <v>19</v>
      </c>
      <c r="H200" s="47" t="s">
        <v>20</v>
      </c>
      <c r="I200" s="48" t="s">
        <v>21</v>
      </c>
      <c r="J200" s="48"/>
      <c r="K200" s="49"/>
      <c r="L200" s="50">
        <v>0</v>
      </c>
      <c r="M200" s="50">
        <v>0</v>
      </c>
      <c r="N200" s="50">
        <f t="shared" ref="N200:N203" si="45">+IF(L200&gt;0,M200*100/L200,0)</f>
        <v>0</v>
      </c>
    </row>
    <row r="201" spans="1:14" ht="21.75" customHeight="1" x14ac:dyDescent="0.4">
      <c r="A201" s="42"/>
      <c r="B201" s="43"/>
      <c r="C201" s="43"/>
      <c r="D201" s="51"/>
      <c r="E201" s="45"/>
      <c r="F201" s="45" t="s">
        <v>21</v>
      </c>
      <c r="G201" s="46" t="s">
        <v>22</v>
      </c>
      <c r="H201" s="47" t="s">
        <v>20</v>
      </c>
      <c r="I201" s="48"/>
      <c r="J201" s="48"/>
      <c r="K201" s="49"/>
      <c r="L201" s="50">
        <f t="shared" ref="L201:M201" ca="1" si="46">SUM(L202:L203)</f>
        <v>0</v>
      </c>
      <c r="M201" s="50">
        <f t="shared" si="46"/>
        <v>0</v>
      </c>
      <c r="N201" s="50">
        <f t="shared" ca="1" si="45"/>
        <v>0</v>
      </c>
    </row>
    <row r="202" spans="1:14" ht="21.75" customHeight="1" x14ac:dyDescent="0.4">
      <c r="A202" s="42"/>
      <c r="B202" s="43"/>
      <c r="C202" s="43"/>
      <c r="D202" s="51"/>
      <c r="E202" s="45"/>
      <c r="F202" s="45"/>
      <c r="G202" s="52" t="s">
        <v>23</v>
      </c>
      <c r="H202" s="47" t="s">
        <v>20</v>
      </c>
      <c r="I202" s="48"/>
      <c r="J202" s="48"/>
      <c r="K202" s="49"/>
      <c r="L202" s="53">
        <v>0</v>
      </c>
      <c r="M202" s="53">
        <v>0</v>
      </c>
      <c r="N202" s="53">
        <f t="shared" si="45"/>
        <v>0</v>
      </c>
    </row>
    <row r="203" spans="1:14" ht="21.75" customHeight="1" x14ac:dyDescent="0.4">
      <c r="A203" s="42"/>
      <c r="B203" s="43"/>
      <c r="C203" s="43"/>
      <c r="D203" s="51"/>
      <c r="E203" s="45"/>
      <c r="F203" s="45"/>
      <c r="G203" s="52" t="s">
        <v>24</v>
      </c>
      <c r="H203" s="47" t="s">
        <v>20</v>
      </c>
      <c r="I203" s="48"/>
      <c r="J203" s="67"/>
      <c r="K203" s="233"/>
      <c r="L203" s="53">
        <f ca="1">IFERROR(__xludf.DUMMYFUNCTION("IMPORTRANGE(""https://docs.google.com/spreadsheets/d/1C3CXT74ZlgGe6_JY_1olB1XN4rF0dxEuIIF-xsYjHgg/edit?usp=sharing"",""พรบ!BP20"")"),0)</f>
        <v>0</v>
      </c>
      <c r="M203" s="53">
        <v>0</v>
      </c>
      <c r="N203" s="53">
        <f t="shared" ca="1" si="45"/>
        <v>0</v>
      </c>
    </row>
    <row r="204" spans="1:14" ht="21.75" customHeight="1" x14ac:dyDescent="0.4">
      <c r="A204" s="55"/>
      <c r="B204" s="56"/>
      <c r="C204" s="43" t="s">
        <v>17</v>
      </c>
      <c r="D204" s="57" t="s">
        <v>25</v>
      </c>
      <c r="E204" s="58"/>
      <c r="F204" s="58"/>
      <c r="G204" s="59"/>
      <c r="H204" s="60"/>
      <c r="I204" s="48"/>
      <c r="J204" s="67"/>
      <c r="K204" s="233"/>
      <c r="L204" s="53"/>
      <c r="M204" s="53"/>
      <c r="N204" s="61"/>
    </row>
    <row r="205" spans="1:14" ht="21.75" customHeight="1" x14ac:dyDescent="0.4">
      <c r="A205" s="55"/>
      <c r="B205" s="56"/>
      <c r="C205" s="56"/>
      <c r="D205" s="62">
        <v>1</v>
      </c>
      <c r="E205" s="63" t="s">
        <v>26</v>
      </c>
      <c r="F205" s="64"/>
      <c r="G205" s="65"/>
      <c r="H205" s="66"/>
      <c r="I205" s="67"/>
      <c r="J205" s="67">
        <v>0</v>
      </c>
      <c r="K205" s="233"/>
      <c r="L205" s="53"/>
      <c r="M205" s="53"/>
      <c r="N205" s="61"/>
    </row>
    <row r="206" spans="1:14" ht="21.75" customHeight="1" x14ac:dyDescent="0.4">
      <c r="A206" s="55"/>
      <c r="B206" s="56"/>
      <c r="C206" s="56"/>
      <c r="D206" s="69">
        <v>2</v>
      </c>
      <c r="E206" s="70" t="s">
        <v>27</v>
      </c>
      <c r="F206" s="71"/>
      <c r="G206" s="72"/>
      <c r="H206" s="66"/>
      <c r="I206" s="67"/>
      <c r="J206" s="67">
        <v>0</v>
      </c>
      <c r="K206" s="233"/>
      <c r="L206" s="53" t="s">
        <v>21</v>
      </c>
      <c r="M206" s="53" t="s">
        <v>21</v>
      </c>
      <c r="N206" s="61"/>
    </row>
    <row r="207" spans="1:14" ht="21.75" customHeight="1" x14ac:dyDescent="0.4">
      <c r="A207" s="55"/>
      <c r="B207" s="56"/>
      <c r="C207" s="56"/>
      <c r="D207" s="73"/>
      <c r="E207" s="74" t="s">
        <v>28</v>
      </c>
      <c r="F207" s="75"/>
      <c r="G207" s="76"/>
      <c r="H207" s="66"/>
      <c r="I207" s="67"/>
      <c r="J207" s="67">
        <v>0</v>
      </c>
      <c r="K207" s="233"/>
      <c r="L207" s="53"/>
      <c r="M207" s="53"/>
      <c r="N207" s="61"/>
    </row>
    <row r="208" spans="1:14" ht="21.75" customHeight="1" x14ac:dyDescent="0.4">
      <c r="A208" s="55"/>
      <c r="B208" s="56"/>
      <c r="C208" s="56"/>
      <c r="D208" s="73"/>
      <c r="E208" s="74" t="s">
        <v>29</v>
      </c>
      <c r="F208" s="75"/>
      <c r="G208" s="76"/>
      <c r="H208" s="66"/>
      <c r="I208" s="67"/>
      <c r="J208" s="67">
        <v>0</v>
      </c>
      <c r="K208" s="233"/>
      <c r="L208" s="53"/>
      <c r="M208" s="53"/>
      <c r="N208" s="61"/>
    </row>
    <row r="209" spans="1:14" ht="21.75" customHeight="1" x14ac:dyDescent="0.4">
      <c r="A209" s="55"/>
      <c r="B209" s="56"/>
      <c r="C209" s="56"/>
      <c r="D209" s="73"/>
      <c r="E209" s="77"/>
      <c r="F209" s="74" t="s">
        <v>94</v>
      </c>
      <c r="G209" s="76"/>
      <c r="H209" s="60" t="s">
        <v>16</v>
      </c>
      <c r="I209" s="67">
        <f ca="1">IFERROR(__xludf.DUMMYFUNCTION("IMPORTRANGE(""https://docs.google.com/spreadsheets/d/1C3CXT74ZlgGe6_JY_1olB1XN4rF0dxEuIIF-xsYjHgg/edit?usp=sharing"",""พรบ!BQ20"")"),0)</f>
        <v>0</v>
      </c>
      <c r="J209" s="67">
        <v>0</v>
      </c>
      <c r="K209" s="233">
        <f ca="1">IF(I209&gt;0,J209*100/I209,0)</f>
        <v>0</v>
      </c>
      <c r="L209" s="53"/>
      <c r="M209" s="53"/>
      <c r="N209" s="61"/>
    </row>
    <row r="210" spans="1:14" ht="21.75" customHeight="1" x14ac:dyDescent="0.4">
      <c r="A210" s="55"/>
      <c r="B210" s="56"/>
      <c r="C210" s="56"/>
      <c r="D210" s="73"/>
      <c r="E210" s="77"/>
      <c r="F210" s="74" t="s">
        <v>95</v>
      </c>
      <c r="G210" s="76"/>
      <c r="H210" s="60"/>
      <c r="I210" s="67"/>
      <c r="J210" s="67"/>
      <c r="K210" s="233"/>
      <c r="L210" s="53"/>
      <c r="M210" s="53"/>
      <c r="N210" s="61"/>
    </row>
    <row r="211" spans="1:14" ht="21.75" customHeight="1" x14ac:dyDescent="0.4">
      <c r="A211" s="55"/>
      <c r="B211" s="56"/>
      <c r="C211" s="56"/>
      <c r="D211" s="73"/>
      <c r="E211" s="77"/>
      <c r="F211" s="75" t="s">
        <v>34</v>
      </c>
      <c r="G211" s="76"/>
      <c r="H211" s="60" t="s">
        <v>16</v>
      </c>
      <c r="I211" s="67">
        <f ca="1">IFERROR(__xludf.DUMMYFUNCTION("IMPORTRANGE(""https://docs.google.com/spreadsheets/d/1C3CXT74ZlgGe6_JY_1olB1XN4rF0dxEuIIF-xsYjHgg/edit?usp=sharing"",""พรบ!BR20"")"),0)</f>
        <v>0</v>
      </c>
      <c r="J211" s="67">
        <v>0</v>
      </c>
      <c r="K211" s="233">
        <f ca="1">IF(I211&gt;0,J211*100/I211,0)</f>
        <v>0</v>
      </c>
      <c r="L211" s="53"/>
      <c r="M211" s="53"/>
      <c r="N211" s="61"/>
    </row>
    <row r="212" spans="1:14" ht="21.75" customHeight="1" x14ac:dyDescent="0.4">
      <c r="A212" s="55"/>
      <c r="B212" s="56"/>
      <c r="C212" s="56"/>
      <c r="D212" s="73"/>
      <c r="E212" s="74" t="s">
        <v>35</v>
      </c>
      <c r="F212" s="75"/>
      <c r="G212" s="76"/>
      <c r="H212" s="66"/>
      <c r="I212" s="67"/>
      <c r="J212" s="67">
        <v>0</v>
      </c>
      <c r="K212" s="233"/>
      <c r="L212" s="53"/>
      <c r="M212" s="53"/>
      <c r="N212" s="61"/>
    </row>
    <row r="213" spans="1:14" ht="21.75" customHeight="1" x14ac:dyDescent="0.4">
      <c r="A213" s="55"/>
      <c r="B213" s="56"/>
      <c r="C213" s="56"/>
      <c r="D213" s="81">
        <v>3</v>
      </c>
      <c r="E213" s="82" t="s">
        <v>36</v>
      </c>
      <c r="F213" s="83"/>
      <c r="G213" s="84"/>
      <c r="H213" s="66"/>
      <c r="I213" s="67"/>
      <c r="J213" s="385">
        <v>0</v>
      </c>
      <c r="K213" s="233"/>
      <c r="L213" s="53"/>
      <c r="M213" s="53"/>
      <c r="N213" s="61"/>
    </row>
    <row r="214" spans="1:14" ht="21.75" customHeight="1" x14ac:dyDescent="0.4">
      <c r="A214" s="189"/>
      <c r="B214" s="190" t="s">
        <v>96</v>
      </c>
      <c r="C214" s="191"/>
      <c r="D214" s="192"/>
      <c r="E214" s="190"/>
      <c r="F214" s="190"/>
      <c r="G214" s="193"/>
      <c r="H214" s="194" t="s">
        <v>97</v>
      </c>
      <c r="I214" s="195">
        <f t="shared" ref="I214:J214" ca="1" si="47">I224</f>
        <v>1</v>
      </c>
      <c r="J214" s="195">
        <f t="shared" si="47"/>
        <v>0</v>
      </c>
      <c r="K214" s="196">
        <f ca="1">IF(I214&gt;0,J214*100/I214,0)</f>
        <v>0</v>
      </c>
      <c r="L214" s="197">
        <f ca="1">L215+L216</f>
        <v>194600</v>
      </c>
      <c r="M214" s="197">
        <f>SUM(M215:M216)</f>
        <v>0</v>
      </c>
      <c r="N214" s="196">
        <f ca="1">IF(L214&gt;0,M214*100/L214,0)</f>
        <v>0</v>
      </c>
    </row>
    <row r="215" spans="1:14" ht="21.75" customHeight="1" x14ac:dyDescent="0.4">
      <c r="A215" s="42"/>
      <c r="B215" s="43"/>
      <c r="C215" s="43" t="s">
        <v>17</v>
      </c>
      <c r="D215" s="44" t="s">
        <v>18</v>
      </c>
      <c r="E215" s="45"/>
      <c r="F215" s="45"/>
      <c r="G215" s="46" t="s">
        <v>19</v>
      </c>
      <c r="H215" s="47" t="s">
        <v>20</v>
      </c>
      <c r="I215" s="48" t="s">
        <v>21</v>
      </c>
      <c r="J215" s="48"/>
      <c r="K215" s="49"/>
      <c r="L215" s="50">
        <v>0</v>
      </c>
      <c r="M215" s="53">
        <v>0</v>
      </c>
      <c r="N215" s="53">
        <f t="shared" ref="N215:N218" si="48">+IF(L215&gt;0,M215*100/L215,0)</f>
        <v>0</v>
      </c>
    </row>
    <row r="216" spans="1:14" ht="21.75" customHeight="1" x14ac:dyDescent="0.4">
      <c r="A216" s="42"/>
      <c r="B216" s="43"/>
      <c r="C216" s="43"/>
      <c r="D216" s="51"/>
      <c r="E216" s="45"/>
      <c r="F216" s="45" t="s">
        <v>21</v>
      </c>
      <c r="G216" s="46" t="s">
        <v>22</v>
      </c>
      <c r="H216" s="47" t="s">
        <v>20</v>
      </c>
      <c r="I216" s="48"/>
      <c r="J216" s="48"/>
      <c r="K216" s="49"/>
      <c r="L216" s="50">
        <f t="shared" ref="L216:M216" ca="1" si="49">SUM(L217:L218)</f>
        <v>194600</v>
      </c>
      <c r="M216" s="53">
        <f t="shared" si="49"/>
        <v>0</v>
      </c>
      <c r="N216" s="53">
        <f t="shared" ca="1" si="48"/>
        <v>0</v>
      </c>
    </row>
    <row r="217" spans="1:14" ht="21.75" customHeight="1" x14ac:dyDescent="0.4">
      <c r="A217" s="42"/>
      <c r="B217" s="43"/>
      <c r="C217" s="43"/>
      <c r="D217" s="51"/>
      <c r="E217" s="45"/>
      <c r="F217" s="45"/>
      <c r="G217" s="52" t="s">
        <v>23</v>
      </c>
      <c r="H217" s="47" t="s">
        <v>20</v>
      </c>
      <c r="I217" s="48"/>
      <c r="J217" s="48"/>
      <c r="K217" s="49"/>
      <c r="L217" s="53">
        <v>0</v>
      </c>
      <c r="M217" s="53">
        <v>0</v>
      </c>
      <c r="N217" s="53">
        <f t="shared" si="48"/>
        <v>0</v>
      </c>
    </row>
    <row r="218" spans="1:14" ht="21.75" customHeight="1" x14ac:dyDescent="0.4">
      <c r="A218" s="42"/>
      <c r="B218" s="43"/>
      <c r="C218" s="43"/>
      <c r="D218" s="51"/>
      <c r="E218" s="45"/>
      <c r="F218" s="45"/>
      <c r="G218" s="52" t="s">
        <v>24</v>
      </c>
      <c r="H218" s="47" t="s">
        <v>20</v>
      </c>
      <c r="I218" s="48"/>
      <c r="J218" s="48"/>
      <c r="K218" s="49"/>
      <c r="L218" s="53">
        <f ca="1">IFERROR(__xludf.DUMMYFUNCTION("IMPORTRANGE(""https://docs.google.com/spreadsheets/d/1C3CXT74ZlgGe6_JY_1olB1XN4rF0dxEuIIF-xsYjHgg/edit?usp=sharing"",""พรบ!BU20"")"),194600)</f>
        <v>194600</v>
      </c>
      <c r="M218" s="54">
        <v>0</v>
      </c>
      <c r="N218" s="53">
        <f t="shared" ca="1" si="48"/>
        <v>0</v>
      </c>
    </row>
    <row r="219" spans="1:14" ht="21.75" customHeight="1" x14ac:dyDescent="0.4">
      <c r="A219" s="55"/>
      <c r="B219" s="56"/>
      <c r="C219" s="43" t="s">
        <v>17</v>
      </c>
      <c r="D219" s="57" t="s">
        <v>25</v>
      </c>
      <c r="E219" s="58"/>
      <c r="F219" s="58"/>
      <c r="G219" s="59"/>
      <c r="H219" s="60"/>
      <c r="I219" s="48"/>
      <c r="J219" s="48"/>
      <c r="K219" s="49"/>
      <c r="L219" s="61"/>
      <c r="M219" s="61"/>
      <c r="N219" s="61"/>
    </row>
    <row r="220" spans="1:14" ht="21.75" customHeight="1" x14ac:dyDescent="0.4">
      <c r="A220" s="55"/>
      <c r="B220" s="56"/>
      <c r="C220" s="56"/>
      <c r="D220" s="62">
        <v>1</v>
      </c>
      <c r="E220" s="63" t="s">
        <v>26</v>
      </c>
      <c r="F220" s="64"/>
      <c r="G220" s="65"/>
      <c r="H220" s="66"/>
      <c r="I220" s="67"/>
      <c r="J220" s="68">
        <v>0</v>
      </c>
      <c r="K220" s="49"/>
      <c r="L220" s="61"/>
      <c r="M220" s="61"/>
      <c r="N220" s="61"/>
    </row>
    <row r="221" spans="1:14" ht="21.75" customHeight="1" x14ac:dyDescent="0.4">
      <c r="A221" s="55"/>
      <c r="B221" s="56"/>
      <c r="C221" s="56"/>
      <c r="D221" s="69">
        <v>2</v>
      </c>
      <c r="E221" s="70" t="s">
        <v>27</v>
      </c>
      <c r="F221" s="71"/>
      <c r="G221" s="72"/>
      <c r="H221" s="66"/>
      <c r="I221" s="67"/>
      <c r="J221" s="68">
        <v>0</v>
      </c>
      <c r="K221" s="49"/>
      <c r="L221" s="61" t="s">
        <v>21</v>
      </c>
      <c r="M221" s="61" t="s">
        <v>21</v>
      </c>
      <c r="N221" s="61"/>
    </row>
    <row r="222" spans="1:14" ht="21.75" customHeight="1" x14ac:dyDescent="0.4">
      <c r="A222" s="55"/>
      <c r="B222" s="56"/>
      <c r="C222" s="56"/>
      <c r="D222" s="73"/>
      <c r="E222" s="74" t="s">
        <v>28</v>
      </c>
      <c r="F222" s="75"/>
      <c r="G222" s="76"/>
      <c r="H222" s="66"/>
      <c r="I222" s="67"/>
      <c r="J222" s="68">
        <v>0</v>
      </c>
      <c r="K222" s="49"/>
      <c r="L222" s="61"/>
      <c r="M222" s="61"/>
      <c r="N222" s="61"/>
    </row>
    <row r="223" spans="1:14" ht="21.75" customHeight="1" x14ac:dyDescent="0.4">
      <c r="A223" s="55"/>
      <c r="B223" s="56"/>
      <c r="C223" s="56"/>
      <c r="D223" s="73"/>
      <c r="E223" s="74" t="s">
        <v>29</v>
      </c>
      <c r="F223" s="75"/>
      <c r="G223" s="76"/>
      <c r="H223" s="66"/>
      <c r="I223" s="67"/>
      <c r="J223" s="68">
        <v>0</v>
      </c>
      <c r="K223" s="49"/>
      <c r="L223" s="61"/>
      <c r="M223" s="61"/>
      <c r="N223" s="61"/>
    </row>
    <row r="224" spans="1:14" ht="21.75" customHeight="1" x14ac:dyDescent="0.4">
      <c r="A224" s="55"/>
      <c r="B224" s="56"/>
      <c r="C224" s="56"/>
      <c r="D224" s="73"/>
      <c r="E224" s="77"/>
      <c r="F224" s="74" t="s">
        <v>98</v>
      </c>
      <c r="G224" s="76"/>
      <c r="H224" s="66" t="s">
        <v>97</v>
      </c>
      <c r="I224" s="67">
        <f ca="1">IFERROR(__xludf.DUMMYFUNCTION("IMPORTRANGE(""https://docs.google.com/spreadsheets/d/1C3CXT74ZlgGe6_JY_1olB1XN4rF0dxEuIIF-xsYjHgg/edit?usp=sharing"",""พรบ!BV20"")"),1)</f>
        <v>1</v>
      </c>
      <c r="J224" s="68">
        <v>0</v>
      </c>
      <c r="K224" s="49">
        <f ca="1">IF(I224&gt;0,J224*100/I224,0)</f>
        <v>0</v>
      </c>
      <c r="L224" s="61"/>
      <c r="M224" s="61"/>
      <c r="N224" s="61"/>
    </row>
    <row r="225" spans="1:14" ht="21.75" customHeight="1" x14ac:dyDescent="0.4">
      <c r="A225" s="55"/>
      <c r="B225" s="56"/>
      <c r="C225" s="56"/>
      <c r="D225" s="73"/>
      <c r="E225" s="74" t="s">
        <v>35</v>
      </c>
      <c r="F225" s="75"/>
      <c r="G225" s="76"/>
      <c r="H225" s="66"/>
      <c r="I225" s="67"/>
      <c r="J225" s="68">
        <v>0</v>
      </c>
      <c r="K225" s="49"/>
      <c r="L225" s="61"/>
      <c r="M225" s="61"/>
      <c r="N225" s="61"/>
    </row>
    <row r="226" spans="1:14" ht="21.75" customHeight="1" x14ac:dyDescent="0.4">
      <c r="A226" s="55"/>
      <c r="B226" s="56"/>
      <c r="C226" s="56"/>
      <c r="D226" s="81">
        <v>3</v>
      </c>
      <c r="E226" s="82" t="s">
        <v>36</v>
      </c>
      <c r="F226" s="83"/>
      <c r="G226" s="84"/>
      <c r="H226" s="66"/>
      <c r="I226" s="67"/>
      <c r="J226" s="85">
        <v>0</v>
      </c>
      <c r="K226" s="49"/>
      <c r="L226" s="61"/>
      <c r="M226" s="61"/>
      <c r="N226" s="61"/>
    </row>
    <row r="227" spans="1:14" ht="21.75" customHeight="1" x14ac:dyDescent="0.4">
      <c r="A227" s="166" t="s">
        <v>99</v>
      </c>
      <c r="B227" s="167"/>
      <c r="C227" s="167"/>
      <c r="D227" s="168"/>
      <c r="E227" s="167"/>
      <c r="F227" s="167"/>
      <c r="G227" s="181"/>
      <c r="H227" s="170"/>
      <c r="I227" s="171"/>
      <c r="J227" s="171"/>
      <c r="K227" s="172"/>
      <c r="L227" s="172"/>
      <c r="M227" s="172"/>
      <c r="N227" s="173"/>
    </row>
    <row r="228" spans="1:14" ht="21.75" customHeight="1" x14ac:dyDescent="0.4">
      <c r="A228" s="174"/>
      <c r="B228" s="175" t="s">
        <v>100</v>
      </c>
      <c r="C228" s="187"/>
      <c r="D228" s="175"/>
      <c r="E228" s="175"/>
      <c r="F228" s="175"/>
      <c r="G228" s="176"/>
      <c r="H228" s="177" t="s">
        <v>16</v>
      </c>
      <c r="I228" s="198">
        <f ca="1">I236</f>
        <v>943</v>
      </c>
      <c r="J228" s="198">
        <f ca="1">J240</f>
        <v>0</v>
      </c>
      <c r="K228" s="179">
        <f ca="1">IF(I228&gt;0,J228*100/I228,0)</f>
        <v>0</v>
      </c>
      <c r="L228" s="180">
        <f ca="1">L229+L230</f>
        <v>1961030</v>
      </c>
      <c r="M228" s="180">
        <f>SUM(M229:M230)</f>
        <v>0</v>
      </c>
      <c r="N228" s="179">
        <f ca="1">IF(L228&gt;0,M228*100/L228,0)</f>
        <v>0</v>
      </c>
    </row>
    <row r="229" spans="1:14" ht="21.75" customHeight="1" x14ac:dyDescent="0.4">
      <c r="A229" s="42"/>
      <c r="B229" s="43"/>
      <c r="C229" s="43" t="s">
        <v>17</v>
      </c>
      <c r="D229" s="44" t="s">
        <v>18</v>
      </c>
      <c r="E229" s="45"/>
      <c r="F229" s="45"/>
      <c r="G229" s="46" t="s">
        <v>19</v>
      </c>
      <c r="H229" s="47" t="s">
        <v>20</v>
      </c>
      <c r="I229" s="48" t="s">
        <v>21</v>
      </c>
      <c r="J229" s="48"/>
      <c r="K229" s="49"/>
      <c r="L229" s="50">
        <v>0</v>
      </c>
      <c r="M229" s="53">
        <v>0</v>
      </c>
      <c r="N229" s="53">
        <f t="shared" ref="N229:N232" si="50">+IF(L229&gt;0,M229*100/L229,0)</f>
        <v>0</v>
      </c>
    </row>
    <row r="230" spans="1:14" ht="21.75" customHeight="1" x14ac:dyDescent="0.4">
      <c r="A230" s="42"/>
      <c r="B230" s="43"/>
      <c r="C230" s="43"/>
      <c r="D230" s="51"/>
      <c r="E230" s="45"/>
      <c r="F230" s="45" t="s">
        <v>21</v>
      </c>
      <c r="G230" s="46" t="s">
        <v>22</v>
      </c>
      <c r="H230" s="47" t="s">
        <v>20</v>
      </c>
      <c r="I230" s="48"/>
      <c r="J230" s="48"/>
      <c r="K230" s="49"/>
      <c r="L230" s="50">
        <f t="shared" ref="L230:M230" ca="1" si="51">SUM(L231:L232)</f>
        <v>1961030</v>
      </c>
      <c r="M230" s="53">
        <f t="shared" si="51"/>
        <v>0</v>
      </c>
      <c r="N230" s="53">
        <f t="shared" ca="1" si="50"/>
        <v>0</v>
      </c>
    </row>
    <row r="231" spans="1:14" ht="21.75" customHeight="1" x14ac:dyDescent="0.4">
      <c r="A231" s="42"/>
      <c r="B231" s="43"/>
      <c r="C231" s="43"/>
      <c r="D231" s="51"/>
      <c r="E231" s="45"/>
      <c r="F231" s="45"/>
      <c r="G231" s="52" t="s">
        <v>23</v>
      </c>
      <c r="H231" s="47" t="s">
        <v>20</v>
      </c>
      <c r="I231" s="48"/>
      <c r="J231" s="48"/>
      <c r="K231" s="49"/>
      <c r="L231" s="53">
        <f ca="1">IFERROR(__xludf.DUMMYFUNCTION("IMPORTRANGE(""https://docs.google.com/spreadsheets/d/1C3CXT74ZlgGe6_JY_1olB1XN4rF0dxEuIIF-xsYjHgg/edit?usp=sharing"",""พรบ!BX20"")"),607100)</f>
        <v>607100</v>
      </c>
      <c r="M231" s="54">
        <v>0</v>
      </c>
      <c r="N231" s="53">
        <f t="shared" ca="1" si="50"/>
        <v>0</v>
      </c>
    </row>
    <row r="232" spans="1:14" ht="21.75" customHeight="1" x14ac:dyDescent="0.4">
      <c r="A232" s="42"/>
      <c r="B232" s="43"/>
      <c r="C232" s="43"/>
      <c r="D232" s="51"/>
      <c r="E232" s="45"/>
      <c r="F232" s="45"/>
      <c r="G232" s="52" t="s">
        <v>24</v>
      </c>
      <c r="H232" s="47" t="s">
        <v>20</v>
      </c>
      <c r="I232" s="48"/>
      <c r="J232" s="48"/>
      <c r="K232" s="49"/>
      <c r="L232" s="53">
        <f ca="1">IFERROR(__xludf.DUMMYFUNCTION("IMPORTRANGE(""https://docs.google.com/spreadsheets/d/1C3CXT74ZlgGe6_JY_1olB1XN4rF0dxEuIIF-xsYjHgg/edit?usp=sharing"",""พรบ!BY20"")"),1353930)</f>
        <v>1353930</v>
      </c>
      <c r="M232" s="54">
        <v>0</v>
      </c>
      <c r="N232" s="53">
        <f t="shared" ca="1" si="50"/>
        <v>0</v>
      </c>
    </row>
    <row r="233" spans="1:14" ht="21.75" customHeight="1" x14ac:dyDescent="0.4">
      <c r="A233" s="55"/>
      <c r="B233" s="155"/>
      <c r="C233" s="199" t="s">
        <v>101</v>
      </c>
      <c r="D233" s="75"/>
      <c r="E233" s="75"/>
      <c r="F233" s="75"/>
      <c r="G233" s="76"/>
      <c r="H233" s="60"/>
      <c r="I233" s="200"/>
      <c r="J233" s="200"/>
      <c r="K233" s="201"/>
      <c r="L233" s="61"/>
      <c r="M233" s="61"/>
      <c r="N233" s="202"/>
    </row>
    <row r="234" spans="1:14" ht="21.75" customHeight="1" x14ac:dyDescent="0.4">
      <c r="A234" s="55"/>
      <c r="B234" s="155"/>
      <c r="C234" s="56"/>
      <c r="D234" s="75"/>
      <c r="E234" s="74" t="s">
        <v>102</v>
      </c>
      <c r="F234" s="75"/>
      <c r="G234" s="76"/>
      <c r="H234" s="60" t="s">
        <v>16</v>
      </c>
      <c r="I234" s="67">
        <v>0</v>
      </c>
      <c r="J234" s="67">
        <f ca="1">IFERROR(__xludf.DUMMYFUNCTION("IMPORTRANGE(""https://docs.google.com/spreadsheets/d/1AGHcLOeeYFL3K4b9R1dSzyJy00PE_ra89DNTVfnxSWM/edit?usp=sharing"",""รวมที่ทำกิน!J9"")"),19)</f>
        <v>19</v>
      </c>
      <c r="K234" s="201">
        <f t="shared" ref="K234:K241" si="52">IF(I234&gt;0,J234*100/I234,0)</f>
        <v>0</v>
      </c>
      <c r="L234" s="61"/>
      <c r="M234" s="61"/>
      <c r="N234" s="202"/>
    </row>
    <row r="235" spans="1:14" ht="21.75" customHeight="1" x14ac:dyDescent="0.4">
      <c r="A235" s="55"/>
      <c r="B235" s="155"/>
      <c r="C235" s="56"/>
      <c r="D235" s="75"/>
      <c r="E235" s="75"/>
      <c r="F235" s="75"/>
      <c r="G235" s="76"/>
      <c r="H235" s="60" t="s">
        <v>103</v>
      </c>
      <c r="I235" s="67">
        <f ca="1">IFERROR(__xludf.DUMMYFUNCTION("IMPORTRANGE(""https://docs.google.com/spreadsheets/d/1C3CXT74ZlgGe6_JY_1olB1XN4rF0dxEuIIF-xsYjHgg/edit?usp=sharing"",""พรบ!BZ20"")"),8400)</f>
        <v>8400</v>
      </c>
      <c r="J235" s="67">
        <f ca="1">IFERROR(__xludf.DUMMYFUNCTION("IMPORTRANGE(""https://docs.google.com/spreadsheets/d/1AGHcLOeeYFL3K4b9R1dSzyJy00PE_ra89DNTVfnxSWM/edit?usp=sharing"",""รวมที่ทำกิน!L9"")"),223.679999999999)</f>
        <v>223.67999999999901</v>
      </c>
      <c r="K235" s="201">
        <f t="shared" ca="1" si="52"/>
        <v>2.6628571428571313</v>
      </c>
      <c r="L235" s="61"/>
      <c r="M235" s="61"/>
      <c r="N235" s="202"/>
    </row>
    <row r="236" spans="1:14" ht="21.75" customHeight="1" x14ac:dyDescent="0.4">
      <c r="A236" s="55"/>
      <c r="B236" s="155"/>
      <c r="C236" s="56"/>
      <c r="D236" s="75"/>
      <c r="E236" s="74" t="s">
        <v>104</v>
      </c>
      <c r="F236" s="75"/>
      <c r="G236" s="76"/>
      <c r="H236" s="60" t="s">
        <v>16</v>
      </c>
      <c r="I236" s="67">
        <f ca="1">IFERROR(__xludf.DUMMYFUNCTION("IMPORTRANGE(""https://docs.google.com/spreadsheets/d/1C3CXT74ZlgGe6_JY_1olB1XN4rF0dxEuIIF-xsYjHgg/edit?usp=sharing"",""พรบ!CA20"")"),943)</f>
        <v>943</v>
      </c>
      <c r="J236" s="67">
        <f ca="1">IFERROR(__xludf.DUMMYFUNCTION("IMPORTRANGE(""https://docs.google.com/spreadsheets/d/1AGHcLOeeYFL3K4b9R1dSzyJy00PE_ra89DNTVfnxSWM/edit?usp=sharing"",""รวมที่ทำกิน!O9"")"),1)</f>
        <v>1</v>
      </c>
      <c r="K236" s="201">
        <f t="shared" ca="1" si="52"/>
        <v>0.10604453870625663</v>
      </c>
      <c r="L236" s="61"/>
      <c r="M236" s="61"/>
      <c r="N236" s="202"/>
    </row>
    <row r="237" spans="1:14" ht="21.75" customHeight="1" x14ac:dyDescent="0.4">
      <c r="A237" s="55"/>
      <c r="B237" s="155"/>
      <c r="C237" s="56"/>
      <c r="D237" s="75"/>
      <c r="E237" s="75"/>
      <c r="F237" s="75"/>
      <c r="G237" s="76"/>
      <c r="H237" s="60" t="s">
        <v>103</v>
      </c>
      <c r="I237" s="200">
        <v>0</v>
      </c>
      <c r="J237" s="67">
        <f ca="1">IFERROR(__xludf.DUMMYFUNCTION("IMPORTRANGE(""https://docs.google.com/spreadsheets/d/1AGHcLOeeYFL3K4b9R1dSzyJy00PE_ra89DNTVfnxSWM/edit?usp=sharing"",""รวมที่ทำกิน!Q9"")"),29.32)</f>
        <v>29.32</v>
      </c>
      <c r="K237" s="201">
        <f t="shared" si="52"/>
        <v>0</v>
      </c>
      <c r="L237" s="61"/>
      <c r="M237" s="61"/>
      <c r="N237" s="202"/>
    </row>
    <row r="238" spans="1:14" ht="21.75" customHeight="1" x14ac:dyDescent="0.4">
      <c r="A238" s="55"/>
      <c r="B238" s="155"/>
      <c r="C238" s="56"/>
      <c r="D238" s="75"/>
      <c r="E238" s="74" t="s">
        <v>105</v>
      </c>
      <c r="F238" s="75"/>
      <c r="G238" s="76"/>
      <c r="H238" s="60" t="s">
        <v>16</v>
      </c>
      <c r="I238" s="67">
        <f ca="1">IFERROR(__xludf.DUMMYFUNCTION("IMPORTRANGE(""https://docs.google.com/spreadsheets/d/1C3CXT74ZlgGe6_JY_1olB1XN4rF0dxEuIIF-xsYjHgg/edit?usp=sharing"",""พรบ!CB20"")"),943)</f>
        <v>943</v>
      </c>
      <c r="J238" s="67">
        <f ca="1">IFERROR(__xludf.DUMMYFUNCTION("IMPORTRANGE(""https://docs.google.com/spreadsheets/d/1AGHcLOeeYFL3K4b9R1dSzyJy00PE_ra89DNTVfnxSWM/edit?usp=sharing"",""รวมที่ทำกิน!S9"")"),0)</f>
        <v>0</v>
      </c>
      <c r="K238" s="201">
        <f t="shared" ca="1" si="52"/>
        <v>0</v>
      </c>
      <c r="L238" s="61"/>
      <c r="M238" s="61"/>
      <c r="N238" s="202"/>
    </row>
    <row r="239" spans="1:14" ht="21.75" customHeight="1" x14ac:dyDescent="0.4">
      <c r="A239" s="55"/>
      <c r="B239" s="155"/>
      <c r="C239" s="56"/>
      <c r="D239" s="75"/>
      <c r="E239" s="75"/>
      <c r="F239" s="75"/>
      <c r="G239" s="76"/>
      <c r="H239" s="60" t="s">
        <v>103</v>
      </c>
      <c r="I239" s="200">
        <v>0</v>
      </c>
      <c r="J239" s="67">
        <f ca="1">IFERROR(__xludf.DUMMYFUNCTION("IMPORTRANGE(""https://docs.google.com/spreadsheets/d/1AGHcLOeeYFL3K4b9R1dSzyJy00PE_ra89DNTVfnxSWM/edit?usp=sharing"",""รวมที่ทำกิน!U9"")"),0)</f>
        <v>0</v>
      </c>
      <c r="K239" s="201">
        <f t="shared" si="52"/>
        <v>0</v>
      </c>
      <c r="L239" s="61"/>
      <c r="M239" s="61"/>
      <c r="N239" s="202"/>
    </row>
    <row r="240" spans="1:14" ht="21.75" customHeight="1" x14ac:dyDescent="0.4">
      <c r="A240" s="55"/>
      <c r="B240" s="155"/>
      <c r="C240" s="56"/>
      <c r="D240" s="75"/>
      <c r="E240" s="74" t="s">
        <v>106</v>
      </c>
      <c r="F240" s="75"/>
      <c r="G240" s="76"/>
      <c r="H240" s="60" t="s">
        <v>16</v>
      </c>
      <c r="I240" s="67">
        <f ca="1">IFERROR(__xludf.DUMMYFUNCTION("IMPORTRANGE(""https://docs.google.com/spreadsheets/d/1C3CXT74ZlgGe6_JY_1olB1XN4rF0dxEuIIF-xsYjHgg/edit?usp=sharing"",""พรบ!CC20"")"),943)</f>
        <v>943</v>
      </c>
      <c r="J240" s="67">
        <f ca="1">IFERROR(__xludf.DUMMYFUNCTION("IMPORTRANGE(""https://docs.google.com/spreadsheets/d/1AGHcLOeeYFL3K4b9R1dSzyJy00PE_ra89DNTVfnxSWM/edit?usp=sharing"",""รวมที่ทำกิน!W9"")"),0)</f>
        <v>0</v>
      </c>
      <c r="K240" s="201">
        <f t="shared" ca="1" si="52"/>
        <v>0</v>
      </c>
      <c r="L240" s="61"/>
      <c r="M240" s="61"/>
      <c r="N240" s="202"/>
    </row>
    <row r="241" spans="1:14" ht="21.75" customHeight="1" x14ac:dyDescent="0.4">
      <c r="A241" s="105"/>
      <c r="B241" s="203"/>
      <c r="C241" s="106"/>
      <c r="D241" s="203"/>
      <c r="E241" s="204"/>
      <c r="F241" s="204"/>
      <c r="G241" s="205"/>
      <c r="H241" s="206" t="s">
        <v>103</v>
      </c>
      <c r="I241" s="207">
        <v>0</v>
      </c>
      <c r="J241" s="67">
        <f ca="1">IFERROR(__xludf.DUMMYFUNCTION("IMPORTRANGE(""https://docs.google.com/spreadsheets/d/1AGHcLOeeYFL3K4b9R1dSzyJy00PE_ra89DNTVfnxSWM/edit?usp=sharing"",""รวมที่ทำกิน!Y9"")"),0)</f>
        <v>0</v>
      </c>
      <c r="K241" s="201">
        <f t="shared" si="52"/>
        <v>0</v>
      </c>
      <c r="L241" s="115"/>
      <c r="M241" s="115"/>
      <c r="N241" s="208"/>
    </row>
    <row r="242" spans="1:14" ht="21.75" customHeight="1" x14ac:dyDescent="0.4">
      <c r="A242" s="209" t="s">
        <v>107</v>
      </c>
      <c r="B242" s="210"/>
      <c r="C242" s="210"/>
      <c r="D242" s="210"/>
      <c r="E242" s="210"/>
      <c r="F242" s="210"/>
      <c r="G242" s="211"/>
      <c r="H242" s="212"/>
      <c r="I242" s="213"/>
      <c r="J242" s="213"/>
      <c r="K242" s="214"/>
      <c r="L242" s="214">
        <f t="shared" ref="L242:M242" ca="1" si="53">SUM(L244,L275,L296,L330,L350,L426,L444,L457,L473,L490)</f>
        <v>3331736</v>
      </c>
      <c r="M242" s="214">
        <f t="shared" si="53"/>
        <v>0</v>
      </c>
      <c r="N242" s="214">
        <f ca="1">+IF(L242&gt;0,M242*100/L242,0)</f>
        <v>0</v>
      </c>
    </row>
    <row r="243" spans="1:14" ht="21.75" customHeight="1" x14ac:dyDescent="0.4">
      <c r="A243" s="215" t="s">
        <v>108</v>
      </c>
      <c r="B243" s="216"/>
      <c r="C243" s="216"/>
      <c r="D243" s="216"/>
      <c r="E243" s="216"/>
      <c r="F243" s="216"/>
      <c r="G243" s="217"/>
      <c r="H243" s="218"/>
      <c r="I243" s="219"/>
      <c r="J243" s="219"/>
      <c r="K243" s="220"/>
      <c r="L243" s="220"/>
      <c r="M243" s="220"/>
      <c r="N243" s="221"/>
    </row>
    <row r="244" spans="1:14" ht="21.75" customHeight="1" x14ac:dyDescent="0.4">
      <c r="A244" s="222"/>
      <c r="B244" s="223">
        <v>1</v>
      </c>
      <c r="C244" s="224" t="s">
        <v>109</v>
      </c>
      <c r="D244" s="224"/>
      <c r="E244" s="224"/>
      <c r="F244" s="224"/>
      <c r="G244" s="225"/>
      <c r="H244" s="226" t="s">
        <v>103</v>
      </c>
      <c r="I244" s="227">
        <f t="shared" ref="I244:J244" ca="1" si="54">I270</f>
        <v>0</v>
      </c>
      <c r="J244" s="227">
        <f t="shared" si="54"/>
        <v>0</v>
      </c>
      <c r="K244" s="228">
        <f t="shared" ref="K244:K245" ca="1" si="55">IF(I244&gt;0,J244*100/I244,0)</f>
        <v>0</v>
      </c>
      <c r="L244" s="229">
        <f t="shared" ref="L244:M244" ca="1" si="56">SUM(L246:L247)</f>
        <v>0</v>
      </c>
      <c r="M244" s="229">
        <f t="shared" si="56"/>
        <v>0</v>
      </c>
      <c r="N244" s="229">
        <f ca="1">+IF(L244&gt;0,M244*100/L244,0)</f>
        <v>0</v>
      </c>
    </row>
    <row r="245" spans="1:14" ht="21.75" customHeight="1" x14ac:dyDescent="0.4">
      <c r="A245" s="222"/>
      <c r="B245" s="223"/>
      <c r="C245" s="224"/>
      <c r="D245" s="224"/>
      <c r="E245" s="224"/>
      <c r="F245" s="224"/>
      <c r="G245" s="225"/>
      <c r="H245" s="226" t="s">
        <v>16</v>
      </c>
      <c r="I245" s="227">
        <f ca="1">I263</f>
        <v>0</v>
      </c>
      <c r="J245" s="227">
        <f>+J263</f>
        <v>0</v>
      </c>
      <c r="K245" s="228">
        <f t="shared" ca="1" si="55"/>
        <v>0</v>
      </c>
      <c r="L245" s="229"/>
      <c r="M245" s="229"/>
      <c r="N245" s="229"/>
    </row>
    <row r="246" spans="1:14" ht="21.75" customHeight="1" x14ac:dyDescent="0.4">
      <c r="A246" s="42"/>
      <c r="B246" s="43"/>
      <c r="C246" s="43" t="s">
        <v>17</v>
      </c>
      <c r="D246" s="44" t="s">
        <v>18</v>
      </c>
      <c r="E246" s="45"/>
      <c r="F246" s="45"/>
      <c r="G246" s="46" t="s">
        <v>19</v>
      </c>
      <c r="H246" s="47" t="s">
        <v>20</v>
      </c>
      <c r="I246" s="48" t="s">
        <v>21</v>
      </c>
      <c r="J246" s="48"/>
      <c r="K246" s="49"/>
      <c r="L246" s="50">
        <v>0</v>
      </c>
      <c r="M246" s="50">
        <v>0</v>
      </c>
      <c r="N246" s="50">
        <f t="shared" ref="N246:N249" si="57">+IF(L246&gt;0,M246*100/L246,0)</f>
        <v>0</v>
      </c>
    </row>
    <row r="247" spans="1:14" ht="21.75" customHeight="1" x14ac:dyDescent="0.4">
      <c r="A247" s="42"/>
      <c r="B247" s="43"/>
      <c r="C247" s="43"/>
      <c r="D247" s="51"/>
      <c r="E247" s="45"/>
      <c r="F247" s="45" t="s">
        <v>21</v>
      </c>
      <c r="G247" s="46" t="s">
        <v>22</v>
      </c>
      <c r="H247" s="47" t="s">
        <v>20</v>
      </c>
      <c r="I247" s="48"/>
      <c r="J247" s="48"/>
      <c r="K247" s="49"/>
      <c r="L247" s="50">
        <f t="shared" ref="L247:M247" ca="1" si="58">SUM(L248:L249)</f>
        <v>0</v>
      </c>
      <c r="M247" s="50">
        <f t="shared" si="58"/>
        <v>0</v>
      </c>
      <c r="N247" s="50">
        <f t="shared" ca="1" si="57"/>
        <v>0</v>
      </c>
    </row>
    <row r="248" spans="1:14" ht="21.75" customHeight="1" x14ac:dyDescent="0.4">
      <c r="A248" s="42"/>
      <c r="B248" s="43"/>
      <c r="C248" s="43"/>
      <c r="D248" s="51"/>
      <c r="E248" s="45"/>
      <c r="F248" s="45"/>
      <c r="G248" s="52" t="s">
        <v>110</v>
      </c>
      <c r="H248" s="47" t="s">
        <v>20</v>
      </c>
      <c r="I248" s="48"/>
      <c r="J248" s="48"/>
      <c r="K248" s="49"/>
      <c r="L248" s="53">
        <f ca="1">IFERROR(__xludf.DUMMYFUNCTION("IMPORTRANGE(""https://docs.google.com/spreadsheets/d/1C3CXT74ZlgGe6_JY_1olB1XN4rF0dxEuIIF-xsYjHgg/edit?usp=sharing"",""งบกองทุน!d20"")"),0)</f>
        <v>0</v>
      </c>
      <c r="M248" s="53">
        <v>0</v>
      </c>
      <c r="N248" s="53">
        <f t="shared" ca="1" si="57"/>
        <v>0</v>
      </c>
    </row>
    <row r="249" spans="1:14" ht="21.75" customHeight="1" x14ac:dyDescent="0.4">
      <c r="A249" s="42"/>
      <c r="B249" s="43"/>
      <c r="C249" s="43"/>
      <c r="D249" s="51"/>
      <c r="E249" s="45"/>
      <c r="F249" s="45"/>
      <c r="G249" s="52" t="s">
        <v>111</v>
      </c>
      <c r="H249" s="47" t="s">
        <v>20</v>
      </c>
      <c r="I249" s="48"/>
      <c r="J249" s="48"/>
      <c r="K249" s="49"/>
      <c r="L249" s="53">
        <f ca="1">IFERROR(__xludf.DUMMYFUNCTION("IMPORTRANGE(""https://docs.google.com/spreadsheets/d/1C3CXT74ZlgGe6_JY_1olB1XN4rF0dxEuIIF-xsYjHgg/edit?usp=sharing"",""งบกองทุน!e20"")"),0)</f>
        <v>0</v>
      </c>
      <c r="M249" s="53">
        <f>SUM(M250:M253)</f>
        <v>0</v>
      </c>
      <c r="N249" s="53">
        <f t="shared" ca="1" si="57"/>
        <v>0</v>
      </c>
    </row>
    <row r="250" spans="1:14" ht="21.75" customHeight="1" x14ac:dyDescent="0.4">
      <c r="A250" s="230"/>
      <c r="B250" s="231"/>
      <c r="C250" s="43"/>
      <c r="D250" s="232"/>
      <c r="E250" s="45"/>
      <c r="F250" s="45"/>
      <c r="G250" s="46" t="s">
        <v>112</v>
      </c>
      <c r="H250" s="47" t="s">
        <v>20</v>
      </c>
      <c r="I250" s="67"/>
      <c r="J250" s="67"/>
      <c r="K250" s="233"/>
      <c r="L250" s="53"/>
      <c r="M250" s="53">
        <v>0</v>
      </c>
      <c r="N250" s="53"/>
    </row>
    <row r="251" spans="1:14" ht="21.75" customHeight="1" x14ac:dyDescent="0.4">
      <c r="A251" s="230"/>
      <c r="B251" s="231"/>
      <c r="C251" s="43"/>
      <c r="D251" s="232"/>
      <c r="E251" s="45"/>
      <c r="F251" s="45"/>
      <c r="G251" s="46" t="s">
        <v>113</v>
      </c>
      <c r="H251" s="47" t="s">
        <v>20</v>
      </c>
      <c r="I251" s="67"/>
      <c r="J251" s="67"/>
      <c r="K251" s="233"/>
      <c r="L251" s="53"/>
      <c r="M251" s="53">
        <v>0</v>
      </c>
      <c r="N251" s="53"/>
    </row>
    <row r="252" spans="1:14" ht="21.75" customHeight="1" x14ac:dyDescent="0.4">
      <c r="A252" s="230"/>
      <c r="B252" s="231"/>
      <c r="C252" s="43"/>
      <c r="D252" s="232"/>
      <c r="E252" s="45"/>
      <c r="F252" s="45"/>
      <c r="G252" s="46" t="s">
        <v>114</v>
      </c>
      <c r="H252" s="47" t="s">
        <v>20</v>
      </c>
      <c r="I252" s="67"/>
      <c r="J252" s="67"/>
      <c r="K252" s="233"/>
      <c r="L252" s="53"/>
      <c r="M252" s="53">
        <v>0</v>
      </c>
      <c r="N252" s="53"/>
    </row>
    <row r="253" spans="1:14" ht="21.75" customHeight="1" x14ac:dyDescent="0.4">
      <c r="A253" s="230"/>
      <c r="B253" s="231"/>
      <c r="C253" s="43"/>
      <c r="D253" s="232"/>
      <c r="E253" s="45"/>
      <c r="F253" s="45"/>
      <c r="G253" s="46" t="s">
        <v>115</v>
      </c>
      <c r="H253" s="47" t="s">
        <v>20</v>
      </c>
      <c r="I253" s="67"/>
      <c r="J253" s="67"/>
      <c r="K253" s="233"/>
      <c r="L253" s="53"/>
      <c r="M253" s="53">
        <v>0</v>
      </c>
      <c r="N253" s="53"/>
    </row>
    <row r="254" spans="1:14" ht="21.75" customHeight="1" x14ac:dyDescent="0.4">
      <c r="A254" s="55"/>
      <c r="B254" s="56"/>
      <c r="C254" s="43" t="s">
        <v>17</v>
      </c>
      <c r="D254" s="57" t="s">
        <v>25</v>
      </c>
      <c r="E254" s="58"/>
      <c r="F254" s="58"/>
      <c r="G254" s="59"/>
      <c r="H254" s="60"/>
      <c r="I254" s="48"/>
      <c r="J254" s="67"/>
      <c r="K254" s="233"/>
      <c r="L254" s="53"/>
      <c r="M254" s="53"/>
      <c r="N254" s="61"/>
    </row>
    <row r="255" spans="1:14" ht="21.75" customHeight="1" x14ac:dyDescent="0.4">
      <c r="A255" s="55"/>
      <c r="B255" s="56"/>
      <c r="C255" s="56"/>
      <c r="D255" s="62">
        <v>1</v>
      </c>
      <c r="E255" s="63" t="s">
        <v>26</v>
      </c>
      <c r="F255" s="64"/>
      <c r="G255" s="65"/>
      <c r="H255" s="66"/>
      <c r="I255" s="67"/>
      <c r="J255" s="67">
        <v>0</v>
      </c>
      <c r="K255" s="233"/>
      <c r="L255" s="53"/>
      <c r="M255" s="53"/>
      <c r="N255" s="61"/>
    </row>
    <row r="256" spans="1:14" ht="21.75" customHeight="1" x14ac:dyDescent="0.4">
      <c r="A256" s="55"/>
      <c r="B256" s="56"/>
      <c r="C256" s="56"/>
      <c r="D256" s="69">
        <v>2</v>
      </c>
      <c r="E256" s="70" t="s">
        <v>27</v>
      </c>
      <c r="F256" s="71"/>
      <c r="G256" s="72"/>
      <c r="H256" s="66"/>
      <c r="I256" s="67"/>
      <c r="J256" s="67">
        <v>0</v>
      </c>
      <c r="K256" s="233"/>
      <c r="L256" s="53" t="s">
        <v>21</v>
      </c>
      <c r="M256" s="53" t="s">
        <v>21</v>
      </c>
      <c r="N256" s="61"/>
    </row>
    <row r="257" spans="1:14" ht="21.75" customHeight="1" x14ac:dyDescent="0.4">
      <c r="A257" s="55"/>
      <c r="B257" s="56"/>
      <c r="C257" s="56"/>
      <c r="D257" s="73"/>
      <c r="E257" s="74" t="s">
        <v>28</v>
      </c>
      <c r="F257" s="75"/>
      <c r="G257" s="76"/>
      <c r="H257" s="66"/>
      <c r="I257" s="67"/>
      <c r="J257" s="67">
        <v>0</v>
      </c>
      <c r="K257" s="233"/>
      <c r="L257" s="53"/>
      <c r="M257" s="53"/>
      <c r="N257" s="61"/>
    </row>
    <row r="258" spans="1:14" ht="21.75" customHeight="1" x14ac:dyDescent="0.4">
      <c r="A258" s="55"/>
      <c r="B258" s="56"/>
      <c r="C258" s="56"/>
      <c r="D258" s="73"/>
      <c r="E258" s="74" t="s">
        <v>29</v>
      </c>
      <c r="F258" s="75"/>
      <c r="G258" s="76"/>
      <c r="H258" s="66"/>
      <c r="I258" s="67"/>
      <c r="J258" s="67">
        <v>0</v>
      </c>
      <c r="K258" s="233"/>
      <c r="L258" s="53"/>
      <c r="M258" s="53"/>
      <c r="N258" s="61"/>
    </row>
    <row r="259" spans="1:14" ht="21.75" hidden="1" customHeight="1" x14ac:dyDescent="0.4">
      <c r="A259" s="55"/>
      <c r="B259" s="56"/>
      <c r="C259" s="56"/>
      <c r="D259" s="73"/>
      <c r="E259" s="77"/>
      <c r="F259" s="74" t="s">
        <v>50</v>
      </c>
      <c r="G259" s="76"/>
      <c r="H259" s="60"/>
      <c r="I259" s="67"/>
      <c r="J259" s="67">
        <f>+J260+J263+J268</f>
        <v>0</v>
      </c>
      <c r="K259" s="49"/>
      <c r="L259" s="61"/>
      <c r="M259" s="61"/>
      <c r="N259" s="61"/>
    </row>
    <row r="260" spans="1:14" ht="21.75" hidden="1" customHeight="1" x14ac:dyDescent="0.4">
      <c r="A260" s="55"/>
      <c r="B260" s="56"/>
      <c r="C260" s="56"/>
      <c r="D260" s="73"/>
      <c r="E260" s="77"/>
      <c r="F260" s="75"/>
      <c r="G260" s="99" t="s">
        <v>116</v>
      </c>
      <c r="H260" s="60" t="s">
        <v>16</v>
      </c>
      <c r="I260" s="67">
        <f ca="1">IFERROR(__xludf.DUMMYFUNCTION("IMPORTRANGE(""https://docs.google.com/spreadsheets/d/1C3CXT74ZlgGe6_JY_1olB1XN4rF0dxEuIIF-xsYjHgg/edit?usp=sharing"",""งบกองทุน!f20"")"),0)</f>
        <v>0</v>
      </c>
      <c r="J260" s="67">
        <v>0</v>
      </c>
      <c r="K260" s="49">
        <f ca="1">IF(I260&gt;0,J260*100/I260,0)</f>
        <v>0</v>
      </c>
      <c r="L260" s="61"/>
      <c r="M260" s="61"/>
      <c r="N260" s="61"/>
    </row>
    <row r="261" spans="1:14" ht="21.75" hidden="1" customHeight="1" x14ac:dyDescent="0.4">
      <c r="A261" s="55"/>
      <c r="B261" s="56"/>
      <c r="C261" s="56"/>
      <c r="D261" s="73"/>
      <c r="E261" s="77"/>
      <c r="F261" s="75"/>
      <c r="G261" s="76" t="s">
        <v>117</v>
      </c>
      <c r="H261" s="60"/>
      <c r="I261" s="48"/>
      <c r="J261" s="67"/>
      <c r="K261" s="49"/>
      <c r="L261" s="61"/>
      <c r="M261" s="61"/>
      <c r="N261" s="61"/>
    </row>
    <row r="262" spans="1:14" ht="21.75" hidden="1" customHeight="1" x14ac:dyDescent="0.4">
      <c r="A262" s="55"/>
      <c r="B262" s="56"/>
      <c r="C262" s="56"/>
      <c r="D262" s="73"/>
      <c r="E262" s="77"/>
      <c r="F262" s="75"/>
      <c r="G262" s="76"/>
      <c r="H262" s="66" t="s">
        <v>103</v>
      </c>
      <c r="I262" s="67">
        <f t="shared" ref="I262:J262" ca="1" si="59">SUM(I264,I266)</f>
        <v>0</v>
      </c>
      <c r="J262" s="67">
        <f t="shared" si="59"/>
        <v>0</v>
      </c>
      <c r="K262" s="49">
        <f t="shared" ref="K262:K268" ca="1" si="60">IF(I262&gt;0,J262*100/I262,0)</f>
        <v>0</v>
      </c>
      <c r="L262" s="61"/>
      <c r="M262" s="61"/>
      <c r="N262" s="61"/>
    </row>
    <row r="263" spans="1:14" ht="21.75" customHeight="1" x14ac:dyDescent="0.4">
      <c r="A263" s="55"/>
      <c r="B263" s="56"/>
      <c r="C263" s="56"/>
      <c r="D263" s="73"/>
      <c r="E263" s="77"/>
      <c r="F263" s="99" t="s">
        <v>119</v>
      </c>
      <c r="G263" s="76"/>
      <c r="H263" s="66" t="s">
        <v>16</v>
      </c>
      <c r="I263" s="48">
        <f ca="1">IFERROR(__xludf.DUMMYFUNCTION("IMPORTRANGE(""https://docs.google.com/spreadsheets/d/1C3CXT74ZlgGe6_JY_1olB1XN4rF0dxEuIIF-xsYjHgg/edit?usp=sharing"",""งบกองทุน!H20"")"),0)</f>
        <v>0</v>
      </c>
      <c r="J263" s="67">
        <f>J267</f>
        <v>0</v>
      </c>
      <c r="K263" s="49">
        <f t="shared" ca="1" si="60"/>
        <v>0</v>
      </c>
      <c r="L263" s="61"/>
      <c r="M263" s="61"/>
      <c r="N263" s="61"/>
    </row>
    <row r="264" spans="1:14" ht="21.75" hidden="1" customHeight="1" x14ac:dyDescent="0.4">
      <c r="A264" s="55"/>
      <c r="B264" s="56"/>
      <c r="C264" s="56"/>
      <c r="D264" s="73"/>
      <c r="E264" s="77"/>
      <c r="F264" s="75"/>
      <c r="H264" s="60" t="s">
        <v>103</v>
      </c>
      <c r="I264" s="48">
        <f ca="1">IFERROR(__xludf.DUMMYFUNCTION("IMPORTRANGE(""https://docs.google.com/spreadsheets/d/1C3CXT74ZlgGe6_JY_1olB1XN4rF0dxEuIIF-xsYjHgg/edit?usp=sharing"",""งบกองทุน!i20"")"),0)</f>
        <v>0</v>
      </c>
      <c r="J264" s="67">
        <v>0</v>
      </c>
      <c r="K264" s="49">
        <f t="shared" ca="1" si="60"/>
        <v>0</v>
      </c>
      <c r="L264" s="61"/>
      <c r="M264" s="61"/>
      <c r="N264" s="61"/>
    </row>
    <row r="265" spans="1:14" ht="21.75" customHeight="1" x14ac:dyDescent="0.4">
      <c r="A265" s="55"/>
      <c r="B265" s="56"/>
      <c r="C265" s="56"/>
      <c r="D265" s="73"/>
      <c r="E265" s="77"/>
      <c r="F265" s="75"/>
      <c r="G265" s="99" t="s">
        <v>219</v>
      </c>
      <c r="H265" s="60" t="s">
        <v>16</v>
      </c>
      <c r="I265" s="48">
        <f ca="1">I263</f>
        <v>0</v>
      </c>
      <c r="J265" s="67">
        <v>0</v>
      </c>
      <c r="K265" s="49">
        <f t="shared" ca="1" si="60"/>
        <v>0</v>
      </c>
      <c r="L265" s="61"/>
      <c r="M265" s="61"/>
      <c r="N265" s="61"/>
    </row>
    <row r="266" spans="1:14" ht="21.75" hidden="1" customHeight="1" x14ac:dyDescent="0.4">
      <c r="A266" s="55"/>
      <c r="B266" s="56"/>
      <c r="C266" s="56"/>
      <c r="D266" s="73"/>
      <c r="E266" s="77"/>
      <c r="F266" s="75"/>
      <c r="G266" s="76"/>
      <c r="H266" s="60" t="s">
        <v>103</v>
      </c>
      <c r="I266" s="48">
        <f ca="1">IFERROR(__xludf.DUMMYFUNCTION("IMPORTRANGE(""https://docs.google.com/spreadsheets/d/1C3CXT74ZlgGe6_JY_1olB1XN4rF0dxEuIIF-xsYjHgg/edit?usp=sharing"",""งบกองทุน!k20"")"),0)</f>
        <v>0</v>
      </c>
      <c r="J266" s="67">
        <v>0</v>
      </c>
      <c r="K266" s="49">
        <f t="shared" ca="1" si="60"/>
        <v>0</v>
      </c>
      <c r="L266" s="61"/>
      <c r="M266" s="61"/>
      <c r="N266" s="61"/>
    </row>
    <row r="267" spans="1:14" ht="21.75" customHeight="1" x14ac:dyDescent="0.4">
      <c r="A267" s="55"/>
      <c r="B267" s="56"/>
      <c r="C267" s="56"/>
      <c r="D267" s="73"/>
      <c r="E267" s="77"/>
      <c r="F267" s="75"/>
      <c r="G267" s="76" t="s">
        <v>220</v>
      </c>
      <c r="H267" s="60" t="s">
        <v>16</v>
      </c>
      <c r="I267" s="48">
        <f ca="1">I263</f>
        <v>0</v>
      </c>
      <c r="J267" s="67">
        <v>0</v>
      </c>
      <c r="K267" s="49">
        <f t="shared" ca="1" si="60"/>
        <v>0</v>
      </c>
      <c r="L267" s="61"/>
      <c r="M267" s="61"/>
      <c r="N267" s="61"/>
    </row>
    <row r="268" spans="1:14" ht="21.75" hidden="1" customHeight="1" x14ac:dyDescent="0.4">
      <c r="A268" s="55"/>
      <c r="B268" s="56"/>
      <c r="C268" s="56"/>
      <c r="D268" s="73"/>
      <c r="E268" s="77"/>
      <c r="F268" s="75"/>
      <c r="G268" s="99" t="s">
        <v>122</v>
      </c>
      <c r="H268" s="60" t="s">
        <v>16</v>
      </c>
      <c r="I268" s="67">
        <f ca="1">IFERROR(__xludf.DUMMYFUNCTION("IMPORTRANGE(""https://docs.google.com/spreadsheets/d/1C3CXT74ZlgGe6_JY_1olB1XN4rF0dxEuIIF-xsYjHgg/edit?usp=sharing"",""งบกองทุน!m20"")"),0)</f>
        <v>0</v>
      </c>
      <c r="J268" s="67">
        <v>0</v>
      </c>
      <c r="K268" s="49">
        <f t="shared" ca="1" si="60"/>
        <v>0</v>
      </c>
      <c r="L268" s="61"/>
      <c r="M268" s="61"/>
      <c r="N268" s="61"/>
    </row>
    <row r="269" spans="1:14" ht="21.75" hidden="1" customHeight="1" x14ac:dyDescent="0.4">
      <c r="A269" s="55"/>
      <c r="B269" s="56"/>
      <c r="C269" s="56"/>
      <c r="D269" s="73"/>
      <c r="E269" s="77"/>
      <c r="F269" s="75"/>
      <c r="G269" s="76" t="s">
        <v>123</v>
      </c>
      <c r="H269" s="60"/>
      <c r="I269" s="67"/>
      <c r="J269" s="67"/>
      <c r="K269" s="49"/>
      <c r="L269" s="61"/>
      <c r="M269" s="61"/>
      <c r="N269" s="61"/>
    </row>
    <row r="270" spans="1:14" ht="21.75" customHeight="1" x14ac:dyDescent="0.4">
      <c r="A270" s="55"/>
      <c r="B270" s="56"/>
      <c r="C270" s="56"/>
      <c r="D270" s="73"/>
      <c r="E270" s="75"/>
      <c r="F270" s="74" t="s">
        <v>34</v>
      </c>
      <c r="G270" s="76"/>
      <c r="H270" s="66" t="s">
        <v>103</v>
      </c>
      <c r="I270" s="67">
        <f t="shared" ref="I270:J270" ca="1" si="61">SUM(I271:I272)</f>
        <v>0</v>
      </c>
      <c r="J270" s="67">
        <f t="shared" si="61"/>
        <v>0</v>
      </c>
      <c r="K270" s="49">
        <f t="shared" ref="K270:K272" ca="1" si="62">IF(I270&gt;0,J270*100/I270,0)</f>
        <v>0</v>
      </c>
      <c r="L270" s="61"/>
      <c r="M270" s="61"/>
      <c r="N270" s="61"/>
    </row>
    <row r="271" spans="1:14" ht="21.75" customHeight="1" x14ac:dyDescent="0.4">
      <c r="A271" s="55"/>
      <c r="B271" s="56"/>
      <c r="C271" s="56"/>
      <c r="D271" s="73"/>
      <c r="E271" s="75"/>
      <c r="F271" s="75"/>
      <c r="G271" s="76" t="s">
        <v>124</v>
      </c>
      <c r="H271" s="66" t="s">
        <v>103</v>
      </c>
      <c r="I271" s="67">
        <f ca="1">IFERROR(__xludf.DUMMYFUNCTION("IMPORTRANGE(""https://docs.google.com/spreadsheets/d/1C3CXT74ZlgGe6_JY_1olB1XN4rF0dxEuIIF-xsYjHgg/edit?usp=sharing"",""งบกองทุน!o20"")"),0)</f>
        <v>0</v>
      </c>
      <c r="J271" s="67">
        <v>0</v>
      </c>
      <c r="K271" s="49">
        <f t="shared" ca="1" si="62"/>
        <v>0</v>
      </c>
      <c r="L271" s="61"/>
      <c r="M271" s="61"/>
      <c r="N271" s="61"/>
    </row>
    <row r="272" spans="1:14" ht="21.75" customHeight="1" x14ac:dyDescent="0.4">
      <c r="A272" s="55"/>
      <c r="B272" s="56"/>
      <c r="C272" s="56"/>
      <c r="D272" s="73"/>
      <c r="E272" s="75"/>
      <c r="F272" s="75"/>
      <c r="G272" s="76" t="s">
        <v>125</v>
      </c>
      <c r="H272" s="66" t="s">
        <v>103</v>
      </c>
      <c r="I272" s="67">
        <f ca="1">IFERROR(__xludf.DUMMYFUNCTION("IMPORTRANGE(""https://docs.google.com/spreadsheets/d/1C3CXT74ZlgGe6_JY_1olB1XN4rF0dxEuIIF-xsYjHgg/edit?usp=sharing"",""งบกองทุน!p20"")"),0)</f>
        <v>0</v>
      </c>
      <c r="J272" s="67">
        <v>0</v>
      </c>
      <c r="K272" s="49">
        <f t="shared" ca="1" si="62"/>
        <v>0</v>
      </c>
      <c r="L272" s="61"/>
      <c r="M272" s="61"/>
      <c r="N272" s="61"/>
    </row>
    <row r="273" spans="1:14" ht="21.75" customHeight="1" x14ac:dyDescent="0.4">
      <c r="A273" s="55"/>
      <c r="B273" s="56"/>
      <c r="C273" s="56"/>
      <c r="D273" s="73"/>
      <c r="E273" s="74" t="s">
        <v>35</v>
      </c>
      <c r="F273" s="75"/>
      <c r="G273" s="76"/>
      <c r="H273" s="66"/>
      <c r="I273" s="67"/>
      <c r="J273" s="67">
        <v>0</v>
      </c>
      <c r="K273" s="49"/>
      <c r="L273" s="61"/>
      <c r="M273" s="61"/>
      <c r="N273" s="61"/>
    </row>
    <row r="274" spans="1:14" ht="21.75" customHeight="1" x14ac:dyDescent="0.4">
      <c r="A274" s="55"/>
      <c r="B274" s="56"/>
      <c r="C274" s="56"/>
      <c r="D274" s="81">
        <v>3</v>
      </c>
      <c r="E274" s="82" t="s">
        <v>36</v>
      </c>
      <c r="F274" s="83"/>
      <c r="G274" s="84"/>
      <c r="H274" s="66"/>
      <c r="I274" s="67"/>
      <c r="J274" s="360">
        <v>0</v>
      </c>
      <c r="K274" s="49"/>
      <c r="L274" s="61"/>
      <c r="M274" s="61"/>
      <c r="N274" s="61"/>
    </row>
    <row r="275" spans="1:14" ht="21.75" customHeight="1" x14ac:dyDescent="0.4">
      <c r="A275" s="222"/>
      <c r="B275" s="223">
        <v>2</v>
      </c>
      <c r="C275" s="224" t="s">
        <v>126</v>
      </c>
      <c r="D275" s="224"/>
      <c r="E275" s="234"/>
      <c r="F275" s="234"/>
      <c r="G275" s="235"/>
      <c r="H275" s="226" t="s">
        <v>103</v>
      </c>
      <c r="I275" s="227">
        <f ca="1">I292</f>
        <v>1000</v>
      </c>
      <c r="J275" s="227">
        <f>+J292</f>
        <v>0</v>
      </c>
      <c r="K275" s="228">
        <f t="shared" ref="K275:K276" ca="1" si="63">IF(I275&gt;0,J275*100/I275,0)</f>
        <v>0</v>
      </c>
      <c r="L275" s="229">
        <f t="shared" ref="L275:M275" ca="1" si="64">SUM(L277:L278)</f>
        <v>1028520</v>
      </c>
      <c r="M275" s="229">
        <f t="shared" si="64"/>
        <v>0</v>
      </c>
      <c r="N275" s="229">
        <f ca="1">+IF(L275&gt;0,M275*100/L275,0)</f>
        <v>0</v>
      </c>
    </row>
    <row r="276" spans="1:14" ht="21.75" customHeight="1" x14ac:dyDescent="0.4">
      <c r="A276" s="222"/>
      <c r="B276" s="223"/>
      <c r="C276" s="224"/>
      <c r="D276" s="236"/>
      <c r="E276" s="237"/>
      <c r="F276" s="237"/>
      <c r="G276" s="238"/>
      <c r="H276" s="226" t="s">
        <v>16</v>
      </c>
      <c r="I276" s="227">
        <f ca="1">I291</f>
        <v>100</v>
      </c>
      <c r="J276" s="227">
        <f>+J291</f>
        <v>0</v>
      </c>
      <c r="K276" s="228">
        <f t="shared" ca="1" si="63"/>
        <v>0</v>
      </c>
      <c r="L276" s="229"/>
      <c r="M276" s="229"/>
      <c r="N276" s="229"/>
    </row>
    <row r="277" spans="1:14" ht="21.75" customHeight="1" x14ac:dyDescent="0.4">
      <c r="A277" s="42"/>
      <c r="B277" s="43"/>
      <c r="C277" s="43" t="s">
        <v>17</v>
      </c>
      <c r="D277" s="44" t="s">
        <v>18</v>
      </c>
      <c r="E277" s="45"/>
      <c r="F277" s="45"/>
      <c r="G277" s="46" t="s">
        <v>19</v>
      </c>
      <c r="H277" s="47" t="s">
        <v>20</v>
      </c>
      <c r="I277" s="48" t="s">
        <v>21</v>
      </c>
      <c r="J277" s="48"/>
      <c r="K277" s="49"/>
      <c r="L277" s="50">
        <v>0</v>
      </c>
      <c r="M277" s="50">
        <v>0</v>
      </c>
      <c r="N277" s="50">
        <f t="shared" ref="N277:N280" si="65">+IF(L277&gt;0,M277*100/L277,0)</f>
        <v>0</v>
      </c>
    </row>
    <row r="278" spans="1:14" ht="21.75" customHeight="1" x14ac:dyDescent="0.4">
      <c r="A278" s="42"/>
      <c r="B278" s="43"/>
      <c r="C278" s="43"/>
      <c r="D278" s="51"/>
      <c r="E278" s="45"/>
      <c r="F278" s="45" t="s">
        <v>21</v>
      </c>
      <c r="G278" s="46" t="s">
        <v>22</v>
      </c>
      <c r="H278" s="47" t="s">
        <v>20</v>
      </c>
      <c r="I278" s="48"/>
      <c r="J278" s="48"/>
      <c r="K278" s="49"/>
      <c r="L278" s="50">
        <f t="shared" ref="L278:M278" ca="1" si="66">SUM(L279:L280)</f>
        <v>1028520</v>
      </c>
      <c r="M278" s="50">
        <f t="shared" si="66"/>
        <v>0</v>
      </c>
      <c r="N278" s="50">
        <f t="shared" ca="1" si="65"/>
        <v>0</v>
      </c>
    </row>
    <row r="279" spans="1:14" ht="21.75" customHeight="1" x14ac:dyDescent="0.4">
      <c r="A279" s="42"/>
      <c r="B279" s="43"/>
      <c r="C279" s="43"/>
      <c r="D279" s="51"/>
      <c r="E279" s="45"/>
      <c r="F279" s="45"/>
      <c r="G279" s="52" t="s">
        <v>110</v>
      </c>
      <c r="H279" s="47" t="s">
        <v>20</v>
      </c>
      <c r="I279" s="48"/>
      <c r="J279" s="48"/>
      <c r="K279" s="49"/>
      <c r="L279" s="53">
        <f ca="1">IFERROR(__xludf.DUMMYFUNCTION("IMPORTRANGE(""https://docs.google.com/spreadsheets/d/1C3CXT74ZlgGe6_JY_1olB1XN4rF0dxEuIIF-xsYjHgg/edit?usp=sharing"",""งบกองทุน!r20"")"),0)</f>
        <v>0</v>
      </c>
      <c r="M279" s="53">
        <v>0</v>
      </c>
      <c r="N279" s="53">
        <f t="shared" ca="1" si="65"/>
        <v>0</v>
      </c>
    </row>
    <row r="280" spans="1:14" ht="21.75" customHeight="1" x14ac:dyDescent="0.4">
      <c r="A280" s="42"/>
      <c r="B280" s="43"/>
      <c r="C280" s="43"/>
      <c r="D280" s="51"/>
      <c r="E280" s="45"/>
      <c r="F280" s="45"/>
      <c r="G280" s="52" t="s">
        <v>111</v>
      </c>
      <c r="H280" s="47" t="s">
        <v>20</v>
      </c>
      <c r="I280" s="48"/>
      <c r="J280" s="48"/>
      <c r="K280" s="49"/>
      <c r="L280" s="53">
        <f ca="1">IFERROR(__xludf.DUMMYFUNCTION("IMPORTRANGE(""https://docs.google.com/spreadsheets/d/1C3CXT74ZlgGe6_JY_1olB1XN4rF0dxEuIIF-xsYjHgg/edit?usp=sharing"",""งบกองทุน!s20"")"),1028520)</f>
        <v>1028520</v>
      </c>
      <c r="M280" s="53">
        <f>SUM(M281:M284)</f>
        <v>0</v>
      </c>
      <c r="N280" s="53">
        <f t="shared" ca="1" si="65"/>
        <v>0</v>
      </c>
    </row>
    <row r="281" spans="1:14" ht="21.75" customHeight="1" x14ac:dyDescent="0.4">
      <c r="A281" s="230"/>
      <c r="B281" s="231"/>
      <c r="C281" s="43"/>
      <c r="D281" s="232"/>
      <c r="E281" s="45"/>
      <c r="F281" s="45"/>
      <c r="G281" s="46" t="s">
        <v>112</v>
      </c>
      <c r="H281" s="47" t="s">
        <v>20</v>
      </c>
      <c r="I281" s="67"/>
      <c r="J281" s="67"/>
      <c r="K281" s="233"/>
      <c r="L281" s="53"/>
      <c r="M281" s="54">
        <v>0</v>
      </c>
      <c r="N281" s="53"/>
    </row>
    <row r="282" spans="1:14" ht="21.75" customHeight="1" x14ac:dyDescent="0.4">
      <c r="A282" s="230"/>
      <c r="B282" s="231"/>
      <c r="C282" s="43"/>
      <c r="D282" s="232"/>
      <c r="E282" s="45"/>
      <c r="F282" s="45"/>
      <c r="G282" s="46" t="s">
        <v>113</v>
      </c>
      <c r="H282" s="47" t="s">
        <v>20</v>
      </c>
      <c r="I282" s="67"/>
      <c r="J282" s="67"/>
      <c r="K282" s="233"/>
      <c r="L282" s="53"/>
      <c r="M282" s="54">
        <v>0</v>
      </c>
      <c r="N282" s="53"/>
    </row>
    <row r="283" spans="1:14" ht="21.75" customHeight="1" x14ac:dyDescent="0.4">
      <c r="A283" s="230"/>
      <c r="B283" s="231"/>
      <c r="C283" s="43"/>
      <c r="D283" s="232"/>
      <c r="E283" s="45"/>
      <c r="F283" s="45"/>
      <c r="G283" s="46" t="s">
        <v>114</v>
      </c>
      <c r="H283" s="47" t="s">
        <v>20</v>
      </c>
      <c r="I283" s="67"/>
      <c r="J283" s="67"/>
      <c r="K283" s="233"/>
      <c r="L283" s="53"/>
      <c r="M283" s="54">
        <v>0</v>
      </c>
      <c r="N283" s="53"/>
    </row>
    <row r="284" spans="1:14" ht="21.75" customHeight="1" x14ac:dyDescent="0.4">
      <c r="A284" s="230"/>
      <c r="B284" s="231"/>
      <c r="C284" s="43"/>
      <c r="D284" s="232"/>
      <c r="E284" s="45"/>
      <c r="F284" s="45"/>
      <c r="G284" s="46" t="s">
        <v>115</v>
      </c>
      <c r="H284" s="47" t="s">
        <v>20</v>
      </c>
      <c r="I284" s="67"/>
      <c r="J284" s="67"/>
      <c r="K284" s="233"/>
      <c r="L284" s="53"/>
      <c r="M284" s="54">
        <v>0</v>
      </c>
      <c r="N284" s="53"/>
    </row>
    <row r="285" spans="1:14" ht="21.75" customHeight="1" x14ac:dyDescent="0.4">
      <c r="A285" s="55"/>
      <c r="B285" s="56"/>
      <c r="C285" s="43" t="s">
        <v>17</v>
      </c>
      <c r="D285" s="57" t="s">
        <v>25</v>
      </c>
      <c r="E285" s="58"/>
      <c r="F285" s="58"/>
      <c r="G285" s="59"/>
      <c r="H285" s="60"/>
      <c r="I285" s="48"/>
      <c r="J285" s="48"/>
      <c r="K285" s="49"/>
      <c r="L285" s="61"/>
      <c r="M285" s="61"/>
      <c r="N285" s="61"/>
    </row>
    <row r="286" spans="1:14" ht="21.75" customHeight="1" x14ac:dyDescent="0.4">
      <c r="A286" s="55"/>
      <c r="B286" s="56"/>
      <c r="C286" s="56"/>
      <c r="D286" s="62">
        <v>1</v>
      </c>
      <c r="E286" s="63" t="s">
        <v>26</v>
      </c>
      <c r="F286" s="64"/>
      <c r="G286" s="65"/>
      <c r="H286" s="66"/>
      <c r="I286" s="67"/>
      <c r="J286" s="68">
        <v>0</v>
      </c>
      <c r="K286" s="49"/>
      <c r="L286" s="61"/>
      <c r="M286" s="61"/>
      <c r="N286" s="61"/>
    </row>
    <row r="287" spans="1:14" ht="21.75" customHeight="1" x14ac:dyDescent="0.4">
      <c r="A287" s="55"/>
      <c r="B287" s="56"/>
      <c r="C287" s="56"/>
      <c r="D287" s="69">
        <v>2</v>
      </c>
      <c r="E287" s="70" t="s">
        <v>27</v>
      </c>
      <c r="F287" s="71"/>
      <c r="G287" s="72"/>
      <c r="H287" s="66"/>
      <c r="I287" s="67"/>
      <c r="J287" s="68">
        <v>1</v>
      </c>
      <c r="K287" s="49"/>
      <c r="L287" s="61" t="s">
        <v>21</v>
      </c>
      <c r="M287" s="61" t="s">
        <v>21</v>
      </c>
      <c r="N287" s="61"/>
    </row>
    <row r="288" spans="1:14" ht="21.75" customHeight="1" x14ac:dyDescent="0.4">
      <c r="A288" s="55"/>
      <c r="B288" s="56"/>
      <c r="C288" s="56"/>
      <c r="D288" s="73"/>
      <c r="E288" s="74" t="s">
        <v>28</v>
      </c>
      <c r="F288" s="75"/>
      <c r="G288" s="76"/>
      <c r="H288" s="66"/>
      <c r="I288" s="67"/>
      <c r="J288" s="68">
        <v>1</v>
      </c>
      <c r="K288" s="49"/>
      <c r="L288" s="61"/>
      <c r="M288" s="61"/>
      <c r="N288" s="61"/>
    </row>
    <row r="289" spans="1:14" ht="21.75" customHeight="1" x14ac:dyDescent="0.4">
      <c r="A289" s="55"/>
      <c r="B289" s="56"/>
      <c r="C289" s="56"/>
      <c r="D289" s="73"/>
      <c r="E289" s="74" t="s">
        <v>29</v>
      </c>
      <c r="F289" s="75"/>
      <c r="G289" s="76"/>
      <c r="H289" s="66"/>
      <c r="I289" s="67"/>
      <c r="J289" s="68">
        <v>0</v>
      </c>
      <c r="K289" s="49"/>
      <c r="L289" s="61"/>
      <c r="M289" s="61"/>
      <c r="N289" s="61"/>
    </row>
    <row r="290" spans="1:14" ht="21.75" customHeight="1" x14ac:dyDescent="0.4">
      <c r="A290" s="55"/>
      <c r="B290" s="56"/>
      <c r="C290" s="56"/>
      <c r="D290" s="73"/>
      <c r="E290" s="77"/>
      <c r="F290" s="74" t="s">
        <v>127</v>
      </c>
      <c r="G290" s="75"/>
      <c r="H290" s="66"/>
      <c r="I290" s="67"/>
      <c r="J290" s="67"/>
      <c r="K290" s="49"/>
      <c r="L290" s="61"/>
      <c r="M290" s="61"/>
      <c r="N290" s="61"/>
    </row>
    <row r="291" spans="1:14" ht="21.75" customHeight="1" x14ac:dyDescent="0.4">
      <c r="A291" s="55"/>
      <c r="B291" s="56"/>
      <c r="C291" s="56"/>
      <c r="D291" s="73"/>
      <c r="E291" s="77"/>
      <c r="F291" s="75"/>
      <c r="G291" s="99" t="s">
        <v>50</v>
      </c>
      <c r="H291" s="66" t="s">
        <v>16</v>
      </c>
      <c r="I291" s="67">
        <f ca="1">IFERROR(__xludf.DUMMYFUNCTION("IMPORTRANGE(""https://docs.google.com/spreadsheets/d/1C3CXT74ZlgGe6_JY_1olB1XN4rF0dxEuIIF-xsYjHgg/edit?usp=sharing"",""งบกองทุน!v20"")"),100)</f>
        <v>100</v>
      </c>
      <c r="J291" s="68">
        <v>0</v>
      </c>
      <c r="K291" s="49">
        <f t="shared" ref="K291:K293" ca="1" si="67">IF(I291&gt;0,J291*100/I291,0)</f>
        <v>0</v>
      </c>
      <c r="L291" s="61"/>
      <c r="M291" s="61"/>
      <c r="N291" s="61"/>
    </row>
    <row r="292" spans="1:14" ht="21.75" customHeight="1" x14ac:dyDescent="0.4">
      <c r="A292" s="55"/>
      <c r="B292" s="56"/>
      <c r="C292" s="56"/>
      <c r="D292" s="73"/>
      <c r="E292" s="77"/>
      <c r="F292" s="75"/>
      <c r="G292" s="76" t="s">
        <v>34</v>
      </c>
      <c r="H292" s="66" t="s">
        <v>103</v>
      </c>
      <c r="I292" s="67">
        <f ca="1">IFERROR(__xludf.DUMMYFUNCTION("IMPORTRANGE(""https://docs.google.com/spreadsheets/d/1C3CXT74ZlgGe6_JY_1olB1XN4rF0dxEuIIF-xsYjHgg/edit?usp=sharing"",""งบกองทุน!w20"")"),1000)</f>
        <v>1000</v>
      </c>
      <c r="J292" s="68">
        <v>0</v>
      </c>
      <c r="K292" s="49">
        <f t="shared" ca="1" si="67"/>
        <v>0</v>
      </c>
      <c r="L292" s="61"/>
      <c r="M292" s="61"/>
      <c r="N292" s="61"/>
    </row>
    <row r="293" spans="1:14" ht="21.75" customHeight="1" x14ac:dyDescent="0.4">
      <c r="A293" s="55"/>
      <c r="B293" s="56"/>
      <c r="C293" s="56"/>
      <c r="D293" s="73"/>
      <c r="E293" s="77"/>
      <c r="F293" s="75"/>
      <c r="G293" s="76"/>
      <c r="H293" s="66" t="s">
        <v>16</v>
      </c>
      <c r="I293" s="67">
        <f ca="1">IFERROR(__xludf.DUMMYFUNCTION("IMPORTRANGE(""https://docs.google.com/spreadsheets/d/1C3CXT74ZlgGe6_JY_1olB1XN4rF0dxEuIIF-xsYjHgg/edit?usp=sharing"",""งบกองทุน!x20"")"),100)</f>
        <v>100</v>
      </c>
      <c r="J293" s="68">
        <v>0</v>
      </c>
      <c r="K293" s="49">
        <f t="shared" ca="1" si="67"/>
        <v>0</v>
      </c>
      <c r="L293" s="61"/>
      <c r="M293" s="61"/>
      <c r="N293" s="61"/>
    </row>
    <row r="294" spans="1:14" ht="21.75" customHeight="1" x14ac:dyDescent="0.4">
      <c r="A294" s="55"/>
      <c r="B294" s="56"/>
      <c r="C294" s="56"/>
      <c r="D294" s="73"/>
      <c r="E294" s="74" t="s">
        <v>35</v>
      </c>
      <c r="F294" s="75"/>
      <c r="G294" s="76"/>
      <c r="H294" s="66"/>
      <c r="I294" s="67"/>
      <c r="J294" s="68">
        <v>0</v>
      </c>
      <c r="K294" s="49"/>
      <c r="L294" s="61"/>
      <c r="M294" s="61"/>
      <c r="N294" s="61"/>
    </row>
    <row r="295" spans="1:14" ht="21.75" customHeight="1" x14ac:dyDescent="0.4">
      <c r="A295" s="55"/>
      <c r="B295" s="56"/>
      <c r="C295" s="56"/>
      <c r="D295" s="81">
        <v>3</v>
      </c>
      <c r="E295" s="82" t="s">
        <v>36</v>
      </c>
      <c r="F295" s="83"/>
      <c r="G295" s="84"/>
      <c r="H295" s="66"/>
      <c r="I295" s="67"/>
      <c r="J295" s="85">
        <v>0</v>
      </c>
      <c r="K295" s="49"/>
      <c r="L295" s="61"/>
      <c r="M295" s="61"/>
      <c r="N295" s="61"/>
    </row>
    <row r="296" spans="1:14" ht="21.75" customHeight="1" x14ac:dyDescent="0.4">
      <c r="A296" s="222"/>
      <c r="B296" s="223">
        <v>3</v>
      </c>
      <c r="C296" s="223" t="s">
        <v>128</v>
      </c>
      <c r="D296" s="224"/>
      <c r="E296" s="224"/>
      <c r="F296" s="224"/>
      <c r="G296" s="225"/>
      <c r="H296" s="226" t="s">
        <v>103</v>
      </c>
      <c r="I296" s="227">
        <f ca="1">SUM(I313,I317,I322)</f>
        <v>135</v>
      </c>
      <c r="J296" s="227">
        <f>J313+J317+J322</f>
        <v>0</v>
      </c>
      <c r="K296" s="228">
        <f t="shared" ref="K296:K297" ca="1" si="68">IF(I296&gt;0,J296*100/I296,0)</f>
        <v>0</v>
      </c>
      <c r="L296" s="229">
        <f t="shared" ref="L296:M296" ca="1" si="69">SUM(L298:L299)</f>
        <v>159950</v>
      </c>
      <c r="M296" s="229">
        <f t="shared" si="69"/>
        <v>0</v>
      </c>
      <c r="N296" s="229">
        <f ca="1">+IF(L296&gt;0,M296*100/L296,0)</f>
        <v>0</v>
      </c>
    </row>
    <row r="297" spans="1:14" ht="21.75" customHeight="1" x14ac:dyDescent="0.4">
      <c r="A297" s="222"/>
      <c r="B297" s="223"/>
      <c r="C297" s="223"/>
      <c r="D297" s="236"/>
      <c r="E297" s="236"/>
      <c r="F297" s="236"/>
      <c r="G297" s="239"/>
      <c r="H297" s="226" t="s">
        <v>16</v>
      </c>
      <c r="I297" s="227">
        <f ca="1">SUM(I312,I316,I321)</f>
        <v>45</v>
      </c>
      <c r="J297" s="227">
        <f ca="1">J311</f>
        <v>0</v>
      </c>
      <c r="K297" s="228">
        <f t="shared" ca="1" si="68"/>
        <v>0</v>
      </c>
      <c r="L297" s="229"/>
      <c r="M297" s="229"/>
      <c r="N297" s="229"/>
    </row>
    <row r="298" spans="1:14" ht="21.75" customHeight="1" x14ac:dyDescent="0.4">
      <c r="A298" s="42"/>
      <c r="B298" s="43"/>
      <c r="C298" s="43" t="s">
        <v>17</v>
      </c>
      <c r="D298" s="44" t="s">
        <v>18</v>
      </c>
      <c r="E298" s="45"/>
      <c r="F298" s="45"/>
      <c r="G298" s="46" t="s">
        <v>19</v>
      </c>
      <c r="H298" s="47" t="s">
        <v>20</v>
      </c>
      <c r="I298" s="48" t="s">
        <v>21</v>
      </c>
      <c r="J298" s="48"/>
      <c r="K298" s="49"/>
      <c r="L298" s="50">
        <v>0</v>
      </c>
      <c r="M298" s="53">
        <v>0</v>
      </c>
      <c r="N298" s="53">
        <f t="shared" ref="N298:N301" si="70">+IF(L298&gt;0,M298*100/L298,0)</f>
        <v>0</v>
      </c>
    </row>
    <row r="299" spans="1:14" ht="21.75" customHeight="1" x14ac:dyDescent="0.4">
      <c r="A299" s="42"/>
      <c r="B299" s="43"/>
      <c r="C299" s="43"/>
      <c r="D299" s="51"/>
      <c r="E299" s="45"/>
      <c r="F299" s="45" t="s">
        <v>21</v>
      </c>
      <c r="G299" s="46" t="s">
        <v>22</v>
      </c>
      <c r="H299" s="47" t="s">
        <v>20</v>
      </c>
      <c r="I299" s="48"/>
      <c r="J299" s="48"/>
      <c r="K299" s="49"/>
      <c r="L299" s="50">
        <f t="shared" ref="L299:M299" ca="1" si="71">SUM(L300:L301)</f>
        <v>159950</v>
      </c>
      <c r="M299" s="53">
        <f t="shared" si="71"/>
        <v>0</v>
      </c>
      <c r="N299" s="53">
        <f t="shared" ca="1" si="70"/>
        <v>0</v>
      </c>
    </row>
    <row r="300" spans="1:14" ht="21.75" customHeight="1" x14ac:dyDescent="0.4">
      <c r="A300" s="42"/>
      <c r="B300" s="43"/>
      <c r="C300" s="43"/>
      <c r="D300" s="51"/>
      <c r="E300" s="45"/>
      <c r="F300" s="45"/>
      <c r="G300" s="52" t="s">
        <v>110</v>
      </c>
      <c r="H300" s="47" t="s">
        <v>20</v>
      </c>
      <c r="I300" s="48"/>
      <c r="J300" s="48"/>
      <c r="K300" s="49"/>
      <c r="L300" s="53">
        <f ca="1">IFERROR(__xludf.DUMMYFUNCTION("IMPORTRANGE(""https://docs.google.com/spreadsheets/d/1C3CXT74ZlgGe6_JY_1olB1XN4rF0dxEuIIF-xsYjHgg/edit?usp=sharing"",""งบกองทุน!z20"")"),0)</f>
        <v>0</v>
      </c>
      <c r="M300" s="53">
        <v>0</v>
      </c>
      <c r="N300" s="53">
        <f t="shared" ca="1" si="70"/>
        <v>0</v>
      </c>
    </row>
    <row r="301" spans="1:14" ht="21.75" customHeight="1" x14ac:dyDescent="0.4">
      <c r="A301" s="42"/>
      <c r="B301" s="43"/>
      <c r="C301" s="43"/>
      <c r="D301" s="51"/>
      <c r="E301" s="45"/>
      <c r="F301" s="45"/>
      <c r="G301" s="52" t="s">
        <v>111</v>
      </c>
      <c r="H301" s="47" t="s">
        <v>20</v>
      </c>
      <c r="I301" s="48"/>
      <c r="J301" s="48"/>
      <c r="K301" s="49"/>
      <c r="L301" s="53">
        <f ca="1">IFERROR(__xludf.DUMMYFUNCTION("IMPORTRANGE(""https://docs.google.com/spreadsheets/d/1C3CXT74ZlgGe6_JY_1olB1XN4rF0dxEuIIF-xsYjHgg/edit?usp=sharing"",""งบกองทุน!aa20"")"),159950)</f>
        <v>159950</v>
      </c>
      <c r="M301" s="53">
        <f>SUM(M302:M305)</f>
        <v>0</v>
      </c>
      <c r="N301" s="53">
        <f t="shared" ca="1" si="70"/>
        <v>0</v>
      </c>
    </row>
    <row r="302" spans="1:14" ht="21.75" customHeight="1" x14ac:dyDescent="0.4">
      <c r="A302" s="230"/>
      <c r="B302" s="231"/>
      <c r="C302" s="43"/>
      <c r="D302" s="232"/>
      <c r="E302" s="45"/>
      <c r="F302" s="45"/>
      <c r="G302" s="46" t="s">
        <v>112</v>
      </c>
      <c r="H302" s="47" t="s">
        <v>20</v>
      </c>
      <c r="I302" s="67"/>
      <c r="J302" s="67"/>
      <c r="K302" s="233"/>
      <c r="L302" s="53"/>
      <c r="M302" s="54">
        <v>0</v>
      </c>
      <c r="N302" s="53"/>
    </row>
    <row r="303" spans="1:14" ht="21.75" customHeight="1" x14ac:dyDescent="0.4">
      <c r="A303" s="230"/>
      <c r="B303" s="231"/>
      <c r="C303" s="43"/>
      <c r="D303" s="232"/>
      <c r="E303" s="45"/>
      <c r="F303" s="45"/>
      <c r="G303" s="46" t="s">
        <v>113</v>
      </c>
      <c r="H303" s="47" t="s">
        <v>20</v>
      </c>
      <c r="I303" s="67"/>
      <c r="J303" s="67"/>
      <c r="K303" s="233"/>
      <c r="L303" s="53"/>
      <c r="M303" s="54">
        <v>0</v>
      </c>
      <c r="N303" s="53"/>
    </row>
    <row r="304" spans="1:14" ht="21.75" customHeight="1" x14ac:dyDescent="0.4">
      <c r="A304" s="230"/>
      <c r="B304" s="231"/>
      <c r="C304" s="43"/>
      <c r="D304" s="232"/>
      <c r="E304" s="45"/>
      <c r="F304" s="45"/>
      <c r="G304" s="46" t="s">
        <v>114</v>
      </c>
      <c r="H304" s="47" t="s">
        <v>20</v>
      </c>
      <c r="I304" s="67"/>
      <c r="J304" s="67"/>
      <c r="K304" s="233"/>
      <c r="L304" s="53"/>
      <c r="M304" s="54">
        <v>0</v>
      </c>
      <c r="N304" s="53"/>
    </row>
    <row r="305" spans="1:14" ht="21.75" customHeight="1" x14ac:dyDescent="0.4">
      <c r="A305" s="230"/>
      <c r="B305" s="231"/>
      <c r="C305" s="43"/>
      <c r="D305" s="232"/>
      <c r="E305" s="45"/>
      <c r="F305" s="45"/>
      <c r="G305" s="46" t="s">
        <v>115</v>
      </c>
      <c r="H305" s="47" t="s">
        <v>20</v>
      </c>
      <c r="I305" s="67"/>
      <c r="J305" s="67"/>
      <c r="K305" s="233"/>
      <c r="L305" s="53"/>
      <c r="M305" s="54">
        <v>0</v>
      </c>
      <c r="N305" s="53"/>
    </row>
    <row r="306" spans="1:14" ht="21.75" customHeight="1" x14ac:dyDescent="0.4">
      <c r="A306" s="55"/>
      <c r="B306" s="56"/>
      <c r="C306" s="43" t="s">
        <v>17</v>
      </c>
      <c r="D306" s="57" t="s">
        <v>25</v>
      </c>
      <c r="E306" s="58"/>
      <c r="F306" s="58"/>
      <c r="G306" s="59"/>
      <c r="H306" s="60"/>
      <c r="I306" s="48"/>
      <c r="J306" s="48"/>
      <c r="K306" s="49"/>
      <c r="L306" s="61"/>
      <c r="M306" s="61"/>
      <c r="N306" s="61"/>
    </row>
    <row r="307" spans="1:14" ht="21.75" customHeight="1" x14ac:dyDescent="0.4">
      <c r="A307" s="55"/>
      <c r="B307" s="56"/>
      <c r="C307" s="56"/>
      <c r="D307" s="62">
        <v>1</v>
      </c>
      <c r="E307" s="63" t="s">
        <v>26</v>
      </c>
      <c r="F307" s="64"/>
      <c r="G307" s="65"/>
      <c r="H307" s="66"/>
      <c r="I307" s="67"/>
      <c r="J307" s="68">
        <v>0</v>
      </c>
      <c r="K307" s="49"/>
      <c r="L307" s="61"/>
      <c r="M307" s="61"/>
      <c r="N307" s="61"/>
    </row>
    <row r="308" spans="1:14" ht="21.75" customHeight="1" x14ac:dyDescent="0.4">
      <c r="A308" s="55"/>
      <c r="B308" s="56"/>
      <c r="C308" s="56"/>
      <c r="D308" s="69">
        <v>2</v>
      </c>
      <c r="E308" s="70" t="s">
        <v>27</v>
      </c>
      <c r="F308" s="71"/>
      <c r="G308" s="72"/>
      <c r="H308" s="66"/>
      <c r="I308" s="67"/>
      <c r="J308" s="68">
        <v>1</v>
      </c>
      <c r="K308" s="49"/>
      <c r="L308" s="61" t="s">
        <v>21</v>
      </c>
      <c r="M308" s="61" t="s">
        <v>21</v>
      </c>
      <c r="N308" s="61"/>
    </row>
    <row r="309" spans="1:14" ht="21.75" customHeight="1" x14ac:dyDescent="0.4">
      <c r="A309" s="55"/>
      <c r="B309" s="56"/>
      <c r="C309" s="56"/>
      <c r="D309" s="73"/>
      <c r="E309" s="74" t="s">
        <v>28</v>
      </c>
      <c r="F309" s="75"/>
      <c r="G309" s="76"/>
      <c r="H309" s="66"/>
      <c r="I309" s="67"/>
      <c r="J309" s="68">
        <v>0</v>
      </c>
      <c r="K309" s="49"/>
      <c r="L309" s="61"/>
      <c r="M309" s="61"/>
      <c r="N309" s="61"/>
    </row>
    <row r="310" spans="1:14" ht="21.75" customHeight="1" x14ac:dyDescent="0.4">
      <c r="A310" s="55"/>
      <c r="B310" s="56"/>
      <c r="C310" s="56"/>
      <c r="D310" s="73"/>
      <c r="E310" s="74" t="s">
        <v>29</v>
      </c>
      <c r="F310" s="75"/>
      <c r="G310" s="76"/>
      <c r="H310" s="66"/>
      <c r="I310" s="67"/>
      <c r="J310" s="68">
        <v>0</v>
      </c>
      <c r="K310" s="49"/>
      <c r="L310" s="61"/>
      <c r="M310" s="61"/>
      <c r="N310" s="61"/>
    </row>
    <row r="311" spans="1:14" ht="21.75" customHeight="1" x14ac:dyDescent="0.4">
      <c r="A311" s="55"/>
      <c r="B311" s="56"/>
      <c r="C311" s="56"/>
      <c r="D311" s="73"/>
      <c r="E311" s="77"/>
      <c r="F311" s="74" t="s">
        <v>50</v>
      </c>
      <c r="G311" s="240"/>
      <c r="H311" s="241" t="s">
        <v>16</v>
      </c>
      <c r="I311" s="79">
        <f t="shared" ref="I311:J311" ca="1" si="72">+I312+I316+I321</f>
        <v>45</v>
      </c>
      <c r="J311" s="79">
        <f t="shared" ca="1" si="72"/>
        <v>0</v>
      </c>
      <c r="K311" s="80">
        <f t="shared" ref="K311:K327" ca="1" si="73">IF(I311&gt;0,J311*100/I311,0)</f>
        <v>0</v>
      </c>
      <c r="L311" s="61"/>
      <c r="M311" s="61"/>
      <c r="N311" s="61"/>
    </row>
    <row r="312" spans="1:14" ht="21.75" customHeight="1" x14ac:dyDescent="0.4">
      <c r="A312" s="55"/>
      <c r="B312" s="56"/>
      <c r="C312" s="56"/>
      <c r="D312" s="73"/>
      <c r="E312" s="77"/>
      <c r="F312" s="242" t="s">
        <v>129</v>
      </c>
      <c r="G312" s="76"/>
      <c r="H312" s="78" t="s">
        <v>16</v>
      </c>
      <c r="I312" s="243">
        <f ca="1">IFERROR(__xludf.DUMMYFUNCTION("IMPORTRANGE(""https://docs.google.com/spreadsheets/d/1C3CXT74ZlgGe6_JY_1olB1XN4rF0dxEuIIF-xsYjHgg/edit?usp=sharing"",""งบกองทุน!ae20"")"),10)</f>
        <v>10</v>
      </c>
      <c r="J312" s="79">
        <f ca="1">IF(AND(J314=I314,J315=I315),I314,0)</f>
        <v>0</v>
      </c>
      <c r="K312" s="80">
        <f t="shared" ca="1" si="73"/>
        <v>0</v>
      </c>
      <c r="L312" s="61"/>
      <c r="M312" s="61"/>
      <c r="N312" s="61"/>
    </row>
    <row r="313" spans="1:14" ht="21.75" customHeight="1" x14ac:dyDescent="0.4">
      <c r="A313" s="55"/>
      <c r="B313" s="56"/>
      <c r="C313" s="56"/>
      <c r="D313" s="73"/>
      <c r="E313" s="77"/>
      <c r="F313" s="75"/>
      <c r="G313" s="76"/>
      <c r="H313" s="78" t="s">
        <v>103</v>
      </c>
      <c r="I313" s="243">
        <f ca="1">IFERROR(__xludf.DUMMYFUNCTION("IMPORTRANGE(""https://docs.google.com/spreadsheets/d/1C3CXT74ZlgGe6_JY_1olB1XN4rF0dxEuIIF-xsYjHgg/edit?usp=sharing"",""งบกองทุน!ad20"")"),30)</f>
        <v>30</v>
      </c>
      <c r="J313" s="154">
        <v>0</v>
      </c>
      <c r="K313" s="80">
        <f t="shared" ca="1" si="73"/>
        <v>0</v>
      </c>
      <c r="L313" s="61"/>
      <c r="M313" s="61"/>
      <c r="N313" s="61"/>
    </row>
    <row r="314" spans="1:14" ht="21.75" customHeight="1" x14ac:dyDescent="0.4">
      <c r="A314" s="55"/>
      <c r="B314" s="56"/>
      <c r="C314" s="56"/>
      <c r="D314" s="73"/>
      <c r="E314" s="77"/>
      <c r="F314" s="75"/>
      <c r="G314" s="99" t="s">
        <v>130</v>
      </c>
      <c r="H314" s="60" t="s">
        <v>16</v>
      </c>
      <c r="I314" s="200">
        <f ca="1">IFERROR(__xludf.DUMMYFUNCTION("IMPORTRANGE(""https://docs.google.com/spreadsheets/d/1C3CXT74ZlgGe6_JY_1olB1XN4rF0dxEuIIF-xsYjHgg/edit?usp=sharing"",""งบกองทุน!af20"")"),10)</f>
        <v>10</v>
      </c>
      <c r="J314" s="68">
        <v>0</v>
      </c>
      <c r="K314" s="49">
        <f t="shared" ca="1" si="73"/>
        <v>0</v>
      </c>
      <c r="L314" s="61"/>
      <c r="M314" s="61"/>
      <c r="N314" s="61"/>
    </row>
    <row r="315" spans="1:14" ht="21.75" customHeight="1" x14ac:dyDescent="0.4">
      <c r="A315" s="105"/>
      <c r="B315" s="106"/>
      <c r="C315" s="106"/>
      <c r="D315" s="244"/>
      <c r="E315" s="245"/>
      <c r="F315" s="204"/>
      <c r="G315" s="246" t="s">
        <v>131</v>
      </c>
      <c r="H315" s="206" t="s">
        <v>16</v>
      </c>
      <c r="I315" s="207">
        <f ca="1">IFERROR(__xludf.DUMMYFUNCTION("IMPORTRANGE(""https://docs.google.com/spreadsheets/d/1C3CXT74ZlgGe6_JY_1olB1XN4rF0dxEuIIF-xsYjHgg/edit?usp=sharing"",""งบกองทุน!ag20"")"),10)</f>
        <v>10</v>
      </c>
      <c r="J315" s="247">
        <v>0</v>
      </c>
      <c r="K315" s="114">
        <f t="shared" ca="1" si="73"/>
        <v>0</v>
      </c>
      <c r="L315" s="115"/>
      <c r="M315" s="115"/>
      <c r="N315" s="115"/>
    </row>
    <row r="316" spans="1:14" ht="21.75" customHeight="1" x14ac:dyDescent="0.4">
      <c r="A316" s="55"/>
      <c r="B316" s="56"/>
      <c r="C316" s="56"/>
      <c r="D316" s="73"/>
      <c r="E316" s="77"/>
      <c r="F316" s="242" t="s">
        <v>132</v>
      </c>
      <c r="G316" s="76"/>
      <c r="H316" s="78" t="s">
        <v>16</v>
      </c>
      <c r="I316" s="243">
        <f ca="1">IFERROR(__xludf.DUMMYFUNCTION("IMPORTRANGE(""https://docs.google.com/spreadsheets/d/1C3CXT74ZlgGe6_JY_1olB1XN4rF0dxEuIIF-xsYjHgg/edit?usp=sharing"",""งบกองทุน!ai20"")"),25)</f>
        <v>25</v>
      </c>
      <c r="J316" s="79">
        <f ca="1">IF(AND(J318=I318,J319=I319,J320=I320),I318,0)</f>
        <v>0</v>
      </c>
      <c r="K316" s="80">
        <f t="shared" ca="1" si="73"/>
        <v>0</v>
      </c>
      <c r="L316" s="61"/>
      <c r="M316" s="61"/>
      <c r="N316" s="61"/>
    </row>
    <row r="317" spans="1:14" ht="21.75" customHeight="1" x14ac:dyDescent="0.4">
      <c r="A317" s="55"/>
      <c r="B317" s="56"/>
      <c r="C317" s="56"/>
      <c r="D317" s="73"/>
      <c r="E317" s="77"/>
      <c r="F317" s="75"/>
      <c r="G317" s="76"/>
      <c r="H317" s="78" t="s">
        <v>103</v>
      </c>
      <c r="I317" s="243">
        <f ca="1">IFERROR(__xludf.DUMMYFUNCTION("IMPORTRANGE(""https://docs.google.com/spreadsheets/d/1C3CXT74ZlgGe6_JY_1olB1XN4rF0dxEuIIF-xsYjHgg/edit?usp=sharing"",""งบกองทุน!ah20"")"),75)</f>
        <v>75</v>
      </c>
      <c r="J317" s="154">
        <v>0</v>
      </c>
      <c r="K317" s="80">
        <f t="shared" ca="1" si="73"/>
        <v>0</v>
      </c>
      <c r="L317" s="61"/>
      <c r="M317" s="61"/>
      <c r="N317" s="61"/>
    </row>
    <row r="318" spans="1:14" ht="21.75" customHeight="1" x14ac:dyDescent="0.4">
      <c r="A318" s="55"/>
      <c r="B318" s="56"/>
      <c r="C318" s="56"/>
      <c r="D318" s="73"/>
      <c r="E318" s="77"/>
      <c r="F318" s="75"/>
      <c r="G318" s="99" t="s">
        <v>133</v>
      </c>
      <c r="H318" s="60" t="s">
        <v>16</v>
      </c>
      <c r="I318" s="200">
        <f ca="1">IFERROR(__xludf.DUMMYFUNCTION("IMPORTRANGE(""https://docs.google.com/spreadsheets/d/1C3CXT74ZlgGe6_JY_1olB1XN4rF0dxEuIIF-xsYjHgg/edit?usp=sharing"",""งบกองทุน!aj20"")"),25)</f>
        <v>25</v>
      </c>
      <c r="J318" s="68">
        <v>0</v>
      </c>
      <c r="K318" s="49">
        <f t="shared" ca="1" si="73"/>
        <v>0</v>
      </c>
      <c r="L318" s="61"/>
      <c r="M318" s="61"/>
      <c r="N318" s="61"/>
    </row>
    <row r="319" spans="1:14" ht="21.75" customHeight="1" x14ac:dyDescent="0.4">
      <c r="A319" s="55"/>
      <c r="B319" s="56"/>
      <c r="C319" s="56"/>
      <c r="D319" s="73"/>
      <c r="E319" s="77"/>
      <c r="F319" s="75"/>
      <c r="G319" s="99" t="s">
        <v>134</v>
      </c>
      <c r="H319" s="60" t="s">
        <v>16</v>
      </c>
      <c r="I319" s="200">
        <f ca="1">IFERROR(__xludf.DUMMYFUNCTION("IMPORTRANGE(""https://docs.google.com/spreadsheets/d/1C3CXT74ZlgGe6_JY_1olB1XN4rF0dxEuIIF-xsYjHgg/edit?usp=sharing"",""งบกองทุน!ak20"")"),25)</f>
        <v>25</v>
      </c>
      <c r="J319" s="68">
        <v>0</v>
      </c>
      <c r="K319" s="49">
        <f t="shared" ca="1" si="73"/>
        <v>0</v>
      </c>
      <c r="L319" s="61"/>
      <c r="M319" s="61"/>
      <c r="N319" s="61"/>
    </row>
    <row r="320" spans="1:14" ht="21.75" customHeight="1" x14ac:dyDescent="0.4">
      <c r="A320" s="55"/>
      <c r="B320" s="56"/>
      <c r="C320" s="56"/>
      <c r="D320" s="73"/>
      <c r="E320" s="77"/>
      <c r="F320" s="75"/>
      <c r="G320" s="99" t="s">
        <v>135</v>
      </c>
      <c r="H320" s="60" t="s">
        <v>16</v>
      </c>
      <c r="I320" s="200">
        <f ca="1">IFERROR(__xludf.DUMMYFUNCTION("IMPORTRANGE(""https://docs.google.com/spreadsheets/d/1C3CXT74ZlgGe6_JY_1olB1XN4rF0dxEuIIF-xsYjHgg/edit?usp=sharing"",""งบกองทุน!al20"")"),25)</f>
        <v>25</v>
      </c>
      <c r="J320" s="68">
        <v>0</v>
      </c>
      <c r="K320" s="49">
        <f t="shared" ca="1" si="73"/>
        <v>0</v>
      </c>
      <c r="L320" s="61"/>
      <c r="M320" s="61"/>
      <c r="N320" s="61"/>
    </row>
    <row r="321" spans="1:14" ht="21.75" customHeight="1" x14ac:dyDescent="0.4">
      <c r="A321" s="55"/>
      <c r="B321" s="56"/>
      <c r="C321" s="56"/>
      <c r="D321" s="73"/>
      <c r="E321" s="77"/>
      <c r="F321" s="242" t="s">
        <v>136</v>
      </c>
      <c r="G321" s="76"/>
      <c r="H321" s="78" t="s">
        <v>16</v>
      </c>
      <c r="I321" s="243">
        <f ca="1">IFERROR(__xludf.DUMMYFUNCTION("IMPORTRANGE(""https://docs.google.com/spreadsheets/d/1C3CXT74ZlgGe6_JY_1olB1XN4rF0dxEuIIF-xsYjHgg/edit?usp=sharing"",""งบกองทุน!an20"")"),10)</f>
        <v>10</v>
      </c>
      <c r="J321" s="79">
        <f ca="1">IF(AND(J323=I323,J324=I324),I323,0)</f>
        <v>0</v>
      </c>
      <c r="K321" s="80">
        <f t="shared" ca="1" si="73"/>
        <v>0</v>
      </c>
      <c r="L321" s="61"/>
      <c r="M321" s="61"/>
      <c r="N321" s="61"/>
    </row>
    <row r="322" spans="1:14" ht="21.75" customHeight="1" x14ac:dyDescent="0.4">
      <c r="A322" s="55"/>
      <c r="B322" s="56"/>
      <c r="C322" s="56"/>
      <c r="D322" s="73"/>
      <c r="E322" s="77"/>
      <c r="F322" s="75"/>
      <c r="G322" s="76"/>
      <c r="H322" s="78" t="s">
        <v>103</v>
      </c>
      <c r="I322" s="243">
        <f ca="1">IFERROR(__xludf.DUMMYFUNCTION("IMPORTRANGE(""https://docs.google.com/spreadsheets/d/1C3CXT74ZlgGe6_JY_1olB1XN4rF0dxEuIIF-xsYjHgg/edit?usp=sharing"",""งบกองทุน!am20"")"),30)</f>
        <v>30</v>
      </c>
      <c r="J322" s="154">
        <v>0</v>
      </c>
      <c r="K322" s="80">
        <f t="shared" ca="1" si="73"/>
        <v>0</v>
      </c>
      <c r="L322" s="61"/>
      <c r="M322" s="61"/>
      <c r="N322" s="61"/>
    </row>
    <row r="323" spans="1:14" ht="21.75" customHeight="1" x14ac:dyDescent="0.4">
      <c r="A323" s="55"/>
      <c r="B323" s="56"/>
      <c r="C323" s="56"/>
      <c r="D323" s="73"/>
      <c r="E323" s="77"/>
      <c r="F323" s="75"/>
      <c r="G323" s="99" t="s">
        <v>137</v>
      </c>
      <c r="H323" s="60" t="s">
        <v>16</v>
      </c>
      <c r="I323" s="248">
        <f ca="1">IFERROR(__xludf.DUMMYFUNCTION("IMPORTRANGE(""https://docs.google.com/spreadsheets/d/1C3CXT74ZlgGe6_JY_1olB1XN4rF0dxEuIIF-xsYjHgg/edit?usp=sharing"",""งบกองทุน!ao20"")"),10)</f>
        <v>10</v>
      </c>
      <c r="J323" s="68">
        <v>0</v>
      </c>
      <c r="K323" s="49">
        <f t="shared" ca="1" si="73"/>
        <v>0</v>
      </c>
      <c r="L323" s="61"/>
      <c r="M323" s="61"/>
      <c r="N323" s="61"/>
    </row>
    <row r="324" spans="1:14" ht="21.75" customHeight="1" x14ac:dyDescent="0.4">
      <c r="A324" s="55"/>
      <c r="B324" s="56"/>
      <c r="C324" s="56"/>
      <c r="D324" s="73"/>
      <c r="E324" s="77"/>
      <c r="F324" s="75"/>
      <c r="G324" s="99" t="s">
        <v>138</v>
      </c>
      <c r="H324" s="60" t="s">
        <v>16</v>
      </c>
      <c r="I324" s="248">
        <f ca="1">IFERROR(__xludf.DUMMYFUNCTION("IMPORTRANGE(""https://docs.google.com/spreadsheets/d/1C3CXT74ZlgGe6_JY_1olB1XN4rF0dxEuIIF-xsYjHgg/edit?usp=sharing"",""งบกองทุน!ap20"")"),10)</f>
        <v>10</v>
      </c>
      <c r="J324" s="68">
        <v>0</v>
      </c>
      <c r="K324" s="49">
        <f t="shared" ca="1" si="73"/>
        <v>0</v>
      </c>
      <c r="L324" s="61"/>
      <c r="M324" s="61"/>
      <c r="N324" s="61"/>
    </row>
    <row r="325" spans="1:14" ht="21.75" customHeight="1" x14ac:dyDescent="0.4">
      <c r="A325" s="55"/>
      <c r="B325" s="56"/>
      <c r="C325" s="56"/>
      <c r="D325" s="73"/>
      <c r="E325" s="77"/>
      <c r="F325" s="74" t="s">
        <v>34</v>
      </c>
      <c r="G325" s="240"/>
      <c r="H325" s="241" t="s">
        <v>16</v>
      </c>
      <c r="I325" s="79">
        <f ca="1">SUM(I326,I327)</f>
        <v>35</v>
      </c>
      <c r="J325" s="79">
        <f ca="1">IF(AND(J326=I326,J327=I327),I325,0)</f>
        <v>0</v>
      </c>
      <c r="K325" s="80">
        <f t="shared" ca="1" si="73"/>
        <v>0</v>
      </c>
      <c r="L325" s="61"/>
      <c r="M325" s="61"/>
      <c r="N325" s="61"/>
    </row>
    <row r="326" spans="1:14" ht="21.75" customHeight="1" x14ac:dyDescent="0.4">
      <c r="A326" s="249"/>
      <c r="B326" s="250"/>
      <c r="C326" s="250"/>
      <c r="D326" s="251"/>
      <c r="E326" s="77"/>
      <c r="F326" s="75"/>
      <c r="G326" s="99" t="s">
        <v>139</v>
      </c>
      <c r="H326" s="60" t="s">
        <v>16</v>
      </c>
      <c r="I326" s="248">
        <f ca="1">IFERROR(__xludf.DUMMYFUNCTION("IMPORTRANGE(""https://docs.google.com/spreadsheets/d/1C3CXT74ZlgGe6_JY_1olB1XN4rF0dxEuIIF-xsYjHgg/edit?usp=sharing"",""งบกองทุน!ar20"")"),10)</f>
        <v>10</v>
      </c>
      <c r="J326" s="68">
        <v>0</v>
      </c>
      <c r="K326" s="49">
        <f t="shared" ca="1" si="73"/>
        <v>0</v>
      </c>
      <c r="L326" s="61"/>
      <c r="M326" s="61"/>
      <c r="N326" s="61"/>
    </row>
    <row r="327" spans="1:14" ht="21.75" customHeight="1" x14ac:dyDescent="0.4">
      <c r="A327" s="249"/>
      <c r="B327" s="250"/>
      <c r="C327" s="250"/>
      <c r="D327" s="251"/>
      <c r="E327" s="77"/>
      <c r="F327" s="75"/>
      <c r="G327" s="99" t="s">
        <v>140</v>
      </c>
      <c r="H327" s="60" t="s">
        <v>16</v>
      </c>
      <c r="I327" s="248">
        <f ca="1">IFERROR(__xludf.DUMMYFUNCTION("IMPORTRANGE(""https://docs.google.com/spreadsheets/d/1C3CXT74ZlgGe6_JY_1olB1XN4rF0dxEuIIF-xsYjHgg/edit?usp=sharing"",""งบกองทุน!as20"")"),25)</f>
        <v>25</v>
      </c>
      <c r="J327" s="68">
        <v>0</v>
      </c>
      <c r="K327" s="49">
        <f t="shared" ca="1" si="73"/>
        <v>0</v>
      </c>
      <c r="L327" s="61"/>
      <c r="M327" s="61"/>
      <c r="N327" s="61"/>
    </row>
    <row r="328" spans="1:14" ht="21.75" customHeight="1" x14ac:dyDescent="0.4">
      <c r="A328" s="55"/>
      <c r="B328" s="56"/>
      <c r="C328" s="56"/>
      <c r="D328" s="73"/>
      <c r="E328" s="74" t="s">
        <v>35</v>
      </c>
      <c r="F328" s="75"/>
      <c r="G328" s="76"/>
      <c r="H328" s="66"/>
      <c r="I328" s="67"/>
      <c r="J328" s="68">
        <v>0</v>
      </c>
      <c r="K328" s="49"/>
      <c r="L328" s="61"/>
      <c r="M328" s="61"/>
      <c r="N328" s="61"/>
    </row>
    <row r="329" spans="1:14" ht="21.75" customHeight="1" x14ac:dyDescent="0.4">
      <c r="A329" s="55"/>
      <c r="B329" s="56"/>
      <c r="C329" s="56"/>
      <c r="D329" s="81">
        <v>3</v>
      </c>
      <c r="E329" s="82" t="s">
        <v>36</v>
      </c>
      <c r="F329" s="83"/>
      <c r="G329" s="84"/>
      <c r="H329" s="66"/>
      <c r="I329" s="67"/>
      <c r="J329" s="85">
        <v>0</v>
      </c>
      <c r="K329" s="49"/>
      <c r="L329" s="61"/>
      <c r="M329" s="61"/>
      <c r="N329" s="61"/>
    </row>
    <row r="330" spans="1:14" ht="21.75" customHeight="1" x14ac:dyDescent="0.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40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134600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4">
      <c r="A331" s="42"/>
      <c r="B331" s="43"/>
      <c r="C331" s="43" t="s">
        <v>17</v>
      </c>
      <c r="D331" s="44" t="s">
        <v>18</v>
      </c>
      <c r="E331" s="45"/>
      <c r="F331" s="45"/>
      <c r="G331" s="46" t="s">
        <v>19</v>
      </c>
      <c r="H331" s="47" t="s">
        <v>20</v>
      </c>
      <c r="I331" s="48" t="s">
        <v>21</v>
      </c>
      <c r="J331" s="48"/>
      <c r="K331" s="49"/>
      <c r="L331" s="50">
        <v>0</v>
      </c>
      <c r="M331" s="53">
        <v>0</v>
      </c>
      <c r="N331" s="53">
        <f t="shared" si="75"/>
        <v>0</v>
      </c>
    </row>
    <row r="332" spans="1:14" ht="21.75" customHeight="1" x14ac:dyDescent="0.4">
      <c r="A332" s="42"/>
      <c r="B332" s="43"/>
      <c r="C332" s="43"/>
      <c r="D332" s="51"/>
      <c r="E332" s="45"/>
      <c r="F332" s="45" t="s">
        <v>21</v>
      </c>
      <c r="G332" s="46" t="s">
        <v>22</v>
      </c>
      <c r="H332" s="47" t="s">
        <v>20</v>
      </c>
      <c r="I332" s="48"/>
      <c r="J332" s="48"/>
      <c r="K332" s="49"/>
      <c r="L332" s="50">
        <f t="shared" ref="L332:M332" ca="1" si="76">SUM(L333:L334)</f>
        <v>134600</v>
      </c>
      <c r="M332" s="53">
        <f t="shared" si="76"/>
        <v>0</v>
      </c>
      <c r="N332" s="53">
        <f t="shared" ca="1" si="75"/>
        <v>0</v>
      </c>
    </row>
    <row r="333" spans="1:14" ht="21.75" customHeight="1" x14ac:dyDescent="0.4">
      <c r="A333" s="42"/>
      <c r="B333" s="43"/>
      <c r="C333" s="43"/>
      <c r="D333" s="51"/>
      <c r="E333" s="45"/>
      <c r="F333" s="45"/>
      <c r="G333" s="52" t="s">
        <v>110</v>
      </c>
      <c r="H333" s="47" t="s">
        <v>20</v>
      </c>
      <c r="I333" s="48"/>
      <c r="J333" s="48"/>
      <c r="K333" s="49"/>
      <c r="L333" s="53">
        <f ca="1">IFERROR(__xludf.DUMMYFUNCTION("IMPORTRANGE(""https://docs.google.com/spreadsheets/d/1C3CXT74ZlgGe6_JY_1olB1XN4rF0dxEuIIF-xsYjHgg/edit?usp=sharing"",""งบกองทุน!au20"")"),0)</f>
        <v>0</v>
      </c>
      <c r="M333" s="53">
        <v>0</v>
      </c>
      <c r="N333" s="53">
        <f t="shared" ca="1" si="75"/>
        <v>0</v>
      </c>
    </row>
    <row r="334" spans="1:14" ht="21.75" customHeight="1" x14ac:dyDescent="0.4">
      <c r="A334" s="42"/>
      <c r="B334" s="43"/>
      <c r="C334" s="43"/>
      <c r="D334" s="51"/>
      <c r="E334" s="45"/>
      <c r="F334" s="45"/>
      <c r="G334" s="52" t="s">
        <v>111</v>
      </c>
      <c r="H334" s="47" t="s">
        <v>20</v>
      </c>
      <c r="I334" s="48"/>
      <c r="J334" s="48"/>
      <c r="K334" s="49"/>
      <c r="L334" s="53">
        <f ca="1">IFERROR(__xludf.DUMMYFUNCTION("IMPORTRANGE(""https://docs.google.com/spreadsheets/d/1C3CXT74ZlgGe6_JY_1olB1XN4rF0dxEuIIF-xsYjHgg/edit?usp=sharing"",""งบกองทุน!av20"")"),134600)</f>
        <v>134600</v>
      </c>
      <c r="M334" s="53">
        <f>SUM(M335:M338)</f>
        <v>0</v>
      </c>
      <c r="N334" s="53">
        <f t="shared" ca="1" si="75"/>
        <v>0</v>
      </c>
    </row>
    <row r="335" spans="1:14" ht="21.75" customHeight="1" x14ac:dyDescent="0.4">
      <c r="A335" s="230"/>
      <c r="B335" s="231"/>
      <c r="C335" s="43"/>
      <c r="D335" s="232"/>
      <c r="E335" s="45"/>
      <c r="F335" s="45"/>
      <c r="G335" s="46" t="s">
        <v>112</v>
      </c>
      <c r="H335" s="47" t="s">
        <v>20</v>
      </c>
      <c r="I335" s="67"/>
      <c r="J335" s="67"/>
      <c r="K335" s="233"/>
      <c r="L335" s="53"/>
      <c r="M335" s="54">
        <v>0</v>
      </c>
      <c r="N335" s="53"/>
    </row>
    <row r="336" spans="1:14" ht="21.75" customHeight="1" x14ac:dyDescent="0.4">
      <c r="A336" s="230"/>
      <c r="B336" s="231"/>
      <c r="C336" s="43"/>
      <c r="D336" s="232"/>
      <c r="E336" s="45"/>
      <c r="F336" s="45"/>
      <c r="G336" s="46" t="s">
        <v>113</v>
      </c>
      <c r="H336" s="47" t="s">
        <v>20</v>
      </c>
      <c r="I336" s="67"/>
      <c r="J336" s="67"/>
      <c r="K336" s="233"/>
      <c r="L336" s="53"/>
      <c r="M336" s="54">
        <v>0</v>
      </c>
      <c r="N336" s="53"/>
    </row>
    <row r="337" spans="1:14" ht="21.75" customHeight="1" x14ac:dyDescent="0.4">
      <c r="A337" s="230"/>
      <c r="B337" s="231"/>
      <c r="C337" s="43"/>
      <c r="D337" s="232"/>
      <c r="E337" s="45"/>
      <c r="F337" s="45"/>
      <c r="G337" s="46" t="s">
        <v>114</v>
      </c>
      <c r="H337" s="47" t="s">
        <v>20</v>
      </c>
      <c r="I337" s="67"/>
      <c r="J337" s="67"/>
      <c r="K337" s="233"/>
      <c r="L337" s="53"/>
      <c r="M337" s="54">
        <v>0</v>
      </c>
      <c r="N337" s="53"/>
    </row>
    <row r="338" spans="1:14" ht="21.75" customHeight="1" x14ac:dyDescent="0.4">
      <c r="A338" s="230"/>
      <c r="B338" s="231"/>
      <c r="C338" s="43"/>
      <c r="D338" s="232"/>
      <c r="E338" s="45"/>
      <c r="F338" s="45"/>
      <c r="G338" s="46" t="s">
        <v>115</v>
      </c>
      <c r="H338" s="47" t="s">
        <v>20</v>
      </c>
      <c r="I338" s="67"/>
      <c r="J338" s="67"/>
      <c r="K338" s="233"/>
      <c r="L338" s="53"/>
      <c r="M338" s="54">
        <v>0</v>
      </c>
      <c r="N338" s="53"/>
    </row>
    <row r="339" spans="1:14" ht="21.75" customHeight="1" x14ac:dyDescent="0.4">
      <c r="A339" s="55"/>
      <c r="B339" s="56"/>
      <c r="C339" s="43" t="s">
        <v>17</v>
      </c>
      <c r="D339" s="57" t="s">
        <v>25</v>
      </c>
      <c r="E339" s="58"/>
      <c r="F339" s="58"/>
      <c r="G339" s="59"/>
      <c r="H339" s="60"/>
      <c r="I339" s="48"/>
      <c r="J339" s="48"/>
      <c r="K339" s="49"/>
      <c r="L339" s="61"/>
      <c r="M339" s="61"/>
      <c r="N339" s="61"/>
    </row>
    <row r="340" spans="1:14" ht="21.75" customHeight="1" x14ac:dyDescent="0.4">
      <c r="A340" s="55"/>
      <c r="B340" s="56"/>
      <c r="C340" s="56"/>
      <c r="D340" s="62">
        <v>1</v>
      </c>
      <c r="E340" s="63" t="s">
        <v>26</v>
      </c>
      <c r="F340" s="64"/>
      <c r="G340" s="65"/>
      <c r="H340" s="66"/>
      <c r="I340" s="67"/>
      <c r="J340" s="85">
        <v>0</v>
      </c>
      <c r="K340" s="49"/>
      <c r="L340" s="61"/>
      <c r="M340" s="61"/>
      <c r="N340" s="61"/>
    </row>
    <row r="341" spans="1:14" ht="21.75" customHeight="1" x14ac:dyDescent="0.4">
      <c r="A341" s="55"/>
      <c r="B341" s="56"/>
      <c r="C341" s="56"/>
      <c r="D341" s="69">
        <v>2</v>
      </c>
      <c r="E341" s="70" t="s">
        <v>27</v>
      </c>
      <c r="F341" s="71"/>
      <c r="G341" s="72"/>
      <c r="H341" s="66"/>
      <c r="I341" s="67"/>
      <c r="J341" s="85">
        <v>1</v>
      </c>
      <c r="K341" s="49"/>
      <c r="L341" s="61" t="s">
        <v>21</v>
      </c>
      <c r="M341" s="61" t="s">
        <v>21</v>
      </c>
      <c r="N341" s="61"/>
    </row>
    <row r="342" spans="1:14" ht="21.75" customHeight="1" x14ac:dyDescent="0.4">
      <c r="A342" s="55"/>
      <c r="B342" s="56"/>
      <c r="C342" s="56"/>
      <c r="D342" s="73"/>
      <c r="E342" s="74" t="s">
        <v>142</v>
      </c>
      <c r="F342" s="75"/>
      <c r="G342" s="76"/>
      <c r="H342" s="66"/>
      <c r="I342" s="67"/>
      <c r="J342" s="68">
        <v>1</v>
      </c>
      <c r="K342" s="49"/>
      <c r="L342" s="61"/>
      <c r="M342" s="61"/>
      <c r="N342" s="61"/>
    </row>
    <row r="343" spans="1:14" ht="21.75" customHeight="1" x14ac:dyDescent="0.4">
      <c r="A343" s="55"/>
      <c r="B343" s="56"/>
      <c r="C343" s="56"/>
      <c r="D343" s="73"/>
      <c r="E343" s="74" t="s">
        <v>29</v>
      </c>
      <c r="F343" s="75"/>
      <c r="G343" s="76"/>
      <c r="H343" s="66"/>
      <c r="I343" s="67"/>
      <c r="J343" s="68">
        <v>0</v>
      </c>
      <c r="K343" s="49"/>
      <c r="L343" s="61"/>
      <c r="M343" s="61"/>
      <c r="N343" s="61"/>
    </row>
    <row r="344" spans="1:14" ht="21.75" customHeight="1" x14ac:dyDescent="0.4">
      <c r="A344" s="55"/>
      <c r="B344" s="56"/>
      <c r="C344" s="56"/>
      <c r="D344" s="73"/>
      <c r="E344" s="77"/>
      <c r="F344" s="260" t="s">
        <v>82</v>
      </c>
      <c r="G344" s="76"/>
      <c r="H344" s="66" t="s">
        <v>16</v>
      </c>
      <c r="I344" s="243">
        <f t="shared" ref="I344:J344" ca="1" si="77">+I345+I346+I347</f>
        <v>40</v>
      </c>
      <c r="J344" s="79">
        <f t="shared" si="77"/>
        <v>0</v>
      </c>
      <c r="K344" s="49">
        <f t="shared" ref="K344:K347" ca="1" si="78">IF(I344&gt;0,J344*100/I344,0)</f>
        <v>0</v>
      </c>
      <c r="L344" s="61"/>
      <c r="M344" s="61"/>
      <c r="N344" s="61"/>
    </row>
    <row r="345" spans="1:14" ht="21.75" customHeight="1" x14ac:dyDescent="0.4">
      <c r="A345" s="55"/>
      <c r="B345" s="56"/>
      <c r="C345" s="56"/>
      <c r="D345" s="73"/>
      <c r="E345" s="77"/>
      <c r="F345" s="75"/>
      <c r="G345" s="99" t="s">
        <v>143</v>
      </c>
      <c r="H345" s="66" t="s">
        <v>16</v>
      </c>
      <c r="I345" s="200">
        <f ca="1">IFERROR(__xludf.DUMMYFUNCTION("IMPORTRANGE(""https://docs.google.com/spreadsheets/d/1C3CXT74ZlgGe6_JY_1olB1XN4rF0dxEuIIF-xsYjHgg/edit?usp=sharing"",""งบกองทุน!ay20"")"),20)</f>
        <v>20</v>
      </c>
      <c r="J345" s="68">
        <v>0</v>
      </c>
      <c r="K345" s="49">
        <f t="shared" ca="1" si="78"/>
        <v>0</v>
      </c>
      <c r="L345" s="61"/>
      <c r="M345" s="61"/>
      <c r="N345" s="61"/>
    </row>
    <row r="346" spans="1:14" ht="21.75" customHeight="1" x14ac:dyDescent="0.4">
      <c r="A346" s="55"/>
      <c r="B346" s="56"/>
      <c r="C346" s="56"/>
      <c r="D346" s="73"/>
      <c r="E346" s="77"/>
      <c r="F346" s="75"/>
      <c r="G346" s="76" t="s">
        <v>221</v>
      </c>
      <c r="H346" s="66" t="s">
        <v>16</v>
      </c>
      <c r="I346" s="200">
        <f ca="1">IFERROR(__xludf.DUMMYFUNCTION("IMPORTRANGE(""https://docs.google.com/spreadsheets/d/1C3CXT74ZlgGe6_JY_1olB1XN4rF0dxEuIIF-xsYjHgg/edit?usp=sharing"",""งบกองทุน!az20"")"),20)</f>
        <v>20</v>
      </c>
      <c r="J346" s="68">
        <v>0</v>
      </c>
      <c r="K346" s="49">
        <f t="shared" ca="1" si="78"/>
        <v>0</v>
      </c>
      <c r="L346" s="61"/>
      <c r="M346" s="61"/>
      <c r="N346" s="61"/>
    </row>
    <row r="347" spans="1:14" ht="21.75" customHeight="1" x14ac:dyDescent="0.4">
      <c r="A347" s="55"/>
      <c r="B347" s="56"/>
      <c r="C347" s="56"/>
      <c r="D347" s="73"/>
      <c r="E347" s="77"/>
      <c r="F347" s="75"/>
      <c r="G347" s="76" t="s">
        <v>145</v>
      </c>
      <c r="H347" s="66" t="s">
        <v>16</v>
      </c>
      <c r="I347" s="67">
        <f ca="1">IFERROR(__xludf.DUMMYFUNCTION("IMPORTRANGE(""https://docs.google.com/spreadsheets/d/1C3CXT74ZlgGe6_JY_1olB1XN4rF0dxEuIIF-xsYjHgg/edit?usp=sharing"",""งบกองทุน!Ba20"")"),0)</f>
        <v>0</v>
      </c>
      <c r="J347" s="67">
        <v>0</v>
      </c>
      <c r="K347" s="49">
        <f t="shared" ca="1" si="78"/>
        <v>0</v>
      </c>
      <c r="L347" s="61"/>
      <c r="M347" s="61"/>
      <c r="N347" s="61"/>
    </row>
    <row r="348" spans="1:14" ht="21.75" customHeight="1" x14ac:dyDescent="0.4">
      <c r="A348" s="55"/>
      <c r="B348" s="56"/>
      <c r="C348" s="56"/>
      <c r="D348" s="73"/>
      <c r="E348" s="74" t="s">
        <v>35</v>
      </c>
      <c r="F348" s="75"/>
      <c r="G348" s="76"/>
      <c r="H348" s="66"/>
      <c r="I348" s="67"/>
      <c r="J348" s="68">
        <v>0</v>
      </c>
      <c r="K348" s="49"/>
      <c r="L348" s="61"/>
      <c r="M348" s="61"/>
      <c r="N348" s="61"/>
    </row>
    <row r="349" spans="1:14" ht="21.75" customHeight="1" x14ac:dyDescent="0.4">
      <c r="A349" s="55"/>
      <c r="B349" s="56"/>
      <c r="C349" s="56"/>
      <c r="D349" s="81">
        <v>3</v>
      </c>
      <c r="E349" s="82" t="s">
        <v>36</v>
      </c>
      <c r="F349" s="83"/>
      <c r="G349" s="84"/>
      <c r="H349" s="66"/>
      <c r="I349" s="67"/>
      <c r="J349" s="85">
        <v>0</v>
      </c>
      <c r="K349" s="49"/>
      <c r="L349" s="61"/>
      <c r="M349" s="61"/>
      <c r="N349" s="61"/>
    </row>
    <row r="350" spans="1:14" ht="21.75" customHeight="1" x14ac:dyDescent="0.4">
      <c r="A350" s="222"/>
      <c r="B350" s="223">
        <v>5</v>
      </c>
      <c r="C350" s="224" t="s">
        <v>146</v>
      </c>
      <c r="D350" s="224"/>
      <c r="E350" s="224"/>
      <c r="F350" s="224"/>
      <c r="G350" s="225"/>
      <c r="H350" s="226" t="s">
        <v>103</v>
      </c>
      <c r="I350" s="227">
        <f ca="1">I359</f>
        <v>156920</v>
      </c>
      <c r="J350" s="227">
        <f>+J359</f>
        <v>0</v>
      </c>
      <c r="K350" s="228">
        <f ca="1">IF(I350&gt;0,J350*100/I350,0)</f>
        <v>0</v>
      </c>
      <c r="L350" s="229">
        <f t="shared" ref="L350:M350" ca="1" si="79">SUM(L351:L352)</f>
        <v>1082066</v>
      </c>
      <c r="M350" s="229">
        <f t="shared" si="79"/>
        <v>0</v>
      </c>
      <c r="N350" s="229">
        <f t="shared" ref="N350:N354" ca="1" si="80">+IF(L350&gt;0,M350*100/L350,0)</f>
        <v>0</v>
      </c>
    </row>
    <row r="351" spans="1:14" ht="21.75" customHeight="1" x14ac:dyDescent="0.4">
      <c r="A351" s="42"/>
      <c r="B351" s="43"/>
      <c r="C351" s="43" t="s">
        <v>17</v>
      </c>
      <c r="D351" s="44" t="s">
        <v>18</v>
      </c>
      <c r="E351" s="45"/>
      <c r="F351" s="45"/>
      <c r="G351" s="46" t="s">
        <v>19</v>
      </c>
      <c r="H351" s="47" t="s">
        <v>20</v>
      </c>
      <c r="I351" s="48" t="s">
        <v>21</v>
      </c>
      <c r="J351" s="48"/>
      <c r="K351" s="49"/>
      <c r="L351" s="50">
        <v>0</v>
      </c>
      <c r="M351" s="53">
        <v>0</v>
      </c>
      <c r="N351" s="53">
        <f t="shared" si="80"/>
        <v>0</v>
      </c>
    </row>
    <row r="352" spans="1:14" ht="21.75" customHeight="1" x14ac:dyDescent="0.4">
      <c r="A352" s="42"/>
      <c r="B352" s="43"/>
      <c r="C352" s="43"/>
      <c r="D352" s="51"/>
      <c r="E352" s="45"/>
      <c r="F352" s="45" t="s">
        <v>21</v>
      </c>
      <c r="G352" s="46" t="s">
        <v>22</v>
      </c>
      <c r="H352" s="47" t="s">
        <v>20</v>
      </c>
      <c r="I352" s="48"/>
      <c r="J352" s="48"/>
      <c r="K352" s="49"/>
      <c r="L352" s="50">
        <f t="shared" ref="L352:M352" ca="1" si="81">SUM(L353:L354)</f>
        <v>1082066</v>
      </c>
      <c r="M352" s="53">
        <f t="shared" si="81"/>
        <v>0</v>
      </c>
      <c r="N352" s="53">
        <f t="shared" ca="1" si="80"/>
        <v>0</v>
      </c>
    </row>
    <row r="353" spans="1:14" ht="21.75" customHeight="1" x14ac:dyDescent="0.4">
      <c r="A353" s="42"/>
      <c r="B353" s="43"/>
      <c r="C353" s="43"/>
      <c r="D353" s="51"/>
      <c r="E353" s="45"/>
      <c r="F353" s="45"/>
      <c r="G353" s="52" t="s">
        <v>110</v>
      </c>
      <c r="H353" s="47" t="s">
        <v>20</v>
      </c>
      <c r="I353" s="48"/>
      <c r="J353" s="48"/>
      <c r="K353" s="49"/>
      <c r="L353" s="53">
        <f ca="1">IFERROR(__xludf.DUMMYFUNCTION("IMPORTRANGE(""https://docs.google.com/spreadsheets/d/1C3CXT74ZlgGe6_JY_1olB1XN4rF0dxEuIIF-xsYjHgg/edit?usp=sharing"",""งบกองทุน!Bc20"")"),0)</f>
        <v>0</v>
      </c>
      <c r="M353" s="53">
        <v>0</v>
      </c>
      <c r="N353" s="53">
        <f t="shared" ca="1" si="80"/>
        <v>0</v>
      </c>
    </row>
    <row r="354" spans="1:14" ht="21.75" customHeight="1" x14ac:dyDescent="0.4">
      <c r="A354" s="42"/>
      <c r="B354" s="43"/>
      <c r="C354" s="43"/>
      <c r="D354" s="51"/>
      <c r="E354" s="45"/>
      <c r="F354" s="45"/>
      <c r="G354" s="52" t="s">
        <v>111</v>
      </c>
      <c r="H354" s="47" t="s">
        <v>20</v>
      </c>
      <c r="I354" s="48"/>
      <c r="J354" s="48"/>
      <c r="K354" s="49"/>
      <c r="L354" s="53">
        <f ca="1">IFERROR(__xludf.DUMMYFUNCTION("IMPORTRANGE(""https://docs.google.com/spreadsheets/d/1C3CXT74ZlgGe6_JY_1olB1XN4rF0dxEuIIF-xsYjHgg/edit?usp=sharing"",""งบกองทุน!Bd20"")"),1082066)</f>
        <v>1082066</v>
      </c>
      <c r="M354" s="53">
        <f>SUM(M355:M358)</f>
        <v>0</v>
      </c>
      <c r="N354" s="53">
        <f t="shared" ca="1" si="80"/>
        <v>0</v>
      </c>
    </row>
    <row r="355" spans="1:14" ht="21.75" customHeight="1" x14ac:dyDescent="0.4">
      <c r="A355" s="230"/>
      <c r="B355" s="231"/>
      <c r="C355" s="43"/>
      <c r="D355" s="232"/>
      <c r="E355" s="45"/>
      <c r="F355" s="45"/>
      <c r="G355" s="46" t="s">
        <v>112</v>
      </c>
      <c r="H355" s="47" t="s">
        <v>20</v>
      </c>
      <c r="I355" s="67"/>
      <c r="J355" s="67"/>
      <c r="K355" s="233"/>
      <c r="L355" s="53"/>
      <c r="M355" s="53">
        <v>0</v>
      </c>
      <c r="N355" s="53"/>
    </row>
    <row r="356" spans="1:14" ht="21.75" customHeight="1" x14ac:dyDescent="0.4">
      <c r="A356" s="230"/>
      <c r="B356" s="231"/>
      <c r="C356" s="43"/>
      <c r="D356" s="232"/>
      <c r="E356" s="45"/>
      <c r="F356" s="45"/>
      <c r="G356" s="46" t="s">
        <v>113</v>
      </c>
      <c r="H356" s="47" t="s">
        <v>20</v>
      </c>
      <c r="I356" s="67"/>
      <c r="J356" s="67"/>
      <c r="K356" s="233"/>
      <c r="L356" s="53"/>
      <c r="M356" s="53">
        <v>0</v>
      </c>
      <c r="N356" s="53"/>
    </row>
    <row r="357" spans="1:14" ht="21.75" customHeight="1" x14ac:dyDescent="0.4">
      <c r="A357" s="230"/>
      <c r="B357" s="231"/>
      <c r="C357" s="43"/>
      <c r="D357" s="232"/>
      <c r="E357" s="45"/>
      <c r="F357" s="45"/>
      <c r="G357" s="46" t="s">
        <v>114</v>
      </c>
      <c r="H357" s="47" t="s">
        <v>20</v>
      </c>
      <c r="I357" s="67"/>
      <c r="J357" s="67"/>
      <c r="K357" s="233"/>
      <c r="L357" s="53"/>
      <c r="M357" s="54">
        <v>0</v>
      </c>
      <c r="N357" s="53"/>
    </row>
    <row r="358" spans="1:14" ht="21.75" customHeight="1" x14ac:dyDescent="0.4">
      <c r="A358" s="230"/>
      <c r="B358" s="231"/>
      <c r="C358" s="43"/>
      <c r="D358" s="232"/>
      <c r="E358" s="45"/>
      <c r="F358" s="45"/>
      <c r="G358" s="46" t="s">
        <v>115</v>
      </c>
      <c r="H358" s="47" t="s">
        <v>20</v>
      </c>
      <c r="I358" s="67"/>
      <c r="J358" s="67"/>
      <c r="K358" s="233"/>
      <c r="L358" s="53"/>
      <c r="M358" s="54">
        <v>0</v>
      </c>
      <c r="N358" s="53"/>
    </row>
    <row r="359" spans="1:14" ht="21.75" customHeight="1" x14ac:dyDescent="0.4">
      <c r="A359" s="55"/>
      <c r="B359" s="56"/>
      <c r="C359" s="261" t="s">
        <v>147</v>
      </c>
      <c r="D359" s="261"/>
      <c r="E359" s="262"/>
      <c r="F359" s="262"/>
      <c r="G359" s="263"/>
      <c r="H359" s="136" t="s">
        <v>103</v>
      </c>
      <c r="I359" s="137">
        <f ca="1">IFERROR(__xludf.DUMMYFUNCTION("IMPORTRANGE(""https://docs.google.com/spreadsheets/d/1C3CXT74ZlgGe6_JY_1olB1XN4rF0dxEuIIF-xsYjHgg/edit?usp=sharing"",""งบกองทุน!BE20"")"),156920)</f>
        <v>156920</v>
      </c>
      <c r="J359" s="137">
        <f>+J376</f>
        <v>0</v>
      </c>
      <c r="K359" s="138">
        <f t="shared" ref="K359:K425" ca="1" si="82">IF(I359&gt;0,J359*100/I359,0)</f>
        <v>0</v>
      </c>
      <c r="L359" s="140"/>
      <c r="M359" s="140"/>
      <c r="N359" s="140"/>
    </row>
    <row r="360" spans="1:14" ht="21.75" customHeight="1" x14ac:dyDescent="0.4">
      <c r="A360" s="249"/>
      <c r="B360" s="250"/>
      <c r="C360" s="250"/>
      <c r="D360" s="251"/>
      <c r="E360" s="73" t="s">
        <v>148</v>
      </c>
      <c r="F360" s="75"/>
      <c r="G360" s="76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IFERROR(__xludf.DUMMYFUNCTION("IMPORTRANGE(""https://docs.google.com/spreadsheets/d/1C3CXT74ZlgGe6_JY_1olB1XN4rF0dxEuIIF-xsYjHgg/edit?usp=sharing"",""งบกองทุน!BE20"")"),156920)</f>
        <v>156920</v>
      </c>
      <c r="J360" s="265">
        <f t="shared" ref="J360:J361" si="83">+J362+J364+J366</f>
        <v>0</v>
      </c>
      <c r="K360" s="80">
        <f t="shared" ca="1" si="82"/>
        <v>0</v>
      </c>
      <c r="L360" s="61"/>
      <c r="M360" s="61"/>
      <c r="N360" s="61"/>
    </row>
    <row r="361" spans="1:14" ht="21.75" customHeight="1" x14ac:dyDescent="0.4">
      <c r="A361" s="249"/>
      <c r="B361" s="250"/>
      <c r="C361" s="250"/>
      <c r="D361" s="251"/>
      <c r="E361" s="75"/>
      <c r="F361" s="75"/>
      <c r="G361" s="76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IFERROR(__xludf.DUMMYFUNCTION("IMPORTRANGE(""https://docs.google.com/spreadsheets/d/1C3CXT74ZlgGe6_JY_1olB1XN4rF0dxEuIIF-xsYjHgg/edit?usp=sharing"",""งบกองทุน!Bf20"")"),12870)</f>
        <v>12870</v>
      </c>
      <c r="J361" s="265">
        <f t="shared" si="83"/>
        <v>0</v>
      </c>
      <c r="K361" s="80">
        <f t="shared" ca="1" si="82"/>
        <v>0</v>
      </c>
      <c r="L361" s="61"/>
      <c r="M361" s="61"/>
      <c r="N361" s="61"/>
    </row>
    <row r="362" spans="1:14" ht="21.75" customHeight="1" x14ac:dyDescent="0.4">
      <c r="A362" s="249"/>
      <c r="B362" s="250"/>
      <c r="C362" s="250"/>
      <c r="D362" s="251"/>
      <c r="E362" s="75"/>
      <c r="F362" s="242" t="s">
        <v>149</v>
      </c>
      <c r="G362" s="266"/>
      <c r="H362" s="267" t="s">
        <v>103</v>
      </c>
      <c r="I362" s="48">
        <v>0</v>
      </c>
      <c r="J362" s="68">
        <v>0</v>
      </c>
      <c r="K362" s="49">
        <f t="shared" si="82"/>
        <v>0</v>
      </c>
      <c r="L362" s="61"/>
      <c r="M362" s="61"/>
      <c r="N362" s="61"/>
    </row>
    <row r="363" spans="1:14" ht="21.75" customHeight="1" x14ac:dyDescent="0.4">
      <c r="A363" s="249"/>
      <c r="B363" s="250"/>
      <c r="C363" s="250"/>
      <c r="D363" s="251"/>
      <c r="E363" s="75"/>
      <c r="F363" s="75"/>
      <c r="G363" s="266"/>
      <c r="H363" s="267" t="s">
        <v>15</v>
      </c>
      <c r="I363" s="48">
        <v>0</v>
      </c>
      <c r="J363" s="68">
        <v>0</v>
      </c>
      <c r="K363" s="49">
        <f t="shared" si="82"/>
        <v>0</v>
      </c>
      <c r="L363" s="61"/>
      <c r="M363" s="61"/>
      <c r="N363" s="61"/>
    </row>
    <row r="364" spans="1:14" ht="21.75" customHeight="1" x14ac:dyDescent="0.4">
      <c r="A364" s="249"/>
      <c r="B364" s="250"/>
      <c r="C364" s="250"/>
      <c r="D364" s="251"/>
      <c r="E364" s="75"/>
      <c r="F364" s="242" t="s">
        <v>150</v>
      </c>
      <c r="G364" s="266"/>
      <c r="H364" s="267" t="s">
        <v>103</v>
      </c>
      <c r="I364" s="48">
        <v>0</v>
      </c>
      <c r="J364" s="68">
        <v>0</v>
      </c>
      <c r="K364" s="49">
        <f t="shared" si="82"/>
        <v>0</v>
      </c>
      <c r="L364" s="61"/>
      <c r="M364" s="61"/>
      <c r="N364" s="61"/>
    </row>
    <row r="365" spans="1:14" ht="21.75" customHeight="1" x14ac:dyDescent="0.4">
      <c r="A365" s="249"/>
      <c r="B365" s="250"/>
      <c r="C365" s="250"/>
      <c r="D365" s="251"/>
      <c r="E365" s="75"/>
      <c r="F365" s="75"/>
      <c r="G365" s="266"/>
      <c r="H365" s="267" t="s">
        <v>15</v>
      </c>
      <c r="I365" s="48">
        <v>0</v>
      </c>
      <c r="J365" s="68">
        <v>0</v>
      </c>
      <c r="K365" s="49">
        <f t="shared" si="82"/>
        <v>0</v>
      </c>
      <c r="L365" s="61"/>
      <c r="M365" s="61"/>
      <c r="N365" s="61"/>
    </row>
    <row r="366" spans="1:14" ht="21.75" customHeight="1" x14ac:dyDescent="0.4">
      <c r="A366" s="249"/>
      <c r="B366" s="250"/>
      <c r="C366" s="250"/>
      <c r="D366" s="251"/>
      <c r="E366" s="75"/>
      <c r="F366" s="242" t="s">
        <v>151</v>
      </c>
      <c r="G366" s="266"/>
      <c r="H366" s="267" t="s">
        <v>103</v>
      </c>
      <c r="I366" s="48">
        <v>0</v>
      </c>
      <c r="J366" s="68">
        <v>0</v>
      </c>
      <c r="K366" s="49">
        <f t="shared" si="82"/>
        <v>0</v>
      </c>
      <c r="L366" s="61"/>
      <c r="M366" s="61"/>
      <c r="N366" s="61"/>
    </row>
    <row r="367" spans="1:14" ht="21.75" customHeight="1" x14ac:dyDescent="0.4">
      <c r="A367" s="249"/>
      <c r="B367" s="250"/>
      <c r="C367" s="250"/>
      <c r="D367" s="251"/>
      <c r="E367" s="75"/>
      <c r="F367" s="75"/>
      <c r="G367" s="75"/>
      <c r="H367" s="267" t="s">
        <v>15</v>
      </c>
      <c r="I367" s="48">
        <v>0</v>
      </c>
      <c r="J367" s="68">
        <v>0</v>
      </c>
      <c r="K367" s="49">
        <f t="shared" si="82"/>
        <v>0</v>
      </c>
      <c r="L367" s="61"/>
      <c r="M367" s="61"/>
      <c r="N367" s="61"/>
    </row>
    <row r="368" spans="1:14" ht="21.75" customHeight="1" x14ac:dyDescent="0.4">
      <c r="A368" s="249"/>
      <c r="B368" s="250"/>
      <c r="C368" s="250"/>
      <c r="D368" s="251"/>
      <c r="E368" s="155" t="s">
        <v>152</v>
      </c>
      <c r="F368" s="75"/>
      <c r="G368" s="76"/>
      <c r="H368" s="264" t="s">
        <v>103</v>
      </c>
      <c r="I368" s="265">
        <f ca="1">+I359</f>
        <v>156920</v>
      </c>
      <c r="J368" s="265">
        <f t="shared" ref="J368:J369" si="84">+J370+J372+J374</f>
        <v>0</v>
      </c>
      <c r="K368" s="80">
        <f t="shared" ca="1" si="82"/>
        <v>0</v>
      </c>
      <c r="L368" s="61"/>
      <c r="M368" s="61"/>
      <c r="N368" s="61"/>
    </row>
    <row r="369" spans="1:14" ht="21.75" customHeight="1" x14ac:dyDescent="0.4">
      <c r="A369" s="249"/>
      <c r="B369" s="250"/>
      <c r="C369" s="250"/>
      <c r="D369" s="251"/>
      <c r="E369" s="75"/>
      <c r="F369" s="75"/>
      <c r="G369" s="76"/>
      <c r="H369" s="264" t="s">
        <v>15</v>
      </c>
      <c r="I369" s="265">
        <f ca="1">I361</f>
        <v>12870</v>
      </c>
      <c r="J369" s="265">
        <f t="shared" si="84"/>
        <v>0</v>
      </c>
      <c r="K369" s="49">
        <f t="shared" ca="1" si="82"/>
        <v>0</v>
      </c>
      <c r="L369" s="61"/>
      <c r="M369" s="61"/>
      <c r="N369" s="61"/>
    </row>
    <row r="370" spans="1:14" ht="21.75" customHeight="1" x14ac:dyDescent="0.4">
      <c r="A370" s="249"/>
      <c r="B370" s="250"/>
      <c r="C370" s="250"/>
      <c r="D370" s="251"/>
      <c r="E370" s="75"/>
      <c r="F370" s="74" t="s">
        <v>153</v>
      </c>
      <c r="G370" s="266"/>
      <c r="H370" s="267" t="s">
        <v>103</v>
      </c>
      <c r="I370" s="48">
        <v>0</v>
      </c>
      <c r="J370" s="68">
        <v>0</v>
      </c>
      <c r="K370" s="49">
        <f t="shared" si="82"/>
        <v>0</v>
      </c>
      <c r="L370" s="61"/>
      <c r="M370" s="61"/>
      <c r="N370" s="61"/>
    </row>
    <row r="371" spans="1:14" ht="21.75" customHeight="1" x14ac:dyDescent="0.4">
      <c r="A371" s="249"/>
      <c r="B371" s="250"/>
      <c r="C371" s="250"/>
      <c r="D371" s="251"/>
      <c r="E371" s="75"/>
      <c r="F371" s="75"/>
      <c r="G371" s="266"/>
      <c r="H371" s="267" t="s">
        <v>15</v>
      </c>
      <c r="I371" s="48">
        <v>0</v>
      </c>
      <c r="J371" s="68">
        <v>0</v>
      </c>
      <c r="K371" s="49">
        <f t="shared" si="82"/>
        <v>0</v>
      </c>
      <c r="L371" s="61"/>
      <c r="M371" s="61"/>
      <c r="N371" s="61"/>
    </row>
    <row r="372" spans="1:14" ht="21.75" customHeight="1" x14ac:dyDescent="0.4">
      <c r="A372" s="249"/>
      <c r="B372" s="250"/>
      <c r="C372" s="250"/>
      <c r="D372" s="251"/>
      <c r="E372" s="75"/>
      <c r="F372" s="74" t="s">
        <v>154</v>
      </c>
      <c r="G372" s="266"/>
      <c r="H372" s="267" t="s">
        <v>103</v>
      </c>
      <c r="I372" s="48">
        <v>0</v>
      </c>
      <c r="J372" s="68">
        <v>0</v>
      </c>
      <c r="K372" s="49">
        <f t="shared" si="82"/>
        <v>0</v>
      </c>
      <c r="L372" s="61"/>
      <c r="M372" s="61"/>
      <c r="N372" s="61"/>
    </row>
    <row r="373" spans="1:14" ht="21.75" customHeight="1" x14ac:dyDescent="0.4">
      <c r="A373" s="249"/>
      <c r="B373" s="250"/>
      <c r="C373" s="250"/>
      <c r="D373" s="251"/>
      <c r="E373" s="75"/>
      <c r="F373" s="75"/>
      <c r="G373" s="266"/>
      <c r="H373" s="267" t="s">
        <v>15</v>
      </c>
      <c r="I373" s="48">
        <v>0</v>
      </c>
      <c r="J373" s="68">
        <v>0</v>
      </c>
      <c r="K373" s="49">
        <f t="shared" si="82"/>
        <v>0</v>
      </c>
      <c r="L373" s="61"/>
      <c r="M373" s="61"/>
      <c r="N373" s="61"/>
    </row>
    <row r="374" spans="1:14" ht="21.75" customHeight="1" x14ac:dyDescent="0.4">
      <c r="A374" s="249"/>
      <c r="B374" s="250"/>
      <c r="C374" s="250"/>
      <c r="D374" s="251"/>
      <c r="E374" s="75"/>
      <c r="F374" s="74" t="s">
        <v>155</v>
      </c>
      <c r="G374" s="266"/>
      <c r="H374" s="267" t="s">
        <v>103</v>
      </c>
      <c r="I374" s="48">
        <v>0</v>
      </c>
      <c r="J374" s="68">
        <v>0</v>
      </c>
      <c r="K374" s="49">
        <f t="shared" si="82"/>
        <v>0</v>
      </c>
      <c r="L374" s="61"/>
      <c r="M374" s="61"/>
      <c r="N374" s="61"/>
    </row>
    <row r="375" spans="1:14" ht="21.75" customHeight="1" x14ac:dyDescent="0.4">
      <c r="A375" s="249"/>
      <c r="B375" s="250"/>
      <c r="C375" s="250"/>
      <c r="D375" s="251"/>
      <c r="E375" s="75"/>
      <c r="F375" s="75"/>
      <c r="G375" s="76"/>
      <c r="H375" s="267" t="s">
        <v>15</v>
      </c>
      <c r="I375" s="48">
        <v>0</v>
      </c>
      <c r="J375" s="68">
        <v>0</v>
      </c>
      <c r="K375" s="49">
        <f t="shared" si="82"/>
        <v>0</v>
      </c>
      <c r="L375" s="61"/>
      <c r="M375" s="61"/>
      <c r="N375" s="61"/>
    </row>
    <row r="376" spans="1:14" ht="21.75" customHeight="1" x14ac:dyDescent="0.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156920</v>
      </c>
      <c r="J376" s="265">
        <f t="shared" ref="J376:J377" si="85">+J378+J380+J382+J388</f>
        <v>0</v>
      </c>
      <c r="K376" s="80">
        <f t="shared" ca="1" si="82"/>
        <v>0</v>
      </c>
      <c r="L376" s="275"/>
      <c r="M376" s="275"/>
      <c r="N376" s="275"/>
    </row>
    <row r="377" spans="1:14" ht="21.75" customHeight="1" x14ac:dyDescent="0.4">
      <c r="A377" s="249"/>
      <c r="B377" s="250"/>
      <c r="C377" s="250"/>
      <c r="D377" s="251"/>
      <c r="E377" s="75"/>
      <c r="F377" s="75"/>
      <c r="G377" s="76"/>
      <c r="H377" s="264" t="s">
        <v>15</v>
      </c>
      <c r="I377" s="265">
        <f ca="1">I361</f>
        <v>12870</v>
      </c>
      <c r="J377" s="265">
        <f t="shared" si="85"/>
        <v>0</v>
      </c>
      <c r="K377" s="49">
        <f t="shared" ca="1" si="82"/>
        <v>0</v>
      </c>
      <c r="L377" s="61"/>
      <c r="M377" s="61"/>
      <c r="N377" s="61"/>
    </row>
    <row r="378" spans="1:14" ht="21.75" customHeight="1" x14ac:dyDescent="0.4">
      <c r="A378" s="249"/>
      <c r="B378" s="250"/>
      <c r="C378" s="250"/>
      <c r="D378" s="251"/>
      <c r="E378" s="75"/>
      <c r="F378" s="74" t="s">
        <v>157</v>
      </c>
      <c r="G378" s="266"/>
      <c r="H378" s="267" t="s">
        <v>103</v>
      </c>
      <c r="I378" s="48">
        <v>0</v>
      </c>
      <c r="J378" s="68">
        <v>0</v>
      </c>
      <c r="K378" s="49">
        <f t="shared" si="82"/>
        <v>0</v>
      </c>
      <c r="L378" s="61"/>
      <c r="M378" s="61"/>
      <c r="N378" s="61"/>
    </row>
    <row r="379" spans="1:14" ht="21.75" customHeight="1" x14ac:dyDescent="0.4">
      <c r="A379" s="249"/>
      <c r="B379" s="250"/>
      <c r="C379" s="250"/>
      <c r="D379" s="251"/>
      <c r="E379" s="75"/>
      <c r="F379" s="75"/>
      <c r="G379" s="266"/>
      <c r="H379" s="267" t="s">
        <v>15</v>
      </c>
      <c r="I379" s="48">
        <v>0</v>
      </c>
      <c r="J379" s="68">
        <v>0</v>
      </c>
      <c r="K379" s="49">
        <f t="shared" si="82"/>
        <v>0</v>
      </c>
      <c r="L379" s="61"/>
      <c r="M379" s="61"/>
      <c r="N379" s="61"/>
    </row>
    <row r="380" spans="1:14" ht="21.75" customHeight="1" x14ac:dyDescent="0.4">
      <c r="A380" s="249"/>
      <c r="B380" s="250"/>
      <c r="C380" s="250"/>
      <c r="D380" s="251"/>
      <c r="E380" s="75"/>
      <c r="F380" s="74" t="s">
        <v>158</v>
      </c>
      <c r="G380" s="266"/>
      <c r="H380" s="267" t="s">
        <v>103</v>
      </c>
      <c r="I380" s="48">
        <v>0</v>
      </c>
      <c r="J380" s="68">
        <v>0</v>
      </c>
      <c r="K380" s="49">
        <f t="shared" si="82"/>
        <v>0</v>
      </c>
      <c r="L380" s="61"/>
      <c r="M380" s="61"/>
      <c r="N380" s="61"/>
    </row>
    <row r="381" spans="1:14" ht="21.75" customHeight="1" x14ac:dyDescent="0.4">
      <c r="A381" s="249"/>
      <c r="B381" s="250"/>
      <c r="C381" s="250"/>
      <c r="D381" s="251"/>
      <c r="E381" s="75"/>
      <c r="F381" s="75"/>
      <c r="G381" s="266"/>
      <c r="H381" s="267" t="s">
        <v>15</v>
      </c>
      <c r="I381" s="48">
        <v>0</v>
      </c>
      <c r="J381" s="68">
        <v>0</v>
      </c>
      <c r="K381" s="49">
        <f t="shared" si="82"/>
        <v>0</v>
      </c>
      <c r="L381" s="61"/>
      <c r="M381" s="61"/>
      <c r="N381" s="61"/>
    </row>
    <row r="382" spans="1:14" ht="21.75" customHeight="1" x14ac:dyDescent="0.4">
      <c r="A382" s="249"/>
      <c r="B382" s="250"/>
      <c r="C382" s="250"/>
      <c r="D382" s="251"/>
      <c r="E382" s="75"/>
      <c r="F382" s="74" t="s">
        <v>159</v>
      </c>
      <c r="G382" s="266"/>
      <c r="H382" s="267" t="s">
        <v>103</v>
      </c>
      <c r="I382" s="48">
        <v>0</v>
      </c>
      <c r="J382" s="265">
        <f t="shared" ref="J382:J383" si="86">J384+J386</f>
        <v>0</v>
      </c>
      <c r="K382" s="49">
        <f t="shared" si="82"/>
        <v>0</v>
      </c>
      <c r="L382" s="61"/>
      <c r="M382" s="61"/>
      <c r="N382" s="61"/>
    </row>
    <row r="383" spans="1:14" ht="21.75" customHeight="1" x14ac:dyDescent="0.4">
      <c r="A383" s="249"/>
      <c r="B383" s="250"/>
      <c r="C383" s="250"/>
      <c r="D383" s="251"/>
      <c r="E383" s="75"/>
      <c r="F383" s="75"/>
      <c r="G383" s="75"/>
      <c r="H383" s="267" t="s">
        <v>15</v>
      </c>
      <c r="I383" s="48">
        <v>0</v>
      </c>
      <c r="J383" s="265">
        <f t="shared" si="86"/>
        <v>0</v>
      </c>
      <c r="K383" s="49">
        <f t="shared" si="82"/>
        <v>0</v>
      </c>
      <c r="L383" s="61"/>
      <c r="M383" s="61"/>
      <c r="N383" s="61"/>
    </row>
    <row r="384" spans="1:14" ht="21.75" customHeight="1" x14ac:dyDescent="0.4">
      <c r="A384" s="249"/>
      <c r="B384" s="250"/>
      <c r="C384" s="250"/>
      <c r="D384" s="251"/>
      <c r="E384" s="75"/>
      <c r="F384" s="75"/>
      <c r="G384" s="74" t="s">
        <v>160</v>
      </c>
      <c r="H384" s="267" t="s">
        <v>103</v>
      </c>
      <c r="I384" s="48">
        <v>0</v>
      </c>
      <c r="J384" s="68">
        <v>0</v>
      </c>
      <c r="K384" s="49">
        <f t="shared" si="82"/>
        <v>0</v>
      </c>
      <c r="L384" s="61"/>
      <c r="M384" s="61"/>
      <c r="N384" s="61"/>
    </row>
    <row r="385" spans="1:14" ht="21.75" customHeight="1" x14ac:dyDescent="0.4">
      <c r="A385" s="249"/>
      <c r="B385" s="250"/>
      <c r="C385" s="250"/>
      <c r="D385" s="251"/>
      <c r="E385" s="75"/>
      <c r="F385" s="75"/>
      <c r="G385" s="75"/>
      <c r="H385" s="267" t="s">
        <v>15</v>
      </c>
      <c r="I385" s="48">
        <v>0</v>
      </c>
      <c r="J385" s="68">
        <v>0</v>
      </c>
      <c r="K385" s="49">
        <f t="shared" si="82"/>
        <v>0</v>
      </c>
      <c r="L385" s="61"/>
      <c r="M385" s="61"/>
      <c r="N385" s="61"/>
    </row>
    <row r="386" spans="1:14" ht="21.75" customHeight="1" x14ac:dyDescent="0.4">
      <c r="A386" s="249"/>
      <c r="B386" s="250"/>
      <c r="C386" s="250"/>
      <c r="D386" s="251"/>
      <c r="E386" s="75"/>
      <c r="F386" s="75"/>
      <c r="G386" s="74" t="s">
        <v>161</v>
      </c>
      <c r="H386" s="267" t="s">
        <v>103</v>
      </c>
      <c r="I386" s="48">
        <v>0</v>
      </c>
      <c r="J386" s="68">
        <v>0</v>
      </c>
      <c r="K386" s="49">
        <f t="shared" si="82"/>
        <v>0</v>
      </c>
      <c r="L386" s="61"/>
      <c r="M386" s="61"/>
      <c r="N386" s="61"/>
    </row>
    <row r="387" spans="1:14" ht="21.75" customHeight="1" x14ac:dyDescent="0.4">
      <c r="A387" s="249"/>
      <c r="B387" s="250"/>
      <c r="C387" s="250"/>
      <c r="D387" s="251"/>
      <c r="E387" s="75"/>
      <c r="F387" s="75"/>
      <c r="G387" s="76"/>
      <c r="H387" s="267" t="s">
        <v>15</v>
      </c>
      <c r="I387" s="48">
        <v>0</v>
      </c>
      <c r="J387" s="68">
        <v>0</v>
      </c>
      <c r="K387" s="49">
        <f t="shared" si="82"/>
        <v>0</v>
      </c>
      <c r="L387" s="61"/>
      <c r="M387" s="61"/>
      <c r="N387" s="61"/>
    </row>
    <row r="388" spans="1:14" ht="21.75" customHeight="1" x14ac:dyDescent="0.4">
      <c r="A388" s="249"/>
      <c r="B388" s="250"/>
      <c r="C388" s="250"/>
      <c r="D388" s="251"/>
      <c r="E388" s="75"/>
      <c r="F388" s="74" t="s">
        <v>162</v>
      </c>
      <c r="G388" s="266"/>
      <c r="H388" s="267" t="s">
        <v>103</v>
      </c>
      <c r="I388" s="48">
        <v>0</v>
      </c>
      <c r="J388" s="68">
        <v>0</v>
      </c>
      <c r="K388" s="49">
        <f t="shared" si="82"/>
        <v>0</v>
      </c>
      <c r="L388" s="61"/>
      <c r="M388" s="61"/>
      <c r="N388" s="61"/>
    </row>
    <row r="389" spans="1:14" ht="21.75" customHeight="1" x14ac:dyDescent="0.4">
      <c r="A389" s="276"/>
      <c r="B389" s="277"/>
      <c r="C389" s="277"/>
      <c r="D389" s="278"/>
      <c r="E389" s="204"/>
      <c r="F389" s="204"/>
      <c r="G389" s="204"/>
      <c r="H389" s="279" t="s">
        <v>15</v>
      </c>
      <c r="I389" s="384">
        <v>0</v>
      </c>
      <c r="J389" s="68">
        <v>0</v>
      </c>
      <c r="K389" s="114">
        <f t="shared" si="82"/>
        <v>0</v>
      </c>
      <c r="L389" s="115"/>
      <c r="M389" s="115"/>
      <c r="N389" s="115"/>
    </row>
    <row r="390" spans="1:14" ht="21.75" customHeight="1" x14ac:dyDescent="0.4">
      <c r="A390" s="55"/>
      <c r="B390" s="56"/>
      <c r="C390" s="261" t="s">
        <v>163</v>
      </c>
      <c r="D390" s="261"/>
      <c r="E390" s="262"/>
      <c r="F390" s="262"/>
      <c r="G390" s="263"/>
      <c r="H390" s="136" t="s">
        <v>103</v>
      </c>
      <c r="I390" s="137">
        <f ca="1">IFERROR(__xludf.DUMMYFUNCTION("IMPORTRANGE(""https://docs.google.com/spreadsheets/d/1C3CXT74ZlgGe6_JY_1olB1XN4rF0dxEuIIF-xsYjHgg/edit?usp=sharing"",""งบกองทุน!cd20"")"),5005)</f>
        <v>5005</v>
      </c>
      <c r="J390" s="137">
        <f>J391</f>
        <v>0</v>
      </c>
      <c r="K390" s="138">
        <f t="shared" ca="1" si="82"/>
        <v>0</v>
      </c>
      <c r="L390" s="140"/>
      <c r="M390" s="140"/>
      <c r="N390" s="140"/>
    </row>
    <row r="391" spans="1:14" ht="21.75" customHeight="1" x14ac:dyDescent="0.4">
      <c r="A391" s="55"/>
      <c r="B391" s="56"/>
      <c r="C391" s="56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IFERROR(__xludf.DUMMYFUNCTION("IMPORTRANGE(""https://docs.google.com/spreadsheets/d/1C3CXT74ZlgGe6_JY_1olB1XN4rF0dxEuIIF-xsYjHgg/edit?usp=sharing"",""งบกองทุน!cd20"")"),5005)</f>
        <v>5005</v>
      </c>
      <c r="J391" s="265">
        <f t="shared" ref="J391:J392" si="87">J393+J401+J407</f>
        <v>0</v>
      </c>
      <c r="K391" s="49">
        <f t="shared" ca="1" si="82"/>
        <v>0</v>
      </c>
      <c r="L391" s="61"/>
      <c r="M391" s="61"/>
      <c r="N391" s="61"/>
    </row>
    <row r="392" spans="1:14" ht="21.75" customHeight="1" x14ac:dyDescent="0.4">
      <c r="A392" s="55"/>
      <c r="B392" s="56"/>
      <c r="C392" s="56"/>
      <c r="D392" s="73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IFERROR(__xludf.DUMMYFUNCTION("IMPORTRANGE(""https://docs.google.com/spreadsheets/d/1C3CXT74ZlgGe6_JY_1olB1XN4rF0dxEuIIF-xsYjHgg/edit?usp=sharing"",""งบกองทุน!cc20"")"),493)</f>
        <v>493</v>
      </c>
      <c r="J392" s="265">
        <f t="shared" si="87"/>
        <v>0</v>
      </c>
      <c r="K392" s="80">
        <f t="shared" ca="1" si="82"/>
        <v>0</v>
      </c>
      <c r="L392" s="61"/>
      <c r="M392" s="61"/>
      <c r="N392" s="61"/>
    </row>
    <row r="393" spans="1:14" ht="21.75" customHeight="1" x14ac:dyDescent="0.4">
      <c r="A393" s="55"/>
      <c r="B393" s="56"/>
      <c r="C393" s="56"/>
      <c r="D393" s="251"/>
      <c r="E393" s="251" t="s">
        <v>165</v>
      </c>
      <c r="F393" s="75"/>
      <c r="G393" s="76"/>
      <c r="H393" s="267" t="s">
        <v>103</v>
      </c>
      <c r="I393" s="48">
        <v>0</v>
      </c>
      <c r="J393" s="48">
        <f t="shared" ref="J393:J394" si="88">J395+J397+J399</f>
        <v>0</v>
      </c>
      <c r="K393" s="49">
        <f t="shared" si="82"/>
        <v>0</v>
      </c>
      <c r="L393" s="61"/>
      <c r="M393" s="61"/>
      <c r="N393" s="61"/>
    </row>
    <row r="394" spans="1:14" ht="21.75" customHeight="1" x14ac:dyDescent="0.4">
      <c r="A394" s="55"/>
      <c r="B394" s="56"/>
      <c r="C394" s="56"/>
      <c r="D394" s="73"/>
      <c r="E394" s="75"/>
      <c r="F394" s="75"/>
      <c r="G394" s="76"/>
      <c r="H394" s="267" t="s">
        <v>15</v>
      </c>
      <c r="I394" s="48">
        <v>0</v>
      </c>
      <c r="J394" s="48">
        <f t="shared" si="88"/>
        <v>0</v>
      </c>
      <c r="K394" s="49">
        <f t="shared" si="82"/>
        <v>0</v>
      </c>
      <c r="L394" s="61"/>
      <c r="M394" s="61"/>
      <c r="N394" s="61"/>
    </row>
    <row r="395" spans="1:14" ht="21.75" customHeight="1" x14ac:dyDescent="0.4">
      <c r="A395" s="55"/>
      <c r="B395" s="56"/>
      <c r="C395" s="56"/>
      <c r="D395" s="73"/>
      <c r="E395" s="75"/>
      <c r="F395" s="242" t="s">
        <v>166</v>
      </c>
      <c r="G395" s="266"/>
      <c r="H395" s="267" t="s">
        <v>103</v>
      </c>
      <c r="I395" s="48">
        <v>0</v>
      </c>
      <c r="J395" s="68">
        <v>0</v>
      </c>
      <c r="K395" s="49">
        <f t="shared" si="82"/>
        <v>0</v>
      </c>
      <c r="L395" s="61"/>
      <c r="M395" s="61"/>
      <c r="N395" s="61"/>
    </row>
    <row r="396" spans="1:14" ht="21.75" customHeight="1" x14ac:dyDescent="0.4">
      <c r="A396" s="55"/>
      <c r="B396" s="56"/>
      <c r="C396" s="56"/>
      <c r="D396" s="73"/>
      <c r="E396" s="75"/>
      <c r="F396" s="75"/>
      <c r="G396" s="266"/>
      <c r="H396" s="267" t="s">
        <v>15</v>
      </c>
      <c r="I396" s="48">
        <v>0</v>
      </c>
      <c r="J396" s="68">
        <v>0</v>
      </c>
      <c r="K396" s="49">
        <f t="shared" si="82"/>
        <v>0</v>
      </c>
      <c r="L396" s="61"/>
      <c r="M396" s="61"/>
      <c r="N396" s="61"/>
    </row>
    <row r="397" spans="1:14" ht="21.75" customHeight="1" x14ac:dyDescent="0.4">
      <c r="A397" s="55"/>
      <c r="B397" s="56"/>
      <c r="C397" s="56"/>
      <c r="D397" s="73"/>
      <c r="E397" s="75"/>
      <c r="F397" s="242" t="s">
        <v>167</v>
      </c>
      <c r="G397" s="266"/>
      <c r="H397" s="267" t="s">
        <v>103</v>
      </c>
      <c r="I397" s="48">
        <v>0</v>
      </c>
      <c r="J397" s="68">
        <v>0</v>
      </c>
      <c r="K397" s="49">
        <f t="shared" si="82"/>
        <v>0</v>
      </c>
      <c r="L397" s="61"/>
      <c r="M397" s="61"/>
      <c r="N397" s="61"/>
    </row>
    <row r="398" spans="1:14" ht="21.75" customHeight="1" x14ac:dyDescent="0.4">
      <c r="A398" s="55"/>
      <c r="B398" s="56"/>
      <c r="C398" s="56"/>
      <c r="D398" s="73"/>
      <c r="E398" s="75"/>
      <c r="F398" s="75"/>
      <c r="G398" s="266"/>
      <c r="H398" s="267" t="s">
        <v>15</v>
      </c>
      <c r="I398" s="48">
        <v>0</v>
      </c>
      <c r="J398" s="68">
        <v>0</v>
      </c>
      <c r="K398" s="49">
        <f t="shared" si="82"/>
        <v>0</v>
      </c>
      <c r="L398" s="61"/>
      <c r="M398" s="61"/>
      <c r="N398" s="61"/>
    </row>
    <row r="399" spans="1:14" ht="21.75" customHeight="1" x14ac:dyDescent="0.4">
      <c r="A399" s="55"/>
      <c r="B399" s="56"/>
      <c r="C399" s="56"/>
      <c r="D399" s="73"/>
      <c r="E399" s="75"/>
      <c r="F399" s="242" t="s">
        <v>168</v>
      </c>
      <c r="G399" s="266"/>
      <c r="H399" s="267" t="s">
        <v>103</v>
      </c>
      <c r="I399" s="48">
        <v>0</v>
      </c>
      <c r="J399" s="68">
        <v>0</v>
      </c>
      <c r="K399" s="49">
        <f t="shared" si="82"/>
        <v>0</v>
      </c>
      <c r="L399" s="61"/>
      <c r="M399" s="61"/>
      <c r="N399" s="61"/>
    </row>
    <row r="400" spans="1:14" ht="21.75" customHeight="1" x14ac:dyDescent="0.4">
      <c r="A400" s="55"/>
      <c r="B400" s="56"/>
      <c r="C400" s="56"/>
      <c r="D400" s="73"/>
      <c r="E400" s="75"/>
      <c r="F400" s="75"/>
      <c r="G400" s="75"/>
      <c r="H400" s="267" t="s">
        <v>15</v>
      </c>
      <c r="I400" s="48">
        <v>0</v>
      </c>
      <c r="J400" s="68">
        <v>0</v>
      </c>
      <c r="K400" s="49">
        <f t="shared" si="82"/>
        <v>0</v>
      </c>
      <c r="L400" s="61"/>
      <c r="M400" s="61"/>
      <c r="N400" s="61"/>
    </row>
    <row r="401" spans="1:14" ht="21.75" customHeight="1" x14ac:dyDescent="0.4">
      <c r="A401" s="55"/>
      <c r="B401" s="56"/>
      <c r="C401" s="56"/>
      <c r="D401" s="73"/>
      <c r="E401" s="74" t="s">
        <v>169</v>
      </c>
      <c r="F401" s="75"/>
      <c r="G401" s="266"/>
      <c r="H401" s="267" t="s">
        <v>103</v>
      </c>
      <c r="I401" s="48">
        <v>0</v>
      </c>
      <c r="J401" s="48">
        <f t="shared" ref="J401:J402" si="89">+J403+J405</f>
        <v>0</v>
      </c>
      <c r="K401" s="49">
        <f t="shared" si="82"/>
        <v>0</v>
      </c>
      <c r="L401" s="61"/>
      <c r="M401" s="61"/>
      <c r="N401" s="61"/>
    </row>
    <row r="402" spans="1:14" ht="21.75" customHeight="1" x14ac:dyDescent="0.4">
      <c r="A402" s="55"/>
      <c r="B402" s="56"/>
      <c r="C402" s="56"/>
      <c r="D402" s="73"/>
      <c r="E402" s="75"/>
      <c r="F402" s="75"/>
      <c r="G402" s="75"/>
      <c r="H402" s="267" t="s">
        <v>15</v>
      </c>
      <c r="I402" s="48">
        <v>0</v>
      </c>
      <c r="J402" s="48">
        <f t="shared" si="89"/>
        <v>0</v>
      </c>
      <c r="K402" s="49">
        <f t="shared" si="82"/>
        <v>0</v>
      </c>
      <c r="L402" s="61"/>
      <c r="M402" s="61"/>
      <c r="N402" s="61"/>
    </row>
    <row r="403" spans="1:14" ht="21.75" customHeight="1" x14ac:dyDescent="0.4">
      <c r="A403" s="55"/>
      <c r="B403" s="56"/>
      <c r="C403" s="56"/>
      <c r="D403" s="73"/>
      <c r="E403" s="75"/>
      <c r="F403" s="74" t="s">
        <v>170</v>
      </c>
      <c r="G403" s="75"/>
      <c r="H403" s="267" t="s">
        <v>103</v>
      </c>
      <c r="I403" s="48">
        <v>0</v>
      </c>
      <c r="J403" s="68">
        <v>0</v>
      </c>
      <c r="K403" s="49">
        <f t="shared" si="82"/>
        <v>0</v>
      </c>
      <c r="L403" s="61"/>
      <c r="M403" s="61"/>
      <c r="N403" s="61"/>
    </row>
    <row r="404" spans="1:14" ht="21.75" customHeight="1" x14ac:dyDescent="0.4">
      <c r="A404" s="55"/>
      <c r="B404" s="56"/>
      <c r="C404" s="56"/>
      <c r="D404" s="73"/>
      <c r="E404" s="75"/>
      <c r="F404" s="75"/>
      <c r="G404" s="75"/>
      <c r="H404" s="267" t="s">
        <v>15</v>
      </c>
      <c r="I404" s="48">
        <v>0</v>
      </c>
      <c r="J404" s="68">
        <v>0</v>
      </c>
      <c r="K404" s="49">
        <f t="shared" si="82"/>
        <v>0</v>
      </c>
      <c r="L404" s="61"/>
      <c r="M404" s="61"/>
      <c r="N404" s="61"/>
    </row>
    <row r="405" spans="1:14" ht="21.75" customHeight="1" x14ac:dyDescent="0.4">
      <c r="A405" s="55"/>
      <c r="B405" s="56"/>
      <c r="C405" s="56"/>
      <c r="D405" s="73"/>
      <c r="E405" s="75"/>
      <c r="F405" s="74" t="s">
        <v>171</v>
      </c>
      <c r="G405" s="75"/>
      <c r="H405" s="267" t="s">
        <v>103</v>
      </c>
      <c r="I405" s="48">
        <v>0</v>
      </c>
      <c r="J405" s="68">
        <v>0</v>
      </c>
      <c r="K405" s="49">
        <f t="shared" si="82"/>
        <v>0</v>
      </c>
      <c r="L405" s="61"/>
      <c r="M405" s="61"/>
      <c r="N405" s="61"/>
    </row>
    <row r="406" spans="1:14" ht="21.75" customHeight="1" x14ac:dyDescent="0.4">
      <c r="A406" s="55"/>
      <c r="B406" s="56"/>
      <c r="C406" s="56"/>
      <c r="D406" s="73"/>
      <c r="E406" s="75"/>
      <c r="F406" s="75"/>
      <c r="G406" s="76"/>
      <c r="H406" s="267" t="s">
        <v>15</v>
      </c>
      <c r="I406" s="48">
        <v>0</v>
      </c>
      <c r="J406" s="68">
        <v>0</v>
      </c>
      <c r="K406" s="49">
        <f t="shared" si="82"/>
        <v>0</v>
      </c>
      <c r="L406" s="61"/>
      <c r="M406" s="61"/>
      <c r="N406" s="61"/>
    </row>
    <row r="407" spans="1:14" ht="21.75" customHeight="1" x14ac:dyDescent="0.4">
      <c r="A407" s="55"/>
      <c r="B407" s="56"/>
      <c r="C407" s="56"/>
      <c r="D407" s="251"/>
      <c r="E407" s="251" t="s">
        <v>222</v>
      </c>
      <c r="F407" s="75"/>
      <c r="G407" s="76"/>
      <c r="H407" s="267" t="s">
        <v>103</v>
      </c>
      <c r="I407" s="48">
        <v>0</v>
      </c>
      <c r="J407" s="68">
        <v>0</v>
      </c>
      <c r="K407" s="49">
        <f t="shared" si="82"/>
        <v>0</v>
      </c>
      <c r="L407" s="61"/>
      <c r="M407" s="61"/>
      <c r="N407" s="61"/>
    </row>
    <row r="408" spans="1:14" ht="21.75" customHeight="1" x14ac:dyDescent="0.4">
      <c r="A408" s="55"/>
      <c r="B408" s="56"/>
      <c r="C408" s="56"/>
      <c r="D408" s="73"/>
      <c r="E408" s="75"/>
      <c r="F408" s="75"/>
      <c r="G408" s="76"/>
      <c r="H408" s="267" t="s">
        <v>15</v>
      </c>
      <c r="I408" s="48">
        <v>0</v>
      </c>
      <c r="J408" s="68">
        <v>0</v>
      </c>
      <c r="K408" s="49">
        <f t="shared" si="82"/>
        <v>0</v>
      </c>
      <c r="L408" s="61"/>
      <c r="M408" s="61"/>
      <c r="N408" s="61"/>
    </row>
    <row r="409" spans="1:14" ht="21.75" customHeight="1" x14ac:dyDescent="0.4">
      <c r="A409" s="55"/>
      <c r="B409" s="56"/>
      <c r="C409" s="261" t="s">
        <v>173</v>
      </c>
      <c r="D409" s="261"/>
      <c r="E409" s="285"/>
      <c r="F409" s="285"/>
      <c r="G409" s="286"/>
      <c r="H409" s="287" t="s">
        <v>103</v>
      </c>
      <c r="I409" s="137">
        <f ca="1">IFERROR(__xludf.DUMMYFUNCTION("IMPORTRANGE(""https://docs.google.com/spreadsheets/d/1C3CXT74ZlgGe6_JY_1olB1XN4rF0dxEuIIF-xsYjHgg/edit?usp=sharing"",""งบกองทุน!cz20"")"),0)</f>
        <v>0</v>
      </c>
      <c r="J409" s="137">
        <f ca="1">SUM(J412,J414)</f>
        <v>0</v>
      </c>
      <c r="K409" s="138">
        <f t="shared" ca="1" si="82"/>
        <v>0</v>
      </c>
      <c r="L409" s="61"/>
      <c r="M409" s="61"/>
      <c r="N409" s="61"/>
    </row>
    <row r="410" spans="1:14" ht="21.75" customHeight="1" x14ac:dyDescent="0.4">
      <c r="A410" s="55"/>
      <c r="B410" s="56"/>
      <c r="C410" s="288"/>
      <c r="D410" s="288"/>
      <c r="E410" s="288" t="s">
        <v>174</v>
      </c>
      <c r="F410" s="289"/>
      <c r="G410" s="290"/>
      <c r="H410" s="291" t="s">
        <v>103</v>
      </c>
      <c r="I410" s="150">
        <f ca="1">IFERROR(__xludf.DUMMYFUNCTION("IMPORTRANGE(""https://docs.google.com/spreadsheets/d/1C3CXT74ZlgGe6_JY_1olB1XN4rF0dxEuIIF-xsYjHgg/edit?usp=sharing"",""งบกองทุน!cz20"")"),0)</f>
        <v>0</v>
      </c>
      <c r="J410" s="150">
        <f t="shared" ref="J410:J411" ca="1" si="90">SUM(J412,J414)</f>
        <v>0</v>
      </c>
      <c r="K410" s="147">
        <f t="shared" ca="1" si="82"/>
        <v>0</v>
      </c>
      <c r="L410" s="61"/>
      <c r="M410" s="61"/>
      <c r="N410" s="61"/>
    </row>
    <row r="411" spans="1:14" ht="21.75" customHeight="1" x14ac:dyDescent="0.4">
      <c r="A411" s="55"/>
      <c r="B411" s="56"/>
      <c r="C411" s="288"/>
      <c r="D411" s="288"/>
      <c r="E411" s="288" t="s">
        <v>175</v>
      </c>
      <c r="F411" s="289"/>
      <c r="G411" s="290"/>
      <c r="H411" s="291" t="s">
        <v>15</v>
      </c>
      <c r="I411" s="150">
        <f ca="1">IFERROR(__xludf.DUMMYFUNCTION("IMPORTRANGE(""https://docs.google.com/spreadsheets/d/1C3CXT74ZlgGe6_JY_1olB1XN4rF0dxEuIIF-xsYjHgg/edit?usp=sharing"",""งบกองทุน!cy20"")"),0)</f>
        <v>0</v>
      </c>
      <c r="J411" s="150">
        <f t="shared" ca="1" si="90"/>
        <v>0</v>
      </c>
      <c r="K411" s="147">
        <f t="shared" ca="1" si="82"/>
        <v>0</v>
      </c>
      <c r="L411" s="61"/>
      <c r="M411" s="61"/>
      <c r="N411" s="61"/>
    </row>
    <row r="412" spans="1:14" ht="21.75" customHeight="1" x14ac:dyDescent="0.4">
      <c r="A412" s="55"/>
      <c r="B412" s="56"/>
      <c r="C412" s="56"/>
      <c r="D412" s="73"/>
      <c r="E412" s="75"/>
      <c r="F412" s="75"/>
      <c r="G412" s="99" t="s">
        <v>176</v>
      </c>
      <c r="H412" s="267" t="s">
        <v>103</v>
      </c>
      <c r="I412" s="48">
        <v>0</v>
      </c>
      <c r="J412" s="67">
        <f ca="1">IFERROR(__xludf.DUMMYFUNCTION("IMPORTRANGE(""https://docs.google.com/spreadsheets/d/1C3CXT74ZlgGe6_JY_1olB1XN4rF0dxEuIIF-xsYjHgg/edit?usp=sharing"",""งบกองทุน!db20"")"),0)</f>
        <v>0</v>
      </c>
      <c r="K412" s="49">
        <f t="shared" si="82"/>
        <v>0</v>
      </c>
      <c r="L412" s="61"/>
      <c r="M412" s="61"/>
      <c r="N412" s="61"/>
    </row>
    <row r="413" spans="1:14" ht="21.75" customHeight="1" x14ac:dyDescent="0.4">
      <c r="A413" s="55"/>
      <c r="B413" s="56"/>
      <c r="C413" s="56"/>
      <c r="D413" s="73"/>
      <c r="E413" s="75"/>
      <c r="F413" s="75"/>
      <c r="G413" s="76"/>
      <c r="H413" s="267" t="s">
        <v>15</v>
      </c>
      <c r="I413" s="48">
        <v>0</v>
      </c>
      <c r="J413" s="67">
        <f ca="1">IFERROR(__xludf.DUMMYFUNCTION("IMPORTRANGE(""https://docs.google.com/spreadsheets/d/1C3CXT74ZlgGe6_JY_1olB1XN4rF0dxEuIIF-xsYjHgg/edit?usp=sharing"",""งบกองทุน!da20"")"),0)</f>
        <v>0</v>
      </c>
      <c r="K413" s="49">
        <f t="shared" si="82"/>
        <v>0</v>
      </c>
      <c r="L413" s="61"/>
      <c r="M413" s="61"/>
      <c r="N413" s="61"/>
    </row>
    <row r="414" spans="1:14" ht="21.75" customHeight="1" x14ac:dyDescent="0.4">
      <c r="A414" s="55"/>
      <c r="B414" s="56"/>
      <c r="C414" s="56"/>
      <c r="D414" s="73"/>
      <c r="E414" s="75"/>
      <c r="F414" s="75"/>
      <c r="G414" s="99" t="s">
        <v>177</v>
      </c>
      <c r="H414" s="267" t="s">
        <v>103</v>
      </c>
      <c r="I414" s="48">
        <v>0</v>
      </c>
      <c r="J414" s="67">
        <f ca="1">IFERROR(__xludf.DUMMYFUNCTION("IMPORTRANGE(""https://docs.google.com/spreadsheets/d/1C3CXT74ZlgGe6_JY_1olB1XN4rF0dxEuIIF-xsYjHgg/edit?usp=sharing"",""งบกองทุน!dd20"")"),0)</f>
        <v>0</v>
      </c>
      <c r="K414" s="49">
        <f t="shared" si="82"/>
        <v>0</v>
      </c>
      <c r="L414" s="61"/>
      <c r="M414" s="61"/>
      <c r="N414" s="61"/>
    </row>
    <row r="415" spans="1:14" ht="21.75" customHeight="1" x14ac:dyDescent="0.4">
      <c r="A415" s="55"/>
      <c r="B415" s="56"/>
      <c r="C415" s="56"/>
      <c r="D415" s="73"/>
      <c r="E415" s="75"/>
      <c r="F415" s="75"/>
      <c r="G415" s="76"/>
      <c r="H415" s="267" t="s">
        <v>15</v>
      </c>
      <c r="I415" s="48">
        <v>0</v>
      </c>
      <c r="J415" s="67">
        <f ca="1">IFERROR(__xludf.DUMMYFUNCTION("IMPORTRANGE(""https://docs.google.com/spreadsheets/d/1C3CXT74ZlgGe6_JY_1olB1XN4rF0dxEuIIF-xsYjHgg/edit?usp=sharing"",""งบกองทุน!dc20"")"),0)</f>
        <v>0</v>
      </c>
      <c r="K415" s="49">
        <f t="shared" si="82"/>
        <v>0</v>
      </c>
      <c r="L415" s="61"/>
      <c r="M415" s="61"/>
      <c r="N415" s="61"/>
    </row>
    <row r="416" spans="1:14" ht="21.75" customHeight="1" x14ac:dyDescent="0.4">
      <c r="A416" s="55"/>
      <c r="B416" s="56"/>
      <c r="C416" s="56"/>
      <c r="D416" s="73"/>
      <c r="E416" s="75"/>
      <c r="F416" s="75"/>
      <c r="G416" s="99" t="s">
        <v>178</v>
      </c>
      <c r="H416" s="267" t="s">
        <v>103</v>
      </c>
      <c r="I416" s="48">
        <v>0</v>
      </c>
      <c r="J416" s="67">
        <f ca="1">IFERROR(__xludf.DUMMYFUNCTION("IMPORTRANGE(""https://docs.google.com/spreadsheets/d/1C3CXT74ZlgGe6_JY_1olB1XN4rF0dxEuIIF-xsYjHgg/edit?usp=sharing"",""งบกองทุน!df20"")"),0)</f>
        <v>0</v>
      </c>
      <c r="K416" s="49">
        <f t="shared" si="82"/>
        <v>0</v>
      </c>
      <c r="L416" s="61"/>
      <c r="M416" s="61"/>
      <c r="N416" s="61"/>
    </row>
    <row r="417" spans="1:14" ht="21.75" customHeight="1" x14ac:dyDescent="0.4">
      <c r="A417" s="55"/>
      <c r="B417" s="56"/>
      <c r="C417" s="56"/>
      <c r="D417" s="73"/>
      <c r="E417" s="75"/>
      <c r="F417" s="75"/>
      <c r="G417" s="76"/>
      <c r="H417" s="267" t="s">
        <v>15</v>
      </c>
      <c r="I417" s="48">
        <v>0</v>
      </c>
      <c r="J417" s="67">
        <f ca="1">IFERROR(__xludf.DUMMYFUNCTION("IMPORTRANGE(""https://docs.google.com/spreadsheets/d/1C3CXT74ZlgGe6_JY_1olB1XN4rF0dxEuIIF-xsYjHgg/edit?usp=sharing"",""งบกองทุน!de20"")"),0)</f>
        <v>0</v>
      </c>
      <c r="K417" s="49">
        <f t="shared" si="82"/>
        <v>0</v>
      </c>
      <c r="L417" s="61"/>
      <c r="M417" s="61"/>
      <c r="N417" s="61"/>
    </row>
    <row r="418" spans="1:14" ht="21.75" customHeight="1" x14ac:dyDescent="0.4">
      <c r="A418" s="55"/>
      <c r="B418" s="56"/>
      <c r="C418" s="288"/>
      <c r="D418" s="288"/>
      <c r="E418" s="288" t="s">
        <v>179</v>
      </c>
      <c r="F418" s="289"/>
      <c r="G418" s="290"/>
      <c r="H418" s="291" t="s">
        <v>103</v>
      </c>
      <c r="I418" s="150">
        <f t="shared" ref="I418:I419" ca="1" si="91">J416</f>
        <v>0</v>
      </c>
      <c r="J418" s="150">
        <f t="shared" ref="J418:J419" si="92">SUM(J420,J422,J424)</f>
        <v>0</v>
      </c>
      <c r="K418" s="147">
        <f t="shared" ca="1" si="82"/>
        <v>0</v>
      </c>
      <c r="L418" s="61"/>
      <c r="M418" s="61"/>
      <c r="N418" s="61"/>
    </row>
    <row r="419" spans="1:14" ht="21.75" customHeight="1" x14ac:dyDescent="0.4">
      <c r="A419" s="55"/>
      <c r="B419" s="56"/>
      <c r="C419" s="288"/>
      <c r="D419" s="288"/>
      <c r="E419" s="288" t="s">
        <v>180</v>
      </c>
      <c r="F419" s="289"/>
      <c r="G419" s="290"/>
      <c r="H419" s="291" t="s">
        <v>15</v>
      </c>
      <c r="I419" s="150">
        <f t="shared" ca="1" si="91"/>
        <v>0</v>
      </c>
      <c r="J419" s="150">
        <f t="shared" si="92"/>
        <v>0</v>
      </c>
      <c r="K419" s="147">
        <f t="shared" ca="1" si="82"/>
        <v>0</v>
      </c>
      <c r="L419" s="61"/>
      <c r="M419" s="61"/>
      <c r="N419" s="61"/>
    </row>
    <row r="420" spans="1:14" ht="21.75" customHeight="1" x14ac:dyDescent="0.4">
      <c r="A420" s="55"/>
      <c r="B420" s="56"/>
      <c r="C420" s="56"/>
      <c r="D420" s="73"/>
      <c r="E420" s="75"/>
      <c r="F420" s="75"/>
      <c r="G420" s="99" t="s">
        <v>176</v>
      </c>
      <c r="H420" s="267" t="s">
        <v>103</v>
      </c>
      <c r="I420" s="48">
        <v>0</v>
      </c>
      <c r="J420" s="68">
        <v>0</v>
      </c>
      <c r="K420" s="49">
        <f t="shared" si="82"/>
        <v>0</v>
      </c>
      <c r="L420" s="61"/>
      <c r="M420" s="61"/>
      <c r="N420" s="61"/>
    </row>
    <row r="421" spans="1:14" ht="21.75" customHeight="1" x14ac:dyDescent="0.4">
      <c r="A421" s="55"/>
      <c r="B421" s="56"/>
      <c r="C421" s="56"/>
      <c r="D421" s="73"/>
      <c r="E421" s="75"/>
      <c r="F421" s="75"/>
      <c r="G421" s="76"/>
      <c r="H421" s="267" t="s">
        <v>15</v>
      </c>
      <c r="I421" s="48">
        <v>0</v>
      </c>
      <c r="J421" s="68">
        <v>0</v>
      </c>
      <c r="K421" s="49">
        <f t="shared" si="82"/>
        <v>0</v>
      </c>
      <c r="L421" s="61"/>
      <c r="M421" s="61"/>
      <c r="N421" s="61"/>
    </row>
    <row r="422" spans="1:14" ht="21.75" customHeight="1" x14ac:dyDescent="0.4">
      <c r="A422" s="55"/>
      <c r="B422" s="56"/>
      <c r="C422" s="56"/>
      <c r="D422" s="73"/>
      <c r="E422" s="75"/>
      <c r="F422" s="75"/>
      <c r="G422" s="99" t="s">
        <v>177</v>
      </c>
      <c r="H422" s="267" t="s">
        <v>103</v>
      </c>
      <c r="I422" s="48">
        <v>0</v>
      </c>
      <c r="J422" s="68">
        <v>0</v>
      </c>
      <c r="K422" s="49">
        <f t="shared" si="82"/>
        <v>0</v>
      </c>
      <c r="L422" s="61"/>
      <c r="M422" s="61"/>
      <c r="N422" s="61"/>
    </row>
    <row r="423" spans="1:14" ht="21.75" customHeight="1" x14ac:dyDescent="0.4">
      <c r="A423" s="55"/>
      <c r="B423" s="56"/>
      <c r="C423" s="56"/>
      <c r="D423" s="73"/>
      <c r="E423" s="75"/>
      <c r="F423" s="75"/>
      <c r="G423" s="76"/>
      <c r="H423" s="267" t="s">
        <v>15</v>
      </c>
      <c r="I423" s="48">
        <v>0</v>
      </c>
      <c r="J423" s="68">
        <v>0</v>
      </c>
      <c r="K423" s="49">
        <f t="shared" si="82"/>
        <v>0</v>
      </c>
      <c r="L423" s="61"/>
      <c r="M423" s="61"/>
      <c r="N423" s="61"/>
    </row>
    <row r="424" spans="1:14" ht="21.75" customHeight="1" x14ac:dyDescent="0.4">
      <c r="A424" s="55"/>
      <c r="B424" s="56"/>
      <c r="C424" s="56"/>
      <c r="D424" s="73"/>
      <c r="E424" s="75"/>
      <c r="F424" s="75"/>
      <c r="G424" s="99" t="s">
        <v>181</v>
      </c>
      <c r="H424" s="267" t="s">
        <v>103</v>
      </c>
      <c r="I424" s="48">
        <v>0</v>
      </c>
      <c r="J424" s="68">
        <v>0</v>
      </c>
      <c r="K424" s="49">
        <f t="shared" si="82"/>
        <v>0</v>
      </c>
      <c r="L424" s="61"/>
      <c r="M424" s="61"/>
      <c r="N424" s="61"/>
    </row>
    <row r="425" spans="1:14" ht="21.75" customHeight="1" x14ac:dyDescent="0.4">
      <c r="A425" s="292"/>
      <c r="B425" s="293"/>
      <c r="C425" s="293"/>
      <c r="D425" s="294"/>
      <c r="E425" s="295"/>
      <c r="F425" s="295"/>
      <c r="G425" s="296"/>
      <c r="H425" s="297" t="s">
        <v>15</v>
      </c>
      <c r="I425" s="298">
        <v>0</v>
      </c>
      <c r="J425" s="299">
        <v>0</v>
      </c>
      <c r="K425" s="309">
        <f t="shared" si="82"/>
        <v>0</v>
      </c>
      <c r="L425" s="300"/>
      <c r="M425" s="300"/>
      <c r="N425" s="300"/>
    </row>
    <row r="426" spans="1:14" ht="21.75" customHeight="1" x14ac:dyDescent="0.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3">I440</f>
        <v>22</v>
      </c>
      <c r="J426" s="257">
        <f t="shared" si="93"/>
        <v>0</v>
      </c>
      <c r="K426" s="258">
        <f ca="1">IF(I426&gt;0,J426*100/I426,0)</f>
        <v>0</v>
      </c>
      <c r="L426" s="259">
        <f t="shared" ref="L426:M426" ca="1" si="94">SUM(L427:L428)</f>
        <v>34350</v>
      </c>
      <c r="M426" s="259">
        <f t="shared" si="94"/>
        <v>0</v>
      </c>
      <c r="N426" s="259">
        <f t="shared" ref="N426:N430" ca="1" si="95">+IF(L426&gt;0,M426*100/L426,0)</f>
        <v>0</v>
      </c>
    </row>
    <row r="427" spans="1:14" ht="21.75" customHeight="1" x14ac:dyDescent="0.4">
      <c r="A427" s="42"/>
      <c r="B427" s="43"/>
      <c r="C427" s="43" t="s">
        <v>17</v>
      </c>
      <c r="D427" s="44" t="s">
        <v>18</v>
      </c>
      <c r="E427" s="45"/>
      <c r="F427" s="45"/>
      <c r="G427" s="46" t="s">
        <v>19</v>
      </c>
      <c r="H427" s="47" t="s">
        <v>20</v>
      </c>
      <c r="I427" s="48" t="s">
        <v>21</v>
      </c>
      <c r="J427" s="48"/>
      <c r="K427" s="49"/>
      <c r="L427" s="50">
        <v>0</v>
      </c>
      <c r="M427" s="53">
        <v>0</v>
      </c>
      <c r="N427" s="53">
        <f t="shared" si="95"/>
        <v>0</v>
      </c>
    </row>
    <row r="428" spans="1:14" ht="21.75" customHeight="1" x14ac:dyDescent="0.4">
      <c r="A428" s="42"/>
      <c r="B428" s="43"/>
      <c r="C428" s="43"/>
      <c r="D428" s="51"/>
      <c r="E428" s="45"/>
      <c r="F428" s="45" t="s">
        <v>21</v>
      </c>
      <c r="G428" s="46" t="s">
        <v>22</v>
      </c>
      <c r="H428" s="47" t="s">
        <v>20</v>
      </c>
      <c r="I428" s="48"/>
      <c r="J428" s="48"/>
      <c r="K428" s="49"/>
      <c r="L428" s="50">
        <f t="shared" ref="L428:M428" ca="1" si="96">SUM(L429:L430)</f>
        <v>34350</v>
      </c>
      <c r="M428" s="53">
        <f t="shared" si="96"/>
        <v>0</v>
      </c>
      <c r="N428" s="53">
        <f t="shared" ca="1" si="95"/>
        <v>0</v>
      </c>
    </row>
    <row r="429" spans="1:14" ht="21.75" customHeight="1" x14ac:dyDescent="0.4">
      <c r="A429" s="42"/>
      <c r="B429" s="43"/>
      <c r="C429" s="43"/>
      <c r="D429" s="51"/>
      <c r="E429" s="45"/>
      <c r="F429" s="45"/>
      <c r="G429" s="52" t="s">
        <v>110</v>
      </c>
      <c r="H429" s="47" t="s">
        <v>20</v>
      </c>
      <c r="I429" s="48"/>
      <c r="J429" s="48"/>
      <c r="K429" s="49"/>
      <c r="L429" s="53">
        <f ca="1">IFERROR(__xludf.DUMMYFUNCTION("IMPORTRANGE(""https://docs.google.com/spreadsheets/d/1C3CXT74ZlgGe6_JY_1olB1XN4rF0dxEuIIF-xsYjHgg/edit?usp=sharing"",""งบกองทุน!dn20"")"),0)</f>
        <v>0</v>
      </c>
      <c r="M429" s="53">
        <v>0</v>
      </c>
      <c r="N429" s="53">
        <f t="shared" ca="1" si="95"/>
        <v>0</v>
      </c>
    </row>
    <row r="430" spans="1:14" ht="21.75" customHeight="1" x14ac:dyDescent="0.4">
      <c r="A430" s="42"/>
      <c r="B430" s="43"/>
      <c r="C430" s="43"/>
      <c r="D430" s="51"/>
      <c r="E430" s="45"/>
      <c r="F430" s="45"/>
      <c r="G430" s="52" t="s">
        <v>111</v>
      </c>
      <c r="H430" s="47" t="s">
        <v>20</v>
      </c>
      <c r="I430" s="48"/>
      <c r="J430" s="48"/>
      <c r="K430" s="49"/>
      <c r="L430" s="53">
        <f ca="1">IFERROR(__xludf.DUMMYFUNCTION("IMPORTRANGE(""https://docs.google.com/spreadsheets/d/1C3CXT74ZlgGe6_JY_1olB1XN4rF0dxEuIIF-xsYjHgg/edit?usp=sharing"",""งบกองทุน!do20"")"),34350)</f>
        <v>34350</v>
      </c>
      <c r="M430" s="53">
        <f>SUM(M431:M434)</f>
        <v>0</v>
      </c>
      <c r="N430" s="53">
        <f t="shared" ca="1" si="95"/>
        <v>0</v>
      </c>
    </row>
    <row r="431" spans="1:14" ht="21.75" customHeight="1" x14ac:dyDescent="0.4">
      <c r="A431" s="230"/>
      <c r="B431" s="231"/>
      <c r="C431" s="43"/>
      <c r="D431" s="232"/>
      <c r="E431" s="45"/>
      <c r="F431" s="45"/>
      <c r="G431" s="46" t="s">
        <v>112</v>
      </c>
      <c r="H431" s="47" t="s">
        <v>20</v>
      </c>
      <c r="I431" s="67"/>
      <c r="J431" s="67"/>
      <c r="K431" s="233"/>
      <c r="L431" s="53"/>
      <c r="M431" s="54">
        <v>0</v>
      </c>
      <c r="N431" s="53"/>
    </row>
    <row r="432" spans="1:14" ht="21.75" customHeight="1" x14ac:dyDescent="0.4">
      <c r="A432" s="230"/>
      <c r="B432" s="231"/>
      <c r="C432" s="43"/>
      <c r="D432" s="232"/>
      <c r="E432" s="45"/>
      <c r="F432" s="45"/>
      <c r="G432" s="46" t="s">
        <v>113</v>
      </c>
      <c r="H432" s="47" t="s">
        <v>20</v>
      </c>
      <c r="I432" s="67"/>
      <c r="J432" s="67"/>
      <c r="K432" s="233"/>
      <c r="L432" s="53"/>
      <c r="M432" s="54">
        <v>0</v>
      </c>
      <c r="N432" s="53"/>
    </row>
    <row r="433" spans="1:14" ht="21.75" customHeight="1" x14ac:dyDescent="0.4">
      <c r="A433" s="230"/>
      <c r="B433" s="231"/>
      <c r="C433" s="43"/>
      <c r="D433" s="232"/>
      <c r="E433" s="45"/>
      <c r="F433" s="45"/>
      <c r="G433" s="46" t="s">
        <v>114</v>
      </c>
      <c r="H433" s="47" t="s">
        <v>20</v>
      </c>
      <c r="I433" s="67"/>
      <c r="J433" s="67"/>
      <c r="K433" s="233"/>
      <c r="L433" s="53"/>
      <c r="M433" s="54">
        <v>0</v>
      </c>
      <c r="N433" s="53"/>
    </row>
    <row r="434" spans="1:14" ht="21.75" customHeight="1" x14ac:dyDescent="0.4">
      <c r="A434" s="230"/>
      <c r="B434" s="231"/>
      <c r="C434" s="43"/>
      <c r="D434" s="232"/>
      <c r="E434" s="45"/>
      <c r="F434" s="45"/>
      <c r="G434" s="46" t="s">
        <v>115</v>
      </c>
      <c r="H434" s="47" t="s">
        <v>20</v>
      </c>
      <c r="I434" s="67"/>
      <c r="J434" s="67"/>
      <c r="K434" s="233"/>
      <c r="L434" s="53"/>
      <c r="M434" s="54">
        <v>0</v>
      </c>
      <c r="N434" s="53"/>
    </row>
    <row r="435" spans="1:14" ht="21.75" customHeight="1" x14ac:dyDescent="0.4">
      <c r="A435" s="55"/>
      <c r="B435" s="56"/>
      <c r="C435" s="43" t="s">
        <v>17</v>
      </c>
      <c r="D435" s="57" t="s">
        <v>25</v>
      </c>
      <c r="E435" s="58"/>
      <c r="F435" s="58"/>
      <c r="G435" s="59"/>
      <c r="H435" s="60"/>
      <c r="I435" s="48"/>
      <c r="J435" s="48"/>
      <c r="K435" s="49"/>
      <c r="L435" s="61"/>
      <c r="M435" s="61"/>
      <c r="N435" s="61"/>
    </row>
    <row r="436" spans="1:14" ht="21.75" customHeight="1" x14ac:dyDescent="0.4">
      <c r="A436" s="55"/>
      <c r="B436" s="56"/>
      <c r="C436" s="56"/>
      <c r="D436" s="62">
        <v>1</v>
      </c>
      <c r="E436" s="63" t="s">
        <v>26</v>
      </c>
      <c r="F436" s="64"/>
      <c r="G436" s="65"/>
      <c r="H436" s="66"/>
      <c r="I436" s="67"/>
      <c r="J436" s="68">
        <v>0</v>
      </c>
      <c r="K436" s="49"/>
      <c r="L436" s="61"/>
      <c r="M436" s="61"/>
      <c r="N436" s="61"/>
    </row>
    <row r="437" spans="1:14" ht="21.75" customHeight="1" x14ac:dyDescent="0.4">
      <c r="A437" s="55"/>
      <c r="B437" s="56"/>
      <c r="C437" s="56"/>
      <c r="D437" s="69">
        <v>2</v>
      </c>
      <c r="E437" s="70" t="s">
        <v>27</v>
      </c>
      <c r="F437" s="71"/>
      <c r="G437" s="72"/>
      <c r="H437" s="66"/>
      <c r="I437" s="67"/>
      <c r="J437" s="68">
        <v>1</v>
      </c>
      <c r="K437" s="49"/>
      <c r="L437" s="61" t="s">
        <v>21</v>
      </c>
      <c r="M437" s="61" t="s">
        <v>21</v>
      </c>
      <c r="N437" s="61"/>
    </row>
    <row r="438" spans="1:14" ht="21.75" customHeight="1" x14ac:dyDescent="0.4">
      <c r="A438" s="55"/>
      <c r="B438" s="56"/>
      <c r="C438" s="56"/>
      <c r="D438" s="73"/>
      <c r="E438" s="74" t="s">
        <v>28</v>
      </c>
      <c r="F438" s="75"/>
      <c r="G438" s="76"/>
      <c r="H438" s="66"/>
      <c r="I438" s="67"/>
      <c r="J438" s="68">
        <v>1</v>
      </c>
      <c r="K438" s="49"/>
      <c r="L438" s="61"/>
      <c r="M438" s="61"/>
      <c r="N438" s="61"/>
    </row>
    <row r="439" spans="1:14" ht="21.75" customHeight="1" x14ac:dyDescent="0.4">
      <c r="A439" s="55"/>
      <c r="B439" s="56"/>
      <c r="C439" s="56"/>
      <c r="D439" s="73"/>
      <c r="E439" s="74" t="s">
        <v>29</v>
      </c>
      <c r="F439" s="75"/>
      <c r="G439" s="76"/>
      <c r="H439" s="66"/>
      <c r="I439" s="67"/>
      <c r="J439" s="68">
        <v>0</v>
      </c>
      <c r="K439" s="49"/>
      <c r="L439" s="61"/>
      <c r="M439" s="61"/>
      <c r="N439" s="61"/>
    </row>
    <row r="440" spans="1:14" ht="21.75" customHeight="1" x14ac:dyDescent="0.4">
      <c r="A440" s="55"/>
      <c r="B440" s="56"/>
      <c r="C440" s="56"/>
      <c r="D440" s="73"/>
      <c r="E440" s="77"/>
      <c r="F440" s="75"/>
      <c r="G440" s="99" t="s">
        <v>183</v>
      </c>
      <c r="H440" s="66" t="s">
        <v>16</v>
      </c>
      <c r="I440" s="200">
        <f ca="1">IFERROR(__xludf.DUMMYFUNCTION("IMPORTRANGE(""https://docs.google.com/spreadsheets/d/1C3CXT74ZlgGe6_JY_1olB1XN4rF0dxEuIIF-xsYjHgg/edit?usp=sharing"",""งบกองทุน!dq20"")"),22)</f>
        <v>22</v>
      </c>
      <c r="J440" s="68">
        <v>0</v>
      </c>
      <c r="K440" s="49">
        <f t="shared" ref="K440:K441" ca="1" si="97">IF(I440&gt;0,J440*100/I440,0)</f>
        <v>0</v>
      </c>
      <c r="L440" s="61"/>
      <c r="M440" s="61"/>
      <c r="N440" s="61"/>
    </row>
    <row r="441" spans="1:14" ht="21.75" hidden="1" customHeight="1" x14ac:dyDescent="0.4">
      <c r="A441" s="55"/>
      <c r="B441" s="56"/>
      <c r="C441" s="56"/>
      <c r="D441" s="73"/>
      <c r="E441" s="77"/>
      <c r="F441" s="75"/>
      <c r="G441" s="99" t="s">
        <v>184</v>
      </c>
      <c r="H441" s="66" t="s">
        <v>16</v>
      </c>
      <c r="I441" s="200">
        <f ca="1">IFERROR(__xludf.DUMMYFUNCTION("IMPORTRANGE(""https://docs.google.com/spreadsheets/d/1C3CXT74ZlgGe6_JY_1olB1XN4rF0dxEuIIF-xsYjHgg/edit?usp=sharing"",""งบกองทุน!dr20"")"),22)</f>
        <v>22</v>
      </c>
      <c r="J441" s="68">
        <v>0</v>
      </c>
      <c r="K441" s="49">
        <f t="shared" ca="1" si="97"/>
        <v>0</v>
      </c>
      <c r="L441" s="61"/>
      <c r="M441" s="61"/>
      <c r="N441" s="61"/>
    </row>
    <row r="442" spans="1:14" ht="21.75" customHeight="1" x14ac:dyDescent="0.4">
      <c r="A442" s="55"/>
      <c r="B442" s="56"/>
      <c r="C442" s="56"/>
      <c r="D442" s="73"/>
      <c r="E442" s="74" t="s">
        <v>35</v>
      </c>
      <c r="F442" s="75"/>
      <c r="G442" s="76"/>
      <c r="H442" s="66"/>
      <c r="I442" s="67"/>
      <c r="J442" s="68">
        <v>0</v>
      </c>
      <c r="K442" s="49"/>
      <c r="L442" s="61"/>
      <c r="M442" s="61"/>
      <c r="N442" s="61"/>
    </row>
    <row r="443" spans="1:14" ht="21.75" customHeight="1" x14ac:dyDescent="0.4">
      <c r="A443" s="292"/>
      <c r="B443" s="293"/>
      <c r="C443" s="293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309"/>
      <c r="L443" s="300"/>
      <c r="M443" s="300"/>
      <c r="N443" s="300"/>
    </row>
    <row r="444" spans="1:14" ht="21.75" customHeight="1" x14ac:dyDescent="0.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8">SUM(I453,I455)</f>
        <v>5000</v>
      </c>
      <c r="J444" s="257">
        <f t="shared" si="98"/>
        <v>0</v>
      </c>
      <c r="K444" s="258">
        <f ca="1">IF(I444&gt;0,J444*100/I444,0)</f>
        <v>0</v>
      </c>
      <c r="L444" s="259">
        <f t="shared" ref="L444:M444" ca="1" si="99">SUM(L445:L446)</f>
        <v>320000</v>
      </c>
      <c r="M444" s="259">
        <f t="shared" si="99"/>
        <v>0</v>
      </c>
      <c r="N444" s="259">
        <f t="shared" ref="N444:N448" ca="1" si="100">+IF(L444&gt;0,M444*100/L444,0)</f>
        <v>0</v>
      </c>
    </row>
    <row r="445" spans="1:14" ht="21.75" customHeight="1" x14ac:dyDescent="0.4">
      <c r="A445" s="42"/>
      <c r="B445" s="43"/>
      <c r="C445" s="43" t="s">
        <v>17</v>
      </c>
      <c r="D445" s="44" t="s">
        <v>18</v>
      </c>
      <c r="E445" s="45"/>
      <c r="F445" s="45"/>
      <c r="G445" s="46" t="s">
        <v>19</v>
      </c>
      <c r="H445" s="47" t="s">
        <v>20</v>
      </c>
      <c r="I445" s="48" t="s">
        <v>21</v>
      </c>
      <c r="J445" s="48"/>
      <c r="K445" s="49"/>
      <c r="L445" s="50">
        <v>0</v>
      </c>
      <c r="M445" s="53">
        <v>0</v>
      </c>
      <c r="N445" s="53">
        <f t="shared" si="100"/>
        <v>0</v>
      </c>
    </row>
    <row r="446" spans="1:14" ht="21.75" customHeight="1" x14ac:dyDescent="0.4">
      <c r="A446" s="42"/>
      <c r="B446" s="43"/>
      <c r="C446" s="43"/>
      <c r="D446" s="51"/>
      <c r="E446" s="45"/>
      <c r="F446" s="45" t="s">
        <v>21</v>
      </c>
      <c r="G446" s="46" t="s">
        <v>22</v>
      </c>
      <c r="H446" s="47" t="s">
        <v>20</v>
      </c>
      <c r="I446" s="48"/>
      <c r="J446" s="48"/>
      <c r="K446" s="49"/>
      <c r="L446" s="50">
        <f t="shared" ref="L446:M446" ca="1" si="101">SUM(L447:L448)</f>
        <v>320000</v>
      </c>
      <c r="M446" s="53">
        <f t="shared" si="101"/>
        <v>0</v>
      </c>
      <c r="N446" s="53">
        <f t="shared" ca="1" si="100"/>
        <v>0</v>
      </c>
    </row>
    <row r="447" spans="1:14" ht="21.75" customHeight="1" x14ac:dyDescent="0.4">
      <c r="A447" s="42"/>
      <c r="B447" s="43"/>
      <c r="C447" s="43"/>
      <c r="D447" s="51"/>
      <c r="E447" s="45"/>
      <c r="F447" s="45"/>
      <c r="G447" s="52" t="s">
        <v>110</v>
      </c>
      <c r="H447" s="47" t="s">
        <v>20</v>
      </c>
      <c r="I447" s="48"/>
      <c r="J447" s="48"/>
      <c r="K447" s="49"/>
      <c r="L447" s="53">
        <f ca="1">IFERROR(__xludf.DUMMYFUNCTION("IMPORTRANGE(""https://docs.google.com/spreadsheets/d/1C3CXT74ZlgGe6_JY_1olB1XN4rF0dxEuIIF-xsYjHgg/edit?usp=sharing"",""งบกองทุน!dt20"")"),0)</f>
        <v>0</v>
      </c>
      <c r="M447" s="53">
        <v>0</v>
      </c>
      <c r="N447" s="53">
        <f t="shared" ca="1" si="100"/>
        <v>0</v>
      </c>
    </row>
    <row r="448" spans="1:14" ht="21.75" customHeight="1" x14ac:dyDescent="0.4">
      <c r="A448" s="42"/>
      <c r="B448" s="43"/>
      <c r="C448" s="43"/>
      <c r="D448" s="51"/>
      <c r="E448" s="45"/>
      <c r="F448" s="45"/>
      <c r="G448" s="52" t="s">
        <v>111</v>
      </c>
      <c r="H448" s="47" t="s">
        <v>20</v>
      </c>
      <c r="I448" s="48"/>
      <c r="J448" s="48"/>
      <c r="K448" s="49"/>
      <c r="L448" s="53">
        <f ca="1">IFERROR(__xludf.DUMMYFUNCTION("IMPORTRANGE(""https://docs.google.com/spreadsheets/d/1C3CXT74ZlgGe6_JY_1olB1XN4rF0dxEuIIF-xsYjHgg/edit?usp=sharing"",""งบกองทุน!du20"")"),320000)</f>
        <v>320000</v>
      </c>
      <c r="M448" s="53">
        <f>SUM(M449:M452)</f>
        <v>0</v>
      </c>
      <c r="N448" s="53">
        <f t="shared" ca="1" si="100"/>
        <v>0</v>
      </c>
    </row>
    <row r="449" spans="1:14" ht="21.75" customHeight="1" x14ac:dyDescent="0.4">
      <c r="A449" s="230"/>
      <c r="B449" s="231"/>
      <c r="C449" s="43"/>
      <c r="D449" s="232"/>
      <c r="E449" s="45"/>
      <c r="F449" s="45"/>
      <c r="G449" s="46" t="s">
        <v>112</v>
      </c>
      <c r="H449" s="47" t="s">
        <v>20</v>
      </c>
      <c r="I449" s="67"/>
      <c r="J449" s="67"/>
      <c r="K449" s="233"/>
      <c r="L449" s="53"/>
      <c r="M449" s="54">
        <v>0</v>
      </c>
      <c r="N449" s="53"/>
    </row>
    <row r="450" spans="1:14" ht="21.75" customHeight="1" x14ac:dyDescent="0.4">
      <c r="A450" s="230"/>
      <c r="B450" s="231"/>
      <c r="C450" s="43"/>
      <c r="D450" s="232"/>
      <c r="E450" s="45"/>
      <c r="F450" s="45"/>
      <c r="G450" s="46" t="s">
        <v>113</v>
      </c>
      <c r="H450" s="47" t="s">
        <v>20</v>
      </c>
      <c r="I450" s="67"/>
      <c r="J450" s="67"/>
      <c r="K450" s="233"/>
      <c r="L450" s="53"/>
      <c r="M450" s="54">
        <v>0</v>
      </c>
      <c r="N450" s="53"/>
    </row>
    <row r="451" spans="1:14" ht="21.75" customHeight="1" x14ac:dyDescent="0.4">
      <c r="A451" s="230"/>
      <c r="B451" s="231"/>
      <c r="C451" s="43"/>
      <c r="D451" s="232"/>
      <c r="E451" s="45"/>
      <c r="F451" s="45"/>
      <c r="G451" s="46" t="s">
        <v>114</v>
      </c>
      <c r="H451" s="47" t="s">
        <v>20</v>
      </c>
      <c r="I451" s="67"/>
      <c r="J451" s="67"/>
      <c r="K451" s="233"/>
      <c r="L451" s="53"/>
      <c r="M451" s="54">
        <v>0</v>
      </c>
      <c r="N451" s="53"/>
    </row>
    <row r="452" spans="1:14" ht="21.75" customHeight="1" x14ac:dyDescent="0.4">
      <c r="A452" s="230"/>
      <c r="B452" s="231"/>
      <c r="C452" s="43"/>
      <c r="D452" s="232"/>
      <c r="E452" s="45"/>
      <c r="F452" s="45"/>
      <c r="G452" s="46" t="s">
        <v>115</v>
      </c>
      <c r="H452" s="47" t="s">
        <v>20</v>
      </c>
      <c r="I452" s="67"/>
      <c r="J452" s="67"/>
      <c r="K452" s="233"/>
      <c r="L452" s="53"/>
      <c r="M452" s="54">
        <v>0</v>
      </c>
      <c r="N452" s="53"/>
    </row>
    <row r="453" spans="1:14" ht="21.75" customHeight="1" x14ac:dyDescent="0.4">
      <c r="A453" s="230"/>
      <c r="B453" s="231"/>
      <c r="C453" s="231"/>
      <c r="D453" s="310"/>
      <c r="E453" s="311"/>
      <c r="F453" s="311" t="s">
        <v>186</v>
      </c>
      <c r="G453" s="312"/>
      <c r="H453" s="313" t="s">
        <v>103</v>
      </c>
      <c r="I453" s="67">
        <f ca="1">IFERROR(__xludf.DUMMYFUNCTION("IMPORTRANGE(""https://docs.google.com/spreadsheets/d/1C3CXT74ZlgGe6_JY_1olB1XN4rF0dxEuIIF-xsYjHgg/edit?usp=sharing"",""งบกองทุน!dw20"")"),5000)</f>
        <v>5000</v>
      </c>
      <c r="J453" s="67">
        <v>0</v>
      </c>
      <c r="K453" s="233">
        <f t="shared" ref="K453:K457" ca="1" si="102">IF(I453&gt;0,J453*100/I453,0)</f>
        <v>0</v>
      </c>
      <c r="L453" s="53"/>
      <c r="M453" s="53"/>
      <c r="N453" s="53"/>
    </row>
    <row r="454" spans="1:14" ht="21.75" customHeight="1" x14ac:dyDescent="0.4">
      <c r="A454" s="230"/>
      <c r="B454" s="231"/>
      <c r="C454" s="231"/>
      <c r="D454" s="310"/>
      <c r="E454" s="311"/>
      <c r="F454" s="311"/>
      <c r="G454" s="312"/>
      <c r="H454" s="313" t="s">
        <v>15</v>
      </c>
      <c r="I454" s="67">
        <f ca="1">IFERROR(__xludf.DUMMYFUNCTION("IMPORTRANGE(""https://docs.google.com/spreadsheets/d/1C3CXT74ZlgGe6_JY_1olB1XN4rF0dxEuIIF-xsYjHgg/edit?usp=sharing"",""งบกองทุน!dx20"")"),0)</f>
        <v>0</v>
      </c>
      <c r="J454" s="67">
        <v>0</v>
      </c>
      <c r="K454" s="233">
        <f t="shared" ca="1" si="102"/>
        <v>0</v>
      </c>
      <c r="L454" s="53"/>
      <c r="M454" s="53"/>
      <c r="N454" s="53"/>
    </row>
    <row r="455" spans="1:14" ht="21.75" customHeight="1" x14ac:dyDescent="0.4">
      <c r="A455" s="230"/>
      <c r="B455" s="231"/>
      <c r="C455" s="231"/>
      <c r="D455" s="310"/>
      <c r="E455" s="311"/>
      <c r="F455" s="311" t="s">
        <v>187</v>
      </c>
      <c r="G455" s="312"/>
      <c r="H455" s="313" t="s">
        <v>103</v>
      </c>
      <c r="I455" s="67">
        <f ca="1">IFERROR(__xludf.DUMMYFUNCTION("IMPORTRANGE(""https://docs.google.com/spreadsheets/d/1C3CXT74ZlgGe6_JY_1olB1XN4rF0dxEuIIF-xsYjHgg/edit?usp=sharing"",""งบกองทุน!dy20"")"),0)</f>
        <v>0</v>
      </c>
      <c r="J455" s="67">
        <v>0</v>
      </c>
      <c r="K455" s="233">
        <f t="shared" ca="1" si="102"/>
        <v>0</v>
      </c>
      <c r="L455" s="53"/>
      <c r="M455" s="53"/>
      <c r="N455" s="53"/>
    </row>
    <row r="456" spans="1:14" ht="21.75" customHeight="1" x14ac:dyDescent="0.4">
      <c r="A456" s="230"/>
      <c r="B456" s="231"/>
      <c r="C456" s="231"/>
      <c r="D456" s="310"/>
      <c r="E456" s="311"/>
      <c r="F456" s="311"/>
      <c r="G456" s="312"/>
      <c r="H456" s="313" t="s">
        <v>15</v>
      </c>
      <c r="I456" s="67">
        <f ca="1">IFERROR(__xludf.DUMMYFUNCTION("IMPORTRANGE(""https://docs.google.com/spreadsheets/d/1C3CXT74ZlgGe6_JY_1olB1XN4rF0dxEuIIF-xsYjHgg/edit?usp=sharing"",""งบกองทุน!dz20"")"),0)</f>
        <v>0</v>
      </c>
      <c r="J456" s="67">
        <v>0</v>
      </c>
      <c r="K456" s="233">
        <f t="shared" ca="1" si="102"/>
        <v>0</v>
      </c>
      <c r="L456" s="53"/>
      <c r="M456" s="53"/>
      <c r="N456" s="53"/>
    </row>
    <row r="457" spans="1:14" ht="21.75" customHeight="1" x14ac:dyDescent="0.4">
      <c r="A457" s="222"/>
      <c r="B457" s="223">
        <v>8</v>
      </c>
      <c r="C457" s="224" t="s">
        <v>223</v>
      </c>
      <c r="D457" s="224"/>
      <c r="E457" s="224"/>
      <c r="F457" s="224"/>
      <c r="G457" s="225"/>
      <c r="H457" s="226" t="s">
        <v>16</v>
      </c>
      <c r="I457" s="227">
        <f ca="1">I466</f>
        <v>4900</v>
      </c>
      <c r="J457" s="227">
        <f>+J466</f>
        <v>0</v>
      </c>
      <c r="K457" s="228">
        <f t="shared" ca="1" si="102"/>
        <v>0</v>
      </c>
      <c r="L457" s="229">
        <f t="shared" ref="L457:M457" ca="1" si="103">SUM(L458:L459)</f>
        <v>168000</v>
      </c>
      <c r="M457" s="229">
        <f t="shared" si="103"/>
        <v>0</v>
      </c>
      <c r="N457" s="229">
        <f t="shared" ref="N457:N461" ca="1" si="104">+IF(L457&gt;0,M457*100/L457,0)</f>
        <v>0</v>
      </c>
    </row>
    <row r="458" spans="1:14" ht="21.75" customHeight="1" x14ac:dyDescent="0.4">
      <c r="A458" s="42"/>
      <c r="B458" s="43"/>
      <c r="C458" s="43" t="s">
        <v>17</v>
      </c>
      <c r="D458" s="44" t="s">
        <v>18</v>
      </c>
      <c r="E458" s="45"/>
      <c r="F458" s="45"/>
      <c r="G458" s="46" t="s">
        <v>19</v>
      </c>
      <c r="H458" s="47" t="s">
        <v>20</v>
      </c>
      <c r="I458" s="48" t="s">
        <v>21</v>
      </c>
      <c r="J458" s="48"/>
      <c r="K458" s="49"/>
      <c r="L458" s="50">
        <v>0</v>
      </c>
      <c r="M458" s="53">
        <v>0</v>
      </c>
      <c r="N458" s="53">
        <f t="shared" si="104"/>
        <v>0</v>
      </c>
    </row>
    <row r="459" spans="1:14" ht="21.75" customHeight="1" x14ac:dyDescent="0.4">
      <c r="A459" s="42"/>
      <c r="B459" s="43"/>
      <c r="C459" s="43"/>
      <c r="D459" s="51"/>
      <c r="E459" s="45"/>
      <c r="F459" s="45" t="s">
        <v>21</v>
      </c>
      <c r="G459" s="46" t="s">
        <v>22</v>
      </c>
      <c r="H459" s="47" t="s">
        <v>20</v>
      </c>
      <c r="I459" s="48"/>
      <c r="J459" s="48"/>
      <c r="K459" s="49"/>
      <c r="L459" s="50">
        <f t="shared" ref="L459:M459" ca="1" si="105">SUM(L460:L461)</f>
        <v>168000</v>
      </c>
      <c r="M459" s="53">
        <f t="shared" si="105"/>
        <v>0</v>
      </c>
      <c r="N459" s="53">
        <f t="shared" ca="1" si="104"/>
        <v>0</v>
      </c>
    </row>
    <row r="460" spans="1:14" ht="21.75" customHeight="1" x14ac:dyDescent="0.4">
      <c r="A460" s="42"/>
      <c r="B460" s="43"/>
      <c r="C460" s="43"/>
      <c r="D460" s="51"/>
      <c r="E460" s="45"/>
      <c r="F460" s="45"/>
      <c r="G460" s="52" t="s">
        <v>110</v>
      </c>
      <c r="H460" s="47" t="s">
        <v>20</v>
      </c>
      <c r="I460" s="48"/>
      <c r="J460" s="48"/>
      <c r="K460" s="49"/>
      <c r="L460" s="53">
        <f ca="1">IFERROR(__xludf.DUMMYFUNCTION("IMPORTRANGE(""https://docs.google.com/spreadsheets/d/1C3CXT74ZlgGe6_JY_1olB1XN4rF0dxEuIIF-xsYjHgg/edit?usp=sharing"",""งบกองทุน!Eb20"")"),0)</f>
        <v>0</v>
      </c>
      <c r="M460" s="53">
        <v>0</v>
      </c>
      <c r="N460" s="53">
        <f t="shared" ca="1" si="104"/>
        <v>0</v>
      </c>
    </row>
    <row r="461" spans="1:14" ht="21.75" customHeight="1" x14ac:dyDescent="0.4">
      <c r="A461" s="42"/>
      <c r="B461" s="43"/>
      <c r="C461" s="43"/>
      <c r="D461" s="51"/>
      <c r="E461" s="45"/>
      <c r="F461" s="45"/>
      <c r="G461" s="52" t="s">
        <v>111</v>
      </c>
      <c r="H461" s="47" t="s">
        <v>20</v>
      </c>
      <c r="I461" s="48"/>
      <c r="J461" s="48"/>
      <c r="K461" s="49"/>
      <c r="L461" s="53">
        <f ca="1">IFERROR(__xludf.DUMMYFUNCTION("IMPORTRANGE(""https://docs.google.com/spreadsheets/d/1C3CXT74ZlgGe6_JY_1olB1XN4rF0dxEuIIF-xsYjHgg/edit?usp=sharing"",""งบกองทุน!Ec20"")"),168000)</f>
        <v>168000</v>
      </c>
      <c r="M461" s="53">
        <f>SUM(M462:M465)</f>
        <v>0</v>
      </c>
      <c r="N461" s="53">
        <f t="shared" ca="1" si="104"/>
        <v>0</v>
      </c>
    </row>
    <row r="462" spans="1:14" ht="21.75" customHeight="1" x14ac:dyDescent="0.4">
      <c r="A462" s="230"/>
      <c r="B462" s="231"/>
      <c r="C462" s="43"/>
      <c r="D462" s="232"/>
      <c r="E462" s="45"/>
      <c r="F462" s="45"/>
      <c r="G462" s="46" t="s">
        <v>112</v>
      </c>
      <c r="H462" s="47" t="s">
        <v>20</v>
      </c>
      <c r="I462" s="67"/>
      <c r="J462" s="67"/>
      <c r="K462" s="233"/>
      <c r="L462" s="53"/>
      <c r="M462" s="53">
        <v>0</v>
      </c>
      <c r="N462" s="53"/>
    </row>
    <row r="463" spans="1:14" ht="21.75" customHeight="1" x14ac:dyDescent="0.4">
      <c r="A463" s="230"/>
      <c r="B463" s="231"/>
      <c r="C463" s="43"/>
      <c r="D463" s="232"/>
      <c r="E463" s="45"/>
      <c r="F463" s="45"/>
      <c r="G463" s="46" t="s">
        <v>113</v>
      </c>
      <c r="H463" s="47" t="s">
        <v>20</v>
      </c>
      <c r="I463" s="67"/>
      <c r="J463" s="67"/>
      <c r="K463" s="233"/>
      <c r="L463" s="53"/>
      <c r="M463" s="53">
        <v>0</v>
      </c>
      <c r="N463" s="53"/>
    </row>
    <row r="464" spans="1:14" ht="21.75" customHeight="1" x14ac:dyDescent="0.4">
      <c r="A464" s="230"/>
      <c r="B464" s="231"/>
      <c r="C464" s="43"/>
      <c r="D464" s="232"/>
      <c r="E464" s="45"/>
      <c r="F464" s="45"/>
      <c r="G464" s="46" t="s">
        <v>114</v>
      </c>
      <c r="H464" s="47" t="s">
        <v>20</v>
      </c>
      <c r="I464" s="67"/>
      <c r="J464" s="67"/>
      <c r="K464" s="233"/>
      <c r="L464" s="53"/>
      <c r="M464" s="54">
        <v>0</v>
      </c>
      <c r="N464" s="53"/>
    </row>
    <row r="465" spans="1:14" ht="21.75" customHeight="1" x14ac:dyDescent="0.4">
      <c r="A465" s="230"/>
      <c r="B465" s="231"/>
      <c r="C465" s="43"/>
      <c r="D465" s="232"/>
      <c r="E465" s="45"/>
      <c r="F465" s="45"/>
      <c r="G465" s="46" t="s">
        <v>115</v>
      </c>
      <c r="H465" s="47" t="s">
        <v>20</v>
      </c>
      <c r="I465" s="67"/>
      <c r="J465" s="67"/>
      <c r="K465" s="233"/>
      <c r="L465" s="53"/>
      <c r="M465" s="54">
        <v>0</v>
      </c>
      <c r="N465" s="53"/>
    </row>
    <row r="466" spans="1:14" ht="21.75" customHeight="1" x14ac:dyDescent="0.4">
      <c r="A466" s="55"/>
      <c r="B466" s="56"/>
      <c r="C466" s="56"/>
      <c r="D466" s="75"/>
      <c r="E466" s="74" t="s">
        <v>21</v>
      </c>
      <c r="F466" s="260" t="s">
        <v>189</v>
      </c>
      <c r="G466" s="240"/>
      <c r="H466" s="314" t="s">
        <v>16</v>
      </c>
      <c r="I466" s="265">
        <f ca="1">IFERROR(__xludf.DUMMYFUNCTION("IMPORTRANGE(""https://docs.google.com/spreadsheets/d/1C3CXT74ZlgGe6_JY_1olB1XN4rF0dxEuIIF-xsYjHgg/edit?usp=sharing"",""งบกองทุน!Ed20"")"),4900)</f>
        <v>4900</v>
      </c>
      <c r="J466" s="265">
        <f>+J469+J470+J471+J472</f>
        <v>0</v>
      </c>
      <c r="K466" s="80">
        <f ca="1">IF(I466&gt;0,J466*100/I466,0)</f>
        <v>0</v>
      </c>
      <c r="L466" s="61"/>
      <c r="M466" s="61"/>
      <c r="N466" s="61"/>
    </row>
    <row r="467" spans="1:14" ht="21.75" customHeight="1" x14ac:dyDescent="0.4">
      <c r="A467" s="55"/>
      <c r="B467" s="56"/>
      <c r="C467" s="56"/>
      <c r="D467" s="75"/>
      <c r="E467" s="75"/>
      <c r="F467" s="74" t="s">
        <v>190</v>
      </c>
      <c r="G467" s="76"/>
      <c r="H467" s="315"/>
      <c r="I467" s="48"/>
      <c r="J467" s="48"/>
      <c r="K467" s="49"/>
      <c r="L467" s="61"/>
      <c r="M467" s="61"/>
      <c r="N467" s="61"/>
    </row>
    <row r="468" spans="1:14" ht="21.75" customHeight="1" x14ac:dyDescent="0.4">
      <c r="A468" s="55"/>
      <c r="B468" s="56"/>
      <c r="C468" s="56"/>
      <c r="D468" s="75"/>
      <c r="E468" s="74" t="s">
        <v>21</v>
      </c>
      <c r="F468" s="74" t="s">
        <v>191</v>
      </c>
      <c r="G468" s="76"/>
      <c r="H468" s="315" t="s">
        <v>57</v>
      </c>
      <c r="I468" s="48">
        <v>0</v>
      </c>
      <c r="J468" s="68">
        <v>0</v>
      </c>
      <c r="K468" s="49">
        <f t="shared" ref="K468:K472" si="106">IF(I468&gt;0,J468*100/I468,0)</f>
        <v>0</v>
      </c>
      <c r="L468" s="61"/>
      <c r="M468" s="61"/>
      <c r="N468" s="61"/>
    </row>
    <row r="469" spans="1:14" ht="21.75" customHeight="1" x14ac:dyDescent="0.4">
      <c r="A469" s="55"/>
      <c r="B469" s="56"/>
      <c r="C469" s="56"/>
      <c r="D469" s="75"/>
      <c r="E469" s="75"/>
      <c r="F469" s="74" t="s">
        <v>192</v>
      </c>
      <c r="G469" s="76"/>
      <c r="H469" s="315" t="s">
        <v>16</v>
      </c>
      <c r="I469" s="48">
        <v>0</v>
      </c>
      <c r="J469" s="68">
        <v>0</v>
      </c>
      <c r="K469" s="49">
        <f t="shared" si="106"/>
        <v>0</v>
      </c>
      <c r="L469" s="61"/>
      <c r="M469" s="61"/>
      <c r="N469" s="61"/>
    </row>
    <row r="470" spans="1:14" ht="21.75" customHeight="1" x14ac:dyDescent="0.4">
      <c r="A470" s="55"/>
      <c r="B470" s="56"/>
      <c r="C470" s="56"/>
      <c r="D470" s="75"/>
      <c r="E470" s="75"/>
      <c r="F470" s="74" t="s">
        <v>193</v>
      </c>
      <c r="G470" s="76"/>
      <c r="H470" s="315" t="s">
        <v>16</v>
      </c>
      <c r="I470" s="48">
        <v>0</v>
      </c>
      <c r="J470" s="68">
        <v>0</v>
      </c>
      <c r="K470" s="49">
        <f t="shared" si="106"/>
        <v>0</v>
      </c>
      <c r="L470" s="61"/>
      <c r="M470" s="61"/>
      <c r="N470" s="61"/>
    </row>
    <row r="471" spans="1:14" ht="21.75" customHeight="1" x14ac:dyDescent="0.4">
      <c r="A471" s="55"/>
      <c r="B471" s="56"/>
      <c r="C471" s="56"/>
      <c r="D471" s="75"/>
      <c r="E471" s="75"/>
      <c r="F471" s="74" t="s">
        <v>194</v>
      </c>
      <c r="G471" s="266"/>
      <c r="H471" s="315" t="s">
        <v>16</v>
      </c>
      <c r="I471" s="48">
        <v>0</v>
      </c>
      <c r="J471" s="68">
        <v>0</v>
      </c>
      <c r="K471" s="49">
        <f t="shared" si="106"/>
        <v>0</v>
      </c>
      <c r="L471" s="61"/>
      <c r="M471" s="61"/>
      <c r="N471" s="61"/>
    </row>
    <row r="472" spans="1:14" ht="21.75" customHeight="1" x14ac:dyDescent="0.4">
      <c r="A472" s="55"/>
      <c r="B472" s="56"/>
      <c r="C472" s="56"/>
      <c r="D472" s="75"/>
      <c r="E472" s="75"/>
      <c r="F472" s="74" t="s">
        <v>195</v>
      </c>
      <c r="G472" s="266"/>
      <c r="H472" s="315" t="s">
        <v>16</v>
      </c>
      <c r="I472" s="48">
        <v>0</v>
      </c>
      <c r="J472" s="68">
        <v>0</v>
      </c>
      <c r="K472" s="49">
        <f t="shared" si="106"/>
        <v>0</v>
      </c>
      <c r="L472" s="61"/>
      <c r="M472" s="61"/>
      <c r="N472" s="61"/>
    </row>
    <row r="473" spans="1:14" ht="21.75" customHeight="1" x14ac:dyDescent="0.4">
      <c r="A473" s="222"/>
      <c r="B473" s="223">
        <v>9</v>
      </c>
      <c r="C473" s="224" t="s">
        <v>196</v>
      </c>
      <c r="D473" s="224"/>
      <c r="E473" s="224"/>
      <c r="F473" s="224"/>
      <c r="G473" s="225"/>
      <c r="H473" s="226" t="s">
        <v>16</v>
      </c>
      <c r="I473" s="227">
        <f ca="1">I484</f>
        <v>500</v>
      </c>
      <c r="J473" s="227">
        <f ca="1">J488</f>
        <v>0</v>
      </c>
      <c r="K473" s="228">
        <f ca="1">IF(I473&gt;0,J473*100/I473,0)</f>
        <v>0</v>
      </c>
      <c r="L473" s="229">
        <f ca="1">SUM(L474,L475)</f>
        <v>395350</v>
      </c>
      <c r="M473" s="229">
        <f>SUM(M474:M475)</f>
        <v>0</v>
      </c>
      <c r="N473" s="229">
        <f t="shared" ref="N473:N477" ca="1" si="107">+IF(L473&gt;0,M473*100/L473,0)</f>
        <v>0</v>
      </c>
    </row>
    <row r="474" spans="1:14" ht="21.75" customHeight="1" x14ac:dyDescent="0.4">
      <c r="A474" s="42"/>
      <c r="B474" s="43"/>
      <c r="C474" s="43" t="s">
        <v>17</v>
      </c>
      <c r="D474" s="44" t="s">
        <v>18</v>
      </c>
      <c r="E474" s="45"/>
      <c r="F474" s="45"/>
      <c r="G474" s="46" t="s">
        <v>19</v>
      </c>
      <c r="H474" s="47" t="s">
        <v>20</v>
      </c>
      <c r="I474" s="48" t="s">
        <v>21</v>
      </c>
      <c r="J474" s="48"/>
      <c r="K474" s="49"/>
      <c r="L474" s="50">
        <v>0</v>
      </c>
      <c r="M474" s="53">
        <v>0</v>
      </c>
      <c r="N474" s="53">
        <f t="shared" si="107"/>
        <v>0</v>
      </c>
    </row>
    <row r="475" spans="1:14" ht="21.75" customHeight="1" x14ac:dyDescent="0.4">
      <c r="A475" s="42"/>
      <c r="B475" s="43"/>
      <c r="C475" s="43"/>
      <c r="D475" s="51"/>
      <c r="E475" s="45"/>
      <c r="F475" s="45" t="s">
        <v>21</v>
      </c>
      <c r="G475" s="46" t="s">
        <v>22</v>
      </c>
      <c r="H475" s="47" t="s">
        <v>20</v>
      </c>
      <c r="I475" s="48"/>
      <c r="J475" s="48"/>
      <c r="K475" s="49"/>
      <c r="L475" s="50">
        <f t="shared" ref="L475:M475" ca="1" si="108">SUM(L476:L477)</f>
        <v>395350</v>
      </c>
      <c r="M475" s="53">
        <f t="shared" si="108"/>
        <v>0</v>
      </c>
      <c r="N475" s="53">
        <f t="shared" ca="1" si="107"/>
        <v>0</v>
      </c>
    </row>
    <row r="476" spans="1:14" ht="21.75" customHeight="1" x14ac:dyDescent="0.4">
      <c r="A476" s="42"/>
      <c r="B476" s="43"/>
      <c r="C476" s="43"/>
      <c r="D476" s="51"/>
      <c r="E476" s="45"/>
      <c r="F476" s="45"/>
      <c r="G476" s="52" t="s">
        <v>110</v>
      </c>
      <c r="H476" s="47" t="s">
        <v>20</v>
      </c>
      <c r="I476" s="48"/>
      <c r="J476" s="48"/>
      <c r="K476" s="49"/>
      <c r="L476" s="53">
        <f ca="1">IFERROR(__xludf.DUMMYFUNCTION("IMPORTRANGE(""https://docs.google.com/spreadsheets/d/1C3CXT74ZlgGe6_JY_1olB1XN4rF0dxEuIIF-xsYjHgg/edit?usp=sharing"",""งบกองทุน!Ek20"")"),0)</f>
        <v>0</v>
      </c>
      <c r="M476" s="53">
        <v>0</v>
      </c>
      <c r="N476" s="53">
        <f t="shared" ca="1" si="107"/>
        <v>0</v>
      </c>
    </row>
    <row r="477" spans="1:14" ht="21.75" customHeight="1" x14ac:dyDescent="0.4">
      <c r="A477" s="42"/>
      <c r="B477" s="43"/>
      <c r="C477" s="43"/>
      <c r="D477" s="51"/>
      <c r="E477" s="45"/>
      <c r="F477" s="45"/>
      <c r="G477" s="52" t="s">
        <v>111</v>
      </c>
      <c r="H477" s="47" t="s">
        <v>20</v>
      </c>
      <c r="I477" s="48"/>
      <c r="J477" s="48"/>
      <c r="K477" s="49"/>
      <c r="L477" s="53">
        <f ca="1">IFERROR(__xludf.DUMMYFUNCTION("IMPORTRANGE(""https://docs.google.com/spreadsheets/d/1C3CXT74ZlgGe6_JY_1olB1XN4rF0dxEuIIF-xsYjHgg/edit?usp=sharing"",""งบกองทุน!El20"")"),395350)</f>
        <v>395350</v>
      </c>
      <c r="M477" s="53">
        <f>SUM(M478:M481)</f>
        <v>0</v>
      </c>
      <c r="N477" s="53">
        <f t="shared" ca="1" si="107"/>
        <v>0</v>
      </c>
    </row>
    <row r="478" spans="1:14" ht="21.75" customHeight="1" x14ac:dyDescent="0.4">
      <c r="A478" s="230"/>
      <c r="B478" s="231"/>
      <c r="C478" s="43"/>
      <c r="D478" s="232"/>
      <c r="E478" s="45"/>
      <c r="F478" s="45"/>
      <c r="G478" s="46" t="s">
        <v>112</v>
      </c>
      <c r="H478" s="47" t="s">
        <v>20</v>
      </c>
      <c r="I478" s="67"/>
      <c r="J478" s="67"/>
      <c r="K478" s="233"/>
      <c r="L478" s="53"/>
      <c r="M478" s="53">
        <v>0</v>
      </c>
      <c r="N478" s="53"/>
    </row>
    <row r="479" spans="1:14" ht="21.75" customHeight="1" x14ac:dyDescent="0.4">
      <c r="A479" s="230"/>
      <c r="B479" s="231"/>
      <c r="C479" s="43"/>
      <c r="D479" s="232"/>
      <c r="E479" s="45"/>
      <c r="F479" s="45"/>
      <c r="G479" s="46" t="s">
        <v>113</v>
      </c>
      <c r="H479" s="47" t="s">
        <v>20</v>
      </c>
      <c r="I479" s="67"/>
      <c r="J479" s="67"/>
      <c r="K479" s="233"/>
      <c r="L479" s="53"/>
      <c r="M479" s="53">
        <v>0</v>
      </c>
      <c r="N479" s="53"/>
    </row>
    <row r="480" spans="1:14" ht="21.75" customHeight="1" x14ac:dyDescent="0.4">
      <c r="A480" s="230"/>
      <c r="B480" s="231"/>
      <c r="C480" s="43"/>
      <c r="D480" s="232"/>
      <c r="E480" s="45"/>
      <c r="F480" s="45"/>
      <c r="G480" s="46" t="s">
        <v>114</v>
      </c>
      <c r="H480" s="47" t="s">
        <v>20</v>
      </c>
      <c r="I480" s="67"/>
      <c r="J480" s="67"/>
      <c r="K480" s="233"/>
      <c r="L480" s="53"/>
      <c r="M480" s="54">
        <v>0</v>
      </c>
      <c r="N480" s="53"/>
    </row>
    <row r="481" spans="1:14" ht="21.75" customHeight="1" x14ac:dyDescent="0.4">
      <c r="A481" s="230"/>
      <c r="B481" s="231"/>
      <c r="C481" s="43"/>
      <c r="D481" s="232"/>
      <c r="E481" s="45"/>
      <c r="F481" s="45"/>
      <c r="G481" s="46" t="s">
        <v>115</v>
      </c>
      <c r="H481" s="47" t="s">
        <v>20</v>
      </c>
      <c r="I481" s="67"/>
      <c r="J481" s="67"/>
      <c r="K481" s="233"/>
      <c r="L481" s="53"/>
      <c r="M481" s="54">
        <v>0</v>
      </c>
      <c r="N481" s="53"/>
    </row>
    <row r="482" spans="1:14" ht="21.75" customHeight="1" x14ac:dyDescent="0.4">
      <c r="A482" s="316"/>
      <c r="B482" s="51"/>
      <c r="C482" s="43"/>
      <c r="D482" s="155"/>
      <c r="E482" s="74" t="s">
        <v>197</v>
      </c>
      <c r="F482" s="75"/>
      <c r="G482" s="76"/>
      <c r="H482" s="60" t="s">
        <v>15</v>
      </c>
      <c r="I482" s="200">
        <f ca="1">IFERROR(__xludf.DUMMYFUNCTION("IMPORTRANGE(""https://docs.google.com/spreadsheets/d/1C3CXT74ZlgGe6_JY_1olB1XN4rF0dxEuIIF-xsYjHgg/edit?usp=sharing"",""งบกองทุน!Em20"")"),500)</f>
        <v>500</v>
      </c>
      <c r="J482" s="67">
        <f ca="1">IFERROR(__xludf.DUMMYFUNCTION("IMPORTRANGE(""https://docs.google.com/spreadsheets/d/1AGHcLOeeYFL3K4b9R1dSzyJy00PE_ra89DNTVfnxSWM/edit?usp=sharing"",""รวมที่ชุมชน!G9"")"),26)</f>
        <v>26</v>
      </c>
      <c r="K482" s="49">
        <f t="shared" ref="K482:K489" ca="1" si="109">IF(I482&gt;0,J482*100/I482,0)</f>
        <v>5.2</v>
      </c>
      <c r="L482" s="61"/>
      <c r="M482" s="61"/>
      <c r="N482" s="61"/>
    </row>
    <row r="483" spans="1:14" ht="21.75" customHeight="1" x14ac:dyDescent="0.4">
      <c r="A483" s="316"/>
      <c r="B483" s="51"/>
      <c r="C483" s="43"/>
      <c r="D483" s="155"/>
      <c r="E483" s="75"/>
      <c r="F483" s="75"/>
      <c r="G483" s="76"/>
      <c r="H483" s="60" t="s">
        <v>103</v>
      </c>
      <c r="I483" s="200">
        <f ca="1">IFERROR(__xludf.DUMMYFUNCTION("IMPORTRANGE(""https://docs.google.com/spreadsheets/d/1C3CXT74ZlgGe6_JY_1olB1XN4rF0dxEuIIF-xsYjHgg/edit?usp=sharing"",""งบกองทุน!En20"")"),0)</f>
        <v>0</v>
      </c>
      <c r="J483" s="67">
        <f ca="1">IFERROR(__xludf.DUMMYFUNCTION("IMPORTRANGE(""https://docs.google.com/spreadsheets/d/1AGHcLOeeYFL3K4b9R1dSzyJy00PE_ra89DNTVfnxSWM/edit?usp=sharing"",""รวมที่ชุมชน!H9"")"),34.53)</f>
        <v>34.53</v>
      </c>
      <c r="K483" s="49">
        <f t="shared" ca="1" si="109"/>
        <v>0</v>
      </c>
      <c r="L483" s="61"/>
      <c r="M483" s="61"/>
      <c r="N483" s="61"/>
    </row>
    <row r="484" spans="1:14" ht="21.75" customHeight="1" x14ac:dyDescent="0.4">
      <c r="A484" s="316"/>
      <c r="B484" s="51"/>
      <c r="C484" s="43"/>
      <c r="D484" s="155"/>
      <c r="E484" s="74" t="s">
        <v>104</v>
      </c>
      <c r="F484" s="75"/>
      <c r="G484" s="76"/>
      <c r="H484" s="60" t="s">
        <v>16</v>
      </c>
      <c r="I484" s="200">
        <f ca="1">IFERROR(__xludf.DUMMYFUNCTION("IMPORTRANGE(""https://docs.google.com/spreadsheets/d/1C3CXT74ZlgGe6_JY_1olB1XN4rF0dxEuIIF-xsYjHgg/edit?usp=sharing"",""งบกองทุน!Eo20"")"),500)</f>
        <v>500</v>
      </c>
      <c r="J484" s="67">
        <f ca="1">IFERROR(__xludf.DUMMYFUNCTION("IMPORTRANGE(""https://docs.google.com/spreadsheets/d/1AGHcLOeeYFL3K4b9R1dSzyJy00PE_ra89DNTVfnxSWM/edit?usp=sharing"",""รวมที่ชุมชน!J9"")"),0)</f>
        <v>0</v>
      </c>
      <c r="K484" s="49">
        <f t="shared" ca="1" si="109"/>
        <v>0</v>
      </c>
      <c r="L484" s="61"/>
      <c r="M484" s="61"/>
      <c r="N484" s="61"/>
    </row>
    <row r="485" spans="1:14" ht="21.75" customHeight="1" x14ac:dyDescent="0.4">
      <c r="A485" s="316"/>
      <c r="B485" s="51"/>
      <c r="C485" s="43"/>
      <c r="D485" s="155"/>
      <c r="E485" s="75"/>
      <c r="F485" s="75"/>
      <c r="G485" s="76"/>
      <c r="H485" s="60" t="s">
        <v>103</v>
      </c>
      <c r="I485" s="200">
        <f ca="1">IFERROR(__xludf.DUMMYFUNCTION("IMPORTRANGE(""https://docs.google.com/spreadsheets/d/1C3CXT74ZlgGe6_JY_1olB1XN4rF0dxEuIIF-xsYjHgg/edit?usp=sharing"",""งบกองทุน!Ep20"")"),0)</f>
        <v>0</v>
      </c>
      <c r="J485" s="67">
        <f ca="1">IFERROR(__xludf.DUMMYFUNCTION("IMPORTRANGE(""https://docs.google.com/spreadsheets/d/1AGHcLOeeYFL3K4b9R1dSzyJy00PE_ra89DNTVfnxSWM/edit?usp=sharing"",""รวมที่ชุมชน!L9"")"),0)</f>
        <v>0</v>
      </c>
      <c r="K485" s="49">
        <f t="shared" ca="1" si="109"/>
        <v>0</v>
      </c>
      <c r="L485" s="61"/>
      <c r="M485" s="61"/>
      <c r="N485" s="61"/>
    </row>
    <row r="486" spans="1:14" ht="21.75" customHeight="1" x14ac:dyDescent="0.4">
      <c r="A486" s="316"/>
      <c r="B486" s="51"/>
      <c r="C486" s="43"/>
      <c r="D486" s="155"/>
      <c r="E486" s="74" t="s">
        <v>105</v>
      </c>
      <c r="F486" s="75"/>
      <c r="G486" s="76"/>
      <c r="H486" s="60" t="s">
        <v>16</v>
      </c>
      <c r="I486" s="200">
        <f ca="1">IFERROR(__xludf.DUMMYFUNCTION("IMPORTRANGE(""https://docs.google.com/spreadsheets/d/1C3CXT74ZlgGe6_JY_1olB1XN4rF0dxEuIIF-xsYjHgg/edit?usp=sharing"",""งบกองทุน!Eq20"")"),500)</f>
        <v>500</v>
      </c>
      <c r="J486" s="67">
        <f ca="1">IFERROR(__xludf.DUMMYFUNCTION("IMPORTRANGE(""https://docs.google.com/spreadsheets/d/1AGHcLOeeYFL3K4b9R1dSzyJy00PE_ra89DNTVfnxSWM/edit?usp=sharing"",""รวมที่ชุมชน!S9"")"),0)</f>
        <v>0</v>
      </c>
      <c r="K486" s="49">
        <f t="shared" ca="1" si="109"/>
        <v>0</v>
      </c>
      <c r="L486" s="61"/>
      <c r="M486" s="61"/>
      <c r="N486" s="61"/>
    </row>
    <row r="487" spans="1:14" ht="21.75" customHeight="1" x14ac:dyDescent="0.4">
      <c r="A487" s="316"/>
      <c r="B487" s="51"/>
      <c r="C487" s="43"/>
      <c r="D487" s="155"/>
      <c r="E487" s="75"/>
      <c r="F487" s="75"/>
      <c r="G487" s="76"/>
      <c r="H487" s="60" t="s">
        <v>103</v>
      </c>
      <c r="I487" s="200">
        <f ca="1">IFERROR(__xludf.DUMMYFUNCTION("IMPORTRANGE(""https://docs.google.com/spreadsheets/d/1C3CXT74ZlgGe6_JY_1olB1XN4rF0dxEuIIF-xsYjHgg/edit?usp=sharing"",""งบกองทุน!Er20"")"),0)</f>
        <v>0</v>
      </c>
      <c r="J487" s="67">
        <f ca="1">IFERROR(__xludf.DUMMYFUNCTION("IMPORTRANGE(""https://docs.google.com/spreadsheets/d/1AGHcLOeeYFL3K4b9R1dSzyJy00PE_ra89DNTVfnxSWM/edit?usp=sharing"",""รวมที่ชุมชน!U9"")"),0)</f>
        <v>0</v>
      </c>
      <c r="K487" s="49">
        <f t="shared" ca="1" si="109"/>
        <v>0</v>
      </c>
      <c r="L487" s="61"/>
      <c r="M487" s="61"/>
      <c r="N487" s="61"/>
    </row>
    <row r="488" spans="1:14" ht="21.75" customHeight="1" x14ac:dyDescent="0.4">
      <c r="A488" s="316"/>
      <c r="B488" s="51"/>
      <c r="C488" s="43"/>
      <c r="D488" s="155"/>
      <c r="E488" s="74" t="s">
        <v>106</v>
      </c>
      <c r="F488" s="75"/>
      <c r="G488" s="76"/>
      <c r="H488" s="60" t="s">
        <v>16</v>
      </c>
      <c r="I488" s="200">
        <f ca="1">IFERROR(__xludf.DUMMYFUNCTION("IMPORTRANGE(""https://docs.google.com/spreadsheets/d/1C3CXT74ZlgGe6_JY_1olB1XN4rF0dxEuIIF-xsYjHgg/edit?usp=sharing"",""งบกองทุน!Es20"")"),500)</f>
        <v>500</v>
      </c>
      <c r="J488" s="67">
        <f ca="1">IFERROR(__xludf.DUMMYFUNCTION("IMPORTRANGE(""https://docs.google.com/spreadsheets/d/1AGHcLOeeYFL3K4b9R1dSzyJy00PE_ra89DNTVfnxSWM/edit?usp=sharing"",""รวมที่ชุมชน!V9"")"),0)</f>
        <v>0</v>
      </c>
      <c r="K488" s="49">
        <f t="shared" ca="1" si="109"/>
        <v>0</v>
      </c>
      <c r="L488" s="61"/>
      <c r="M488" s="61"/>
      <c r="N488" s="61"/>
    </row>
    <row r="489" spans="1:14" ht="21.75" customHeight="1" x14ac:dyDescent="0.4">
      <c r="A489" s="317"/>
      <c r="B489" s="318"/>
      <c r="C489" s="319"/>
      <c r="D489" s="320"/>
      <c r="E489" s="295"/>
      <c r="F489" s="295"/>
      <c r="G489" s="296"/>
      <c r="H489" s="321" t="s">
        <v>103</v>
      </c>
      <c r="I489" s="322">
        <f ca="1">IFERROR(__xludf.DUMMYFUNCTION("IMPORTRANGE(""https://docs.google.com/spreadsheets/d/1C3CXT74ZlgGe6_JY_1olB1XN4rF0dxEuIIF-xsYjHgg/edit?usp=sharing"",""งบกองทุน!Et20"")"),0)</f>
        <v>0</v>
      </c>
      <c r="J489" s="112">
        <f ca="1">IFERROR(__xludf.DUMMYFUNCTION("IMPORTRANGE(""https://docs.google.com/spreadsheets/d/1AGHcLOeeYFL3K4b9R1dSzyJy00PE_ra89DNTVfnxSWM/edit?usp=sharing"",""รวมที่ชุมชน!X9"")"),0)</f>
        <v>0</v>
      </c>
      <c r="K489" s="114">
        <f t="shared" ca="1" si="109"/>
        <v>0</v>
      </c>
      <c r="L489" s="300"/>
      <c r="M489" s="300"/>
      <c r="N489" s="300"/>
    </row>
    <row r="490" spans="1:14" ht="21.75" customHeight="1" x14ac:dyDescent="0.4">
      <c r="A490" s="252"/>
      <c r="B490" s="402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10">I504</f>
        <v>100</v>
      </c>
      <c r="J490" s="375">
        <f t="shared" si="110"/>
        <v>0</v>
      </c>
      <c r="K490" s="301">
        <f ca="1">IF(I490&gt;0,J490*100/I490,0)</f>
        <v>0</v>
      </c>
      <c r="L490" s="259">
        <f ca="1">SUM(L491,L492)</f>
        <v>8900</v>
      </c>
      <c r="M490" s="259">
        <f>SUM(M491:M492)</f>
        <v>0</v>
      </c>
      <c r="N490" s="259">
        <f t="shared" ref="N490:N494" ca="1" si="111">+IF(L490&gt;0,M490*100/L490,0)</f>
        <v>0</v>
      </c>
    </row>
    <row r="491" spans="1:14" ht="21.75" customHeight="1" x14ac:dyDescent="0.4">
      <c r="A491" s="42"/>
      <c r="B491" s="43"/>
      <c r="C491" s="43" t="s">
        <v>17</v>
      </c>
      <c r="D491" s="44" t="s">
        <v>18</v>
      </c>
      <c r="E491" s="45"/>
      <c r="F491" s="45"/>
      <c r="G491" s="46" t="s">
        <v>19</v>
      </c>
      <c r="H491" s="47" t="s">
        <v>20</v>
      </c>
      <c r="I491" s="48" t="s">
        <v>21</v>
      </c>
      <c r="J491" s="48"/>
      <c r="K491" s="49"/>
      <c r="L491" s="50">
        <v>0</v>
      </c>
      <c r="M491" s="53">
        <v>0</v>
      </c>
      <c r="N491" s="53">
        <f t="shared" si="111"/>
        <v>0</v>
      </c>
    </row>
    <row r="492" spans="1:14" ht="21.75" customHeight="1" x14ac:dyDescent="0.4">
      <c r="A492" s="42"/>
      <c r="B492" s="43"/>
      <c r="C492" s="43"/>
      <c r="D492" s="51"/>
      <c r="E492" s="45"/>
      <c r="F492" s="45" t="s">
        <v>21</v>
      </c>
      <c r="G492" s="46" t="s">
        <v>22</v>
      </c>
      <c r="H492" s="47" t="s">
        <v>20</v>
      </c>
      <c r="I492" s="48"/>
      <c r="J492" s="48"/>
      <c r="K492" s="49"/>
      <c r="L492" s="50">
        <f t="shared" ref="L492:M492" ca="1" si="112">SUM(L493:L494)</f>
        <v>8900</v>
      </c>
      <c r="M492" s="53">
        <f t="shared" si="112"/>
        <v>0</v>
      </c>
      <c r="N492" s="53">
        <f t="shared" ca="1" si="111"/>
        <v>0</v>
      </c>
    </row>
    <row r="493" spans="1:14" ht="21.75" customHeight="1" x14ac:dyDescent="0.4">
      <c r="A493" s="42"/>
      <c r="B493" s="43"/>
      <c r="C493" s="43"/>
      <c r="D493" s="51"/>
      <c r="E493" s="45"/>
      <c r="F493" s="45"/>
      <c r="G493" s="52" t="s">
        <v>110</v>
      </c>
      <c r="H493" s="47" t="s">
        <v>20</v>
      </c>
      <c r="I493" s="48"/>
      <c r="J493" s="48"/>
      <c r="K493" s="49"/>
      <c r="L493" s="53">
        <f ca="1">IFERROR(__xludf.DUMMYFUNCTION("IMPORTRANGE(""https://docs.google.com/spreadsheets/d/1C3CXT74ZlgGe6_JY_1olB1XN4rF0dxEuIIF-xsYjHgg/edit?usp=sharing"",""งบกองทุน!Ev20"")"),0)</f>
        <v>0</v>
      </c>
      <c r="M493" s="53">
        <v>0</v>
      </c>
      <c r="N493" s="53">
        <f t="shared" ca="1" si="111"/>
        <v>0</v>
      </c>
    </row>
    <row r="494" spans="1:14" ht="21.75" customHeight="1" x14ac:dyDescent="0.4">
      <c r="A494" s="42"/>
      <c r="B494" s="43"/>
      <c r="C494" s="43"/>
      <c r="D494" s="51"/>
      <c r="E494" s="45"/>
      <c r="F494" s="45"/>
      <c r="G494" s="52" t="s">
        <v>111</v>
      </c>
      <c r="H494" s="47" t="s">
        <v>20</v>
      </c>
      <c r="I494" s="48"/>
      <c r="J494" s="48"/>
      <c r="K494" s="49"/>
      <c r="L494" s="53">
        <f ca="1">IFERROR(__xludf.DUMMYFUNCTION("IMPORTRANGE(""https://docs.google.com/spreadsheets/d/1C3CXT74ZlgGe6_JY_1olB1XN4rF0dxEuIIF-xsYjHgg/edit?usp=sharing"",""งบกองทุน!Ew20"")"),8900)</f>
        <v>8900</v>
      </c>
      <c r="M494" s="53">
        <f>SUM(M495:M498)</f>
        <v>0</v>
      </c>
      <c r="N494" s="53">
        <f t="shared" ca="1" si="111"/>
        <v>0</v>
      </c>
    </row>
    <row r="495" spans="1:14" ht="21.75" customHeight="1" x14ac:dyDescent="0.4">
      <c r="A495" s="230"/>
      <c r="B495" s="231"/>
      <c r="C495" s="43"/>
      <c r="D495" s="232"/>
      <c r="E495" s="45"/>
      <c r="F495" s="45"/>
      <c r="G495" s="46" t="s">
        <v>112</v>
      </c>
      <c r="H495" s="47" t="s">
        <v>20</v>
      </c>
      <c r="I495" s="67"/>
      <c r="J495" s="67"/>
      <c r="K495" s="233"/>
      <c r="L495" s="53"/>
      <c r="M495" s="53">
        <v>0</v>
      </c>
      <c r="N495" s="53"/>
    </row>
    <row r="496" spans="1:14" ht="21.75" customHeight="1" x14ac:dyDescent="0.4">
      <c r="A496" s="230"/>
      <c r="B496" s="231"/>
      <c r="C496" s="43"/>
      <c r="D496" s="232"/>
      <c r="E496" s="45"/>
      <c r="F496" s="45"/>
      <c r="G496" s="46" t="s">
        <v>113</v>
      </c>
      <c r="H496" s="47" t="s">
        <v>20</v>
      </c>
      <c r="I496" s="67"/>
      <c r="J496" s="67"/>
      <c r="K496" s="233"/>
      <c r="L496" s="53"/>
      <c r="M496" s="53">
        <v>0</v>
      </c>
      <c r="N496" s="53"/>
    </row>
    <row r="497" spans="1:14" ht="21.75" customHeight="1" x14ac:dyDescent="0.4">
      <c r="A497" s="230"/>
      <c r="B497" s="231"/>
      <c r="C497" s="43"/>
      <c r="D497" s="232"/>
      <c r="E497" s="45"/>
      <c r="F497" s="45"/>
      <c r="G497" s="46" t="s">
        <v>114</v>
      </c>
      <c r="H497" s="47" t="s">
        <v>20</v>
      </c>
      <c r="I497" s="67"/>
      <c r="J497" s="67"/>
      <c r="K497" s="233"/>
      <c r="L497" s="53"/>
      <c r="M497" s="54">
        <v>0</v>
      </c>
      <c r="N497" s="53"/>
    </row>
    <row r="498" spans="1:14" ht="21.75" customHeight="1" x14ac:dyDescent="0.4">
      <c r="A498" s="230"/>
      <c r="B498" s="231"/>
      <c r="C498" s="43"/>
      <c r="D498" s="232"/>
      <c r="E498" s="45"/>
      <c r="F498" s="45"/>
      <c r="G498" s="46" t="s">
        <v>115</v>
      </c>
      <c r="H498" s="47" t="s">
        <v>20</v>
      </c>
      <c r="I498" s="67"/>
      <c r="J498" s="67"/>
      <c r="K498" s="233"/>
      <c r="L498" s="53"/>
      <c r="M498" s="54">
        <v>0</v>
      </c>
      <c r="N498" s="53"/>
    </row>
    <row r="499" spans="1:14" ht="21.75" customHeight="1" x14ac:dyDescent="0.4">
      <c r="A499" s="55"/>
      <c r="B499" s="56"/>
      <c r="C499" s="43" t="s">
        <v>17</v>
      </c>
      <c r="D499" s="57" t="s">
        <v>25</v>
      </c>
      <c r="E499" s="58"/>
      <c r="F499" s="58"/>
      <c r="G499" s="59"/>
      <c r="H499" s="60"/>
      <c r="I499" s="48"/>
      <c r="J499" s="48"/>
      <c r="K499" s="49"/>
      <c r="L499" s="61"/>
      <c r="M499" s="61"/>
      <c r="N499" s="61"/>
    </row>
    <row r="500" spans="1:14" ht="21.75" customHeight="1" x14ac:dyDescent="0.4">
      <c r="A500" s="55"/>
      <c r="B500" s="56"/>
      <c r="C500" s="56"/>
      <c r="D500" s="62">
        <v>1</v>
      </c>
      <c r="E500" s="63" t="s">
        <v>26</v>
      </c>
      <c r="F500" s="64"/>
      <c r="G500" s="65"/>
      <c r="H500" s="66"/>
      <c r="I500" s="67"/>
      <c r="J500" s="68">
        <v>0</v>
      </c>
      <c r="K500" s="49"/>
      <c r="L500" s="61"/>
      <c r="M500" s="61"/>
      <c r="N500" s="61"/>
    </row>
    <row r="501" spans="1:14" ht="21.75" customHeight="1" x14ac:dyDescent="0.4">
      <c r="A501" s="55"/>
      <c r="B501" s="56"/>
      <c r="C501" s="56"/>
      <c r="D501" s="69">
        <v>2</v>
      </c>
      <c r="E501" s="70" t="s">
        <v>27</v>
      </c>
      <c r="F501" s="71"/>
      <c r="G501" s="72"/>
      <c r="H501" s="66"/>
      <c r="I501" s="67"/>
      <c r="J501" s="68">
        <v>0</v>
      </c>
      <c r="K501" s="49"/>
      <c r="L501" s="61" t="s">
        <v>21</v>
      </c>
      <c r="M501" s="61" t="s">
        <v>21</v>
      </c>
      <c r="N501" s="61"/>
    </row>
    <row r="502" spans="1:14" ht="21.75" hidden="1" customHeight="1" x14ac:dyDescent="0.4">
      <c r="A502" s="376"/>
      <c r="B502" s="377"/>
      <c r="C502" s="377"/>
      <c r="D502" s="378"/>
      <c r="E502" s="379" t="s">
        <v>28</v>
      </c>
      <c r="F502" s="380"/>
      <c r="G502" s="381"/>
      <c r="H502" s="330"/>
      <c r="I502" s="331"/>
      <c r="J502" s="331">
        <v>0</v>
      </c>
      <c r="K502" s="382"/>
      <c r="L502" s="383"/>
      <c r="M502" s="383"/>
      <c r="N502" s="383"/>
    </row>
    <row r="503" spans="1:14" ht="21.75" hidden="1" customHeight="1" x14ac:dyDescent="0.4">
      <c r="A503" s="376"/>
      <c r="B503" s="377"/>
      <c r="C503" s="377"/>
      <c r="D503" s="378"/>
      <c r="E503" s="379" t="s">
        <v>29</v>
      </c>
      <c r="F503" s="380"/>
      <c r="G503" s="381"/>
      <c r="H503" s="330"/>
      <c r="I503" s="331"/>
      <c r="J503" s="331">
        <v>0</v>
      </c>
      <c r="K503" s="382"/>
      <c r="L503" s="383"/>
      <c r="M503" s="383"/>
      <c r="N503" s="383"/>
    </row>
    <row r="504" spans="1:14" ht="21.75" customHeight="1" x14ac:dyDescent="0.4">
      <c r="A504" s="55"/>
      <c r="B504" s="56"/>
      <c r="C504" s="56"/>
      <c r="D504" s="73"/>
      <c r="E504" s="75"/>
      <c r="F504" s="75" t="s">
        <v>199</v>
      </c>
      <c r="G504" s="76"/>
      <c r="H504" s="60" t="s">
        <v>103</v>
      </c>
      <c r="I504" s="67">
        <f ca="1">IFERROR(__xludf.DUMMYFUNCTION("IMPORTRANGE(""https://docs.google.com/spreadsheets/d/1C3CXT74ZlgGe6_JY_1olB1XN4rF0dxEuIIF-xsYjHgg/edit?usp=sharing"",""งบกองทุน!EZ20"")"),100)</f>
        <v>100</v>
      </c>
      <c r="J504" s="48">
        <f>+J510</f>
        <v>0</v>
      </c>
      <c r="K504" s="49">
        <f t="shared" ref="K504:K512" ca="1" si="113">IF(I$504&gt;0,J504*100/I$504,0)</f>
        <v>0</v>
      </c>
      <c r="L504" s="61"/>
      <c r="M504" s="61"/>
      <c r="N504" s="61"/>
    </row>
    <row r="505" spans="1:14" ht="21.75" customHeight="1" x14ac:dyDescent="0.4">
      <c r="A505" s="55"/>
      <c r="B505" s="56"/>
      <c r="C505" s="56"/>
      <c r="D505" s="73"/>
      <c r="E505" s="77"/>
      <c r="F505" s="75"/>
      <c r="G505" s="99" t="s">
        <v>200</v>
      </c>
      <c r="H505" s="60" t="s">
        <v>103</v>
      </c>
      <c r="I505" s="67">
        <v>0</v>
      </c>
      <c r="J505" s="68">
        <v>0</v>
      </c>
      <c r="K505" s="49">
        <f t="shared" ca="1" si="113"/>
        <v>0</v>
      </c>
      <c r="L505" s="61"/>
      <c r="M505" s="61"/>
      <c r="N505" s="61"/>
    </row>
    <row r="506" spans="1:14" ht="21.75" customHeight="1" x14ac:dyDescent="0.4">
      <c r="A506" s="55"/>
      <c r="B506" s="56"/>
      <c r="C506" s="56"/>
      <c r="D506" s="73"/>
      <c r="E506" s="77"/>
      <c r="F506" s="75"/>
      <c r="G506" s="99" t="s">
        <v>201</v>
      </c>
      <c r="H506" s="60" t="s">
        <v>103</v>
      </c>
      <c r="I506" s="67">
        <v>0</v>
      </c>
      <c r="J506" s="68">
        <v>0</v>
      </c>
      <c r="K506" s="49">
        <f t="shared" ca="1" si="113"/>
        <v>0</v>
      </c>
      <c r="L506" s="61"/>
      <c r="M506" s="61"/>
      <c r="N506" s="61"/>
    </row>
    <row r="507" spans="1:14" ht="21.75" customHeight="1" x14ac:dyDescent="0.4">
      <c r="A507" s="55"/>
      <c r="B507" s="56"/>
      <c r="C507" s="56"/>
      <c r="D507" s="73"/>
      <c r="E507" s="77"/>
      <c r="F507" s="75"/>
      <c r="G507" s="99" t="s">
        <v>202</v>
      </c>
      <c r="H507" s="60" t="s">
        <v>103</v>
      </c>
      <c r="I507" s="67">
        <v>0</v>
      </c>
      <c r="J507" s="68">
        <v>0</v>
      </c>
      <c r="K507" s="49">
        <f t="shared" ca="1" si="113"/>
        <v>0</v>
      </c>
      <c r="L507" s="61"/>
      <c r="M507" s="61"/>
      <c r="N507" s="61"/>
    </row>
    <row r="508" spans="1:14" ht="21.75" customHeight="1" x14ac:dyDescent="0.4">
      <c r="A508" s="55"/>
      <c r="B508" s="56"/>
      <c r="C508" s="56"/>
      <c r="D508" s="73"/>
      <c r="E508" s="77"/>
      <c r="F508" s="75"/>
      <c r="G508" s="99" t="s">
        <v>203</v>
      </c>
      <c r="H508" s="60" t="s">
        <v>103</v>
      </c>
      <c r="I508" s="67">
        <v>0</v>
      </c>
      <c r="J508" s="68">
        <v>0</v>
      </c>
      <c r="K508" s="49">
        <f t="shared" ca="1" si="113"/>
        <v>0</v>
      </c>
      <c r="L508" s="61"/>
      <c r="M508" s="61"/>
      <c r="N508" s="61"/>
    </row>
    <row r="509" spans="1:14" ht="21.75" customHeight="1" x14ac:dyDescent="0.4">
      <c r="A509" s="55"/>
      <c r="B509" s="56"/>
      <c r="C509" s="56"/>
      <c r="D509" s="73"/>
      <c r="E509" s="77"/>
      <c r="F509" s="75"/>
      <c r="G509" s="74" t="s">
        <v>204</v>
      </c>
      <c r="H509" s="60" t="s">
        <v>103</v>
      </c>
      <c r="I509" s="67">
        <v>0</v>
      </c>
      <c r="J509" s="68">
        <v>0</v>
      </c>
      <c r="K509" s="49">
        <f t="shared" ca="1" si="113"/>
        <v>0</v>
      </c>
      <c r="L509" s="61"/>
      <c r="M509" s="61"/>
      <c r="N509" s="61"/>
    </row>
    <row r="510" spans="1:14" ht="21.75" customHeight="1" x14ac:dyDescent="0.4">
      <c r="A510" s="55"/>
      <c r="B510" s="56"/>
      <c r="C510" s="56"/>
      <c r="D510" s="73"/>
      <c r="E510" s="77"/>
      <c r="F510" s="75"/>
      <c r="G510" s="74" t="s">
        <v>205</v>
      </c>
      <c r="H510" s="60" t="s">
        <v>103</v>
      </c>
      <c r="I510" s="67">
        <f t="shared" ref="I510:J510" si="114">I511+I512</f>
        <v>0</v>
      </c>
      <c r="J510" s="67">
        <f t="shared" si="114"/>
        <v>0</v>
      </c>
      <c r="K510" s="49">
        <f t="shared" ca="1" si="113"/>
        <v>0</v>
      </c>
      <c r="L510" s="61"/>
      <c r="M510" s="61"/>
      <c r="N510" s="61"/>
    </row>
    <row r="511" spans="1:14" ht="21.75" customHeight="1" x14ac:dyDescent="0.4">
      <c r="A511" s="55"/>
      <c r="B511" s="56"/>
      <c r="C511" s="56"/>
      <c r="D511" s="73"/>
      <c r="E511" s="77"/>
      <c r="F511" s="75"/>
      <c r="G511" s="334" t="s">
        <v>206</v>
      </c>
      <c r="H511" s="60" t="s">
        <v>103</v>
      </c>
      <c r="I511" s="67">
        <v>0</v>
      </c>
      <c r="J511" s="68">
        <v>0</v>
      </c>
      <c r="K511" s="49">
        <f t="shared" ca="1" si="113"/>
        <v>0</v>
      </c>
      <c r="L511" s="61"/>
      <c r="M511" s="61"/>
      <c r="N511" s="61"/>
    </row>
    <row r="512" spans="1:14" ht="21.75" customHeight="1" x14ac:dyDescent="0.4">
      <c r="A512" s="55"/>
      <c r="B512" s="56"/>
      <c r="C512" s="56"/>
      <c r="D512" s="73"/>
      <c r="E512" s="77"/>
      <c r="F512" s="75"/>
      <c r="G512" s="334" t="s">
        <v>207</v>
      </c>
      <c r="H512" s="60" t="s">
        <v>103</v>
      </c>
      <c r="I512" s="67">
        <v>0</v>
      </c>
      <c r="J512" s="68">
        <v>0</v>
      </c>
      <c r="K512" s="49">
        <f t="shared" ca="1" si="113"/>
        <v>0</v>
      </c>
      <c r="L512" s="61"/>
      <c r="M512" s="61"/>
      <c r="N512" s="61"/>
    </row>
    <row r="513" spans="1:14" ht="21.75" customHeight="1" x14ac:dyDescent="0.4">
      <c r="A513" s="55"/>
      <c r="B513" s="56"/>
      <c r="C513" s="56"/>
      <c r="D513" s="73"/>
      <c r="E513" s="75"/>
      <c r="F513" s="74" t="s">
        <v>208</v>
      </c>
      <c r="G513" s="76"/>
      <c r="H513" s="60" t="s">
        <v>103</v>
      </c>
      <c r="I513" s="67">
        <f ca="1">IFERROR(__xludf.DUMMYFUNCTION("IMPORTRANGE(""https://docs.google.com/spreadsheets/d/1C3CXT74ZlgGe6_JY_1olB1XN4rF0dxEuIIF-xsYjHgg/edit?usp=sharing"",""งบกองทุน!ff20"")"),0)</f>
        <v>0</v>
      </c>
      <c r="J513" s="48">
        <f>J514</f>
        <v>0</v>
      </c>
      <c r="K513" s="49">
        <f t="shared" ref="K513:K519" ca="1" si="115">IF(I$513&gt;0,J513*100/I$513,0)</f>
        <v>0</v>
      </c>
      <c r="L513" s="61"/>
      <c r="M513" s="61"/>
      <c r="N513" s="61"/>
    </row>
    <row r="514" spans="1:14" ht="21.75" customHeight="1" x14ac:dyDescent="0.4">
      <c r="A514" s="55"/>
      <c r="B514" s="56"/>
      <c r="C514" s="56"/>
      <c r="D514" s="73"/>
      <c r="E514" s="77"/>
      <c r="F514" s="75"/>
      <c r="G514" s="99" t="s">
        <v>205</v>
      </c>
      <c r="H514" s="60" t="s">
        <v>103</v>
      </c>
      <c r="I514" s="48">
        <f t="shared" ref="I514:J514" si="116">I515+I516</f>
        <v>0</v>
      </c>
      <c r="J514" s="48">
        <f t="shared" si="116"/>
        <v>0</v>
      </c>
      <c r="K514" s="49">
        <f t="shared" ca="1" si="115"/>
        <v>0</v>
      </c>
      <c r="L514" s="61"/>
      <c r="M514" s="61"/>
      <c r="N514" s="61"/>
    </row>
    <row r="515" spans="1:14" ht="21.75" customHeight="1" x14ac:dyDescent="0.4">
      <c r="A515" s="55"/>
      <c r="B515" s="56"/>
      <c r="C515" s="56"/>
      <c r="D515" s="73"/>
      <c r="E515" s="77"/>
      <c r="F515" s="75"/>
      <c r="G515" s="334" t="s">
        <v>206</v>
      </c>
      <c r="H515" s="60" t="s">
        <v>103</v>
      </c>
      <c r="I515" s="67">
        <v>0</v>
      </c>
      <c r="J515" s="68">
        <v>0</v>
      </c>
      <c r="K515" s="49">
        <f t="shared" ca="1" si="115"/>
        <v>0</v>
      </c>
      <c r="L515" s="61"/>
      <c r="M515" s="61"/>
      <c r="N515" s="61"/>
    </row>
    <row r="516" spans="1:14" ht="21.75" customHeight="1" x14ac:dyDescent="0.4">
      <c r="A516" s="55"/>
      <c r="B516" s="56"/>
      <c r="C516" s="56"/>
      <c r="D516" s="73"/>
      <c r="E516" s="77"/>
      <c r="F516" s="75"/>
      <c r="G516" s="334" t="s">
        <v>207</v>
      </c>
      <c r="H516" s="60" t="s">
        <v>103</v>
      </c>
      <c r="I516" s="67">
        <v>0</v>
      </c>
      <c r="J516" s="68">
        <v>0</v>
      </c>
      <c r="K516" s="49">
        <f t="shared" ca="1" si="115"/>
        <v>0</v>
      </c>
      <c r="L516" s="61"/>
      <c r="M516" s="61"/>
      <c r="N516" s="61"/>
    </row>
    <row r="517" spans="1:14" ht="21.75" customHeight="1" x14ac:dyDescent="0.4">
      <c r="A517" s="55"/>
      <c r="B517" s="56"/>
      <c r="C517" s="56"/>
      <c r="D517" s="73"/>
      <c r="E517" s="77"/>
      <c r="F517" s="75"/>
      <c r="G517" s="99" t="s">
        <v>209</v>
      </c>
      <c r="H517" s="60" t="s">
        <v>103</v>
      </c>
      <c r="I517" s="67">
        <f t="shared" ref="I517:J517" si="117">SUM(I518:I519)</f>
        <v>0</v>
      </c>
      <c r="J517" s="67">
        <f t="shared" si="117"/>
        <v>0</v>
      </c>
      <c r="K517" s="49">
        <f t="shared" ca="1" si="115"/>
        <v>0</v>
      </c>
      <c r="L517" s="61"/>
      <c r="M517" s="61"/>
      <c r="N517" s="61"/>
    </row>
    <row r="518" spans="1:14" ht="21.75" customHeight="1" x14ac:dyDescent="0.4">
      <c r="A518" s="55"/>
      <c r="B518" s="56"/>
      <c r="C518" s="56"/>
      <c r="D518" s="73"/>
      <c r="E518" s="77"/>
      <c r="F518" s="75"/>
      <c r="G518" s="334" t="s">
        <v>210</v>
      </c>
      <c r="H518" s="60" t="s">
        <v>103</v>
      </c>
      <c r="I518" s="67">
        <v>0</v>
      </c>
      <c r="J518" s="68">
        <v>0</v>
      </c>
      <c r="K518" s="49">
        <f t="shared" ca="1" si="115"/>
        <v>0</v>
      </c>
      <c r="L518" s="61"/>
      <c r="M518" s="61"/>
      <c r="N518" s="61"/>
    </row>
    <row r="519" spans="1:14" ht="21.75" customHeight="1" x14ac:dyDescent="0.4">
      <c r="A519" s="55"/>
      <c r="B519" s="56"/>
      <c r="C519" s="56"/>
      <c r="D519" s="73"/>
      <c r="E519" s="77"/>
      <c r="F519" s="75"/>
      <c r="G519" s="334" t="s">
        <v>211</v>
      </c>
      <c r="H519" s="60" t="s">
        <v>103</v>
      </c>
      <c r="I519" s="67">
        <v>0</v>
      </c>
      <c r="J519" s="68">
        <v>0</v>
      </c>
      <c r="K519" s="49">
        <f t="shared" ca="1" si="115"/>
        <v>0</v>
      </c>
      <c r="L519" s="61"/>
      <c r="M519" s="61"/>
      <c r="N519" s="61"/>
    </row>
    <row r="520" spans="1:14" ht="21.75" customHeight="1" x14ac:dyDescent="0.4">
      <c r="A520" s="335" t="s">
        <v>212</v>
      </c>
      <c r="B520" s="336"/>
      <c r="C520" s="336"/>
      <c r="D520" s="336"/>
      <c r="E520" s="336"/>
      <c r="F520" s="336"/>
      <c r="G520" s="337"/>
      <c r="H520" s="338"/>
      <c r="I520" s="339"/>
      <c r="J520" s="339"/>
      <c r="K520" s="340"/>
      <c r="L520" s="340"/>
      <c r="M520" s="340"/>
      <c r="N520" s="341"/>
    </row>
    <row r="521" spans="1:14" ht="21.75" customHeight="1" x14ac:dyDescent="0.4">
      <c r="A521" s="316"/>
      <c r="B521" s="45" t="s">
        <v>213</v>
      </c>
      <c r="C521" s="43"/>
      <c r="D521" s="51"/>
      <c r="E521" s="45"/>
      <c r="F521" s="45"/>
      <c r="G521" s="46"/>
      <c r="H521" s="342" t="s">
        <v>20</v>
      </c>
      <c r="I521" s="200">
        <f ca="1">IFERROR(__xludf.DUMMYFUNCTION("IMPORTRANGE(""https://docs.google.com/spreadsheets/d/1muirlRDkqiswvy_NRZ3Yh955hx-PF6_HhssUYiSJj8o/edit?usp=sharing"",""กองทุน!D20"")"),5000000)</f>
        <v>5000000</v>
      </c>
      <c r="J521" s="200">
        <f ca="1">IFERROR(__xludf.DUMMYFUNCTION("IMPORTRANGE(""https://docs.google.com/spreadsheets/d/1muirlRDkqiswvy_NRZ3Yh955hx-PF6_HhssUYiSJj8o/edit?usp=sharing"",""กองทุน!F20"")"),0)</f>
        <v>0</v>
      </c>
      <c r="K521" s="201">
        <f t="shared" ref="K521:K528" ca="1" si="118">IF(I521&gt;0,J521*100/I521,0)</f>
        <v>0</v>
      </c>
      <c r="L521" s="201"/>
      <c r="M521" s="201"/>
      <c r="N521" s="53"/>
    </row>
    <row r="522" spans="1:14" ht="21.75" customHeight="1" x14ac:dyDescent="0.4">
      <c r="A522" s="316"/>
      <c r="B522" s="43"/>
      <c r="C522" s="43"/>
      <c r="D522" s="51"/>
      <c r="E522" s="45"/>
      <c r="F522" s="45"/>
      <c r="G522" s="46"/>
      <c r="H522" s="342" t="s">
        <v>16</v>
      </c>
      <c r="I522" s="200">
        <f ca="1">IFERROR(__xludf.DUMMYFUNCTION("IMPORTRANGE(""https://docs.google.com/spreadsheets/d/1muirlRDkqiswvy_NRZ3Yh955hx-PF6_HhssUYiSJj8o/edit?usp=sharing"",""กองทุน!C20"")"),161)</f>
        <v>161</v>
      </c>
      <c r="J522" s="200">
        <f ca="1">IFERROR(__xludf.DUMMYFUNCTION("IMPORTRANGE(""https://docs.google.com/spreadsheets/d/1muirlRDkqiswvy_NRZ3Yh955hx-PF6_HhssUYiSJj8o/edit?usp=sharing"",""กองทุน!E20"")"),0)</f>
        <v>0</v>
      </c>
      <c r="K522" s="201">
        <f t="shared" ca="1" si="118"/>
        <v>0</v>
      </c>
      <c r="L522" s="201"/>
      <c r="M522" s="201"/>
      <c r="N522" s="53"/>
    </row>
    <row r="523" spans="1:14" ht="21.75" customHeight="1" x14ac:dyDescent="0.4">
      <c r="A523" s="316"/>
      <c r="B523" s="45" t="s">
        <v>214</v>
      </c>
      <c r="C523" s="43"/>
      <c r="D523" s="51"/>
      <c r="E523" s="45"/>
      <c r="F523" s="45"/>
      <c r="G523" s="46"/>
      <c r="H523" s="342" t="s">
        <v>20</v>
      </c>
      <c r="I523" s="200">
        <f ca="1">IFERROR(__xludf.DUMMYFUNCTION("IMPORTRANGE(""https://docs.google.com/spreadsheets/d/1muirlRDkqiswvy_NRZ3Yh955hx-PF6_HhssUYiSJj8o/edit?usp=sharing"",""กองทุน!I20"")"),4969936.21)</f>
        <v>4969936.21</v>
      </c>
      <c r="J523" s="200">
        <f ca="1">IFERROR(__xludf.DUMMYFUNCTION("IMPORTRANGE(""https://docs.google.com/spreadsheets/d/1muirlRDkqiswvy_NRZ3Yh955hx-PF6_HhssUYiSJj8o/edit?usp=sharing"",""กองทุน!K20"")"),296569.6)</f>
        <v>296569.59999999998</v>
      </c>
      <c r="K523" s="201">
        <f t="shared" ca="1" si="118"/>
        <v>5.9672717610192416</v>
      </c>
      <c r="L523" s="201"/>
      <c r="M523" s="201"/>
      <c r="N523" s="53"/>
    </row>
    <row r="524" spans="1:14" ht="21.75" customHeight="1" x14ac:dyDescent="0.4">
      <c r="A524" s="316"/>
      <c r="B524" s="43"/>
      <c r="C524" s="43"/>
      <c r="D524" s="51"/>
      <c r="E524" s="45"/>
      <c r="F524" s="45"/>
      <c r="G524" s="46"/>
      <c r="H524" s="342" t="s">
        <v>16</v>
      </c>
      <c r="I524" s="200">
        <f ca="1">IFERROR(__xludf.DUMMYFUNCTION("IMPORTRANGE(""https://docs.google.com/spreadsheets/d/1muirlRDkqiswvy_NRZ3Yh955hx-PF6_HhssUYiSJj8o/edit?usp=sharing"",""กองทุน!H20"")"),126)</f>
        <v>126</v>
      </c>
      <c r="J524" s="200">
        <f ca="1">IFERROR(__xludf.DUMMYFUNCTION("IMPORTRANGE(""https://docs.google.com/spreadsheets/d/1muirlRDkqiswvy_NRZ3Yh955hx-PF6_HhssUYiSJj8o/edit?usp=sharing"",""กองทุน!J20"")"),13)</f>
        <v>13</v>
      </c>
      <c r="K524" s="201">
        <f t="shared" ca="1" si="118"/>
        <v>10.317460317460318</v>
      </c>
      <c r="L524" s="201"/>
      <c r="M524" s="201"/>
      <c r="N524" s="53"/>
    </row>
    <row r="525" spans="1:14" ht="21.75" customHeight="1" x14ac:dyDescent="0.4">
      <c r="A525" s="316"/>
      <c r="B525" s="45" t="s">
        <v>215</v>
      </c>
      <c r="C525" s="43"/>
      <c r="D525" s="51"/>
      <c r="E525" s="45"/>
      <c r="F525" s="45"/>
      <c r="G525" s="46"/>
      <c r="H525" s="342" t="s">
        <v>20</v>
      </c>
      <c r="I525" s="200">
        <f ca="1">IFERROR(__xludf.DUMMYFUNCTION("IMPORTRANGE(""https://docs.google.com/spreadsheets/d/1muirlRDkqiswvy_NRZ3Yh955hx-PF6_HhssUYiSJj8o/edit?usp=sharing"",""กองทุน!N20"")"),2516220.78)</f>
        <v>2516220.7799999998</v>
      </c>
      <c r="J525" s="200">
        <f ca="1">IFERROR(__xludf.DUMMYFUNCTION("IMPORTRANGE(""https://docs.google.com/spreadsheets/d/1muirlRDkqiswvy_NRZ3Yh955hx-PF6_HhssUYiSJj8o/edit?usp=sharing"",""กองทุน!P20"")"),108080.72)</f>
        <v>108080.72</v>
      </c>
      <c r="K525" s="201">
        <f t="shared" ca="1" si="118"/>
        <v>4.2953591695558613</v>
      </c>
      <c r="L525" s="201"/>
      <c r="M525" s="201"/>
      <c r="N525" s="53"/>
    </row>
    <row r="526" spans="1:14" ht="21.75" customHeight="1" x14ac:dyDescent="0.4">
      <c r="A526" s="316"/>
      <c r="B526" s="45"/>
      <c r="C526" s="43"/>
      <c r="D526" s="51"/>
      <c r="E526" s="45"/>
      <c r="F526" s="45"/>
      <c r="G526" s="46"/>
      <c r="H526" s="342" t="s">
        <v>16</v>
      </c>
      <c r="I526" s="200">
        <f ca="1">IFERROR(__xludf.DUMMYFUNCTION("IMPORTRANGE(""https://docs.google.com/spreadsheets/d/1muirlRDkqiswvy_NRZ3Yh955hx-PF6_HhssUYiSJj8o/edit?usp=sharing"",""กองทุน!M20"")"),286)</f>
        <v>286</v>
      </c>
      <c r="J526" s="200">
        <f ca="1">IFERROR(__xludf.DUMMYFUNCTION("IMPORTRANGE(""https://docs.google.com/spreadsheets/d/1muirlRDkqiswvy_NRZ3Yh955hx-PF6_HhssUYiSJj8o/edit?usp=sharing"",""กองทุน!O20"")"),9)</f>
        <v>9</v>
      </c>
      <c r="K526" s="201">
        <f t="shared" ca="1" si="118"/>
        <v>3.1468531468531467</v>
      </c>
      <c r="L526" s="201"/>
      <c r="M526" s="201"/>
      <c r="N526" s="53"/>
    </row>
    <row r="527" spans="1:14" ht="21.75" customHeight="1" x14ac:dyDescent="0.4">
      <c r="A527" s="316"/>
      <c r="B527" s="45" t="s">
        <v>216</v>
      </c>
      <c r="C527" s="43"/>
      <c r="D527" s="51"/>
      <c r="E527" s="45"/>
      <c r="F527" s="45"/>
      <c r="G527" s="46"/>
      <c r="H527" s="342" t="s">
        <v>20</v>
      </c>
      <c r="I527" s="200">
        <f ca="1">IFERROR(__xludf.DUMMYFUNCTION("IMPORTRANGE(""https://docs.google.com/spreadsheets/d/1muirlRDkqiswvy_NRZ3Yh955hx-PF6_HhssUYiSJj8o/edit?usp=sharing"",""กองทุน!S20"")"),5000000)</f>
        <v>5000000</v>
      </c>
      <c r="J527" s="200">
        <f ca="1">IFERROR(__xludf.DUMMYFUNCTION("IMPORTRANGE(""https://docs.google.com/spreadsheets/d/1muirlRDkqiswvy_NRZ3Yh955hx-PF6_HhssUYiSJj8o/edit?usp=sharing"",""กองทุน!U20"")"),0)</f>
        <v>0</v>
      </c>
      <c r="K527" s="201">
        <f t="shared" ca="1" si="118"/>
        <v>0</v>
      </c>
      <c r="L527" s="201"/>
      <c r="M527" s="201"/>
      <c r="N527" s="53"/>
    </row>
    <row r="528" spans="1:14" ht="21.75" customHeight="1" x14ac:dyDescent="0.4">
      <c r="A528" s="317"/>
      <c r="B528" s="319"/>
      <c r="C528" s="319"/>
      <c r="D528" s="318"/>
      <c r="E528" s="343"/>
      <c r="F528" s="343"/>
      <c r="G528" s="344"/>
      <c r="H528" s="345" t="s">
        <v>16</v>
      </c>
      <c r="I528" s="322">
        <f ca="1">IFERROR(__xludf.DUMMYFUNCTION("IMPORTRANGE(""https://docs.google.com/spreadsheets/d/1muirlRDkqiswvy_NRZ3Yh955hx-PF6_HhssUYiSJj8o/edit?usp=sharing"",""กองทุน!R20"")"),164)</f>
        <v>164</v>
      </c>
      <c r="J528" s="322">
        <f ca="1">IFERROR(__xludf.DUMMYFUNCTION("IMPORTRANGE(""https://docs.google.com/spreadsheets/d/1muirlRDkqiswvy_NRZ3Yh955hx-PF6_HhssUYiSJj8o/edit?usp=sharing"",""กองทุน!T20"")"),0)</f>
        <v>0</v>
      </c>
      <c r="K528" s="323">
        <f t="shared" ca="1" si="118"/>
        <v>0</v>
      </c>
      <c r="L528" s="323"/>
      <c r="M528" s="323"/>
      <c r="N528" s="346"/>
    </row>
    <row r="529" spans="1:14" ht="21.75" customHeight="1" x14ac:dyDescent="0.4">
      <c r="A529" s="347"/>
      <c r="B529" s="347"/>
      <c r="C529" s="347"/>
      <c r="D529" s="347"/>
      <c r="E529" s="348" t="s">
        <v>217</v>
      </c>
      <c r="F529" s="348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&amp;P/&amp;N&amp;R&amp;F</oddFooter>
  </headerFooter>
  <rowBreaks count="7" manualBreakCount="7">
    <brk id="65" max="16383" man="1"/>
    <brk id="128" max="16383" man="1"/>
    <brk id="197" max="16383" man="1"/>
    <brk id="274" max="16383" man="1"/>
    <brk id="329" max="16383" man="1"/>
    <brk id="389" max="16383" man="1"/>
    <brk id="45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440" activePane="bottomLeft" state="frozen"/>
      <selection activeCell="L18" sqref="L18"/>
      <selection pane="bottomLeft" activeCell="L18" sqref="L18"/>
    </sheetView>
  </sheetViews>
  <sheetFormatPr defaultColWidth="12.625" defaultRowHeight="15" customHeight="1" x14ac:dyDescent="0.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4">
      <c r="A1" s="403" t="s">
        <v>0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</row>
    <row r="2" spans="1:14" ht="18" customHeight="1" x14ac:dyDescent="0.4">
      <c r="A2" s="403" t="s">
        <v>224</v>
      </c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404"/>
    </row>
    <row r="3" spans="1:14" ht="18" customHeight="1" x14ac:dyDescent="0.4">
      <c r="A3" s="403" t="s">
        <v>249</v>
      </c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04"/>
    </row>
    <row r="4" spans="1:14" ht="33.75" customHeight="1" x14ac:dyDescent="0.4">
      <c r="A4" s="2"/>
      <c r="B4" s="2"/>
      <c r="C4" s="2"/>
      <c r="D4" s="2"/>
      <c r="E4" s="2"/>
      <c r="F4" s="2"/>
      <c r="G4" s="2"/>
      <c r="H4" s="2"/>
      <c r="I4" s="2"/>
      <c r="J4" s="354" t="s">
        <v>2</v>
      </c>
      <c r="K4" s="4"/>
      <c r="L4" s="5"/>
      <c r="M4" s="355" t="s">
        <v>3</v>
      </c>
      <c r="N4" s="2"/>
    </row>
    <row r="5" spans="1:14" ht="21.75" customHeight="1" x14ac:dyDescent="0.55000000000000004">
      <c r="A5" s="405" t="s">
        <v>4</v>
      </c>
      <c r="B5" s="406"/>
      <c r="C5" s="406"/>
      <c r="D5" s="406"/>
      <c r="E5" s="406"/>
      <c r="F5" s="406"/>
      <c r="G5" s="407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2998240</v>
      </c>
      <c r="M6" s="16">
        <f t="shared" si="0"/>
        <v>0</v>
      </c>
      <c r="N6" s="17">
        <f ca="1">IF(L6&gt;0,M6*100/L6,0)</f>
        <v>0</v>
      </c>
    </row>
    <row r="7" spans="1:14" ht="21.75" customHeight="1" x14ac:dyDescent="0.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1</v>
      </c>
      <c r="J9" s="38">
        <f t="shared" si="1"/>
        <v>0</v>
      </c>
      <c r="K9" s="41">
        <f t="shared" ref="K9:K10" ca="1" si="2">IF(I9&gt;0,J9*100/I9,0)</f>
        <v>0</v>
      </c>
      <c r="L9" s="40">
        <f ca="1">L11+L12</f>
        <v>548000</v>
      </c>
      <c r="M9" s="40">
        <f>SUM(M11:M12)</f>
        <v>0</v>
      </c>
      <c r="N9" s="41">
        <f ca="1">IF(L9&gt;0,M9*100/L9,0)</f>
        <v>0</v>
      </c>
    </row>
    <row r="10" spans="1:14" ht="21.75" customHeight="1" x14ac:dyDescent="0.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60</v>
      </c>
      <c r="J10" s="38">
        <f t="shared" si="3"/>
        <v>0</v>
      </c>
      <c r="K10" s="41">
        <f t="shared" ca="1" si="2"/>
        <v>0</v>
      </c>
      <c r="L10" s="40"/>
      <c r="M10" s="40"/>
      <c r="N10" s="41"/>
    </row>
    <row r="11" spans="1:14" ht="21.75" customHeight="1" x14ac:dyDescent="0.4">
      <c r="A11" s="42"/>
      <c r="B11" s="43"/>
      <c r="C11" s="43" t="s">
        <v>17</v>
      </c>
      <c r="D11" s="44" t="s">
        <v>18</v>
      </c>
      <c r="E11" s="45"/>
      <c r="F11" s="45"/>
      <c r="G11" s="46" t="s">
        <v>19</v>
      </c>
      <c r="H11" s="47" t="s">
        <v>20</v>
      </c>
      <c r="I11" s="48" t="s">
        <v>21</v>
      </c>
      <c r="J11" s="48"/>
      <c r="K11" s="49"/>
      <c r="L11" s="50">
        <v>0</v>
      </c>
      <c r="M11" s="50">
        <v>0</v>
      </c>
      <c r="N11" s="50">
        <f t="shared" ref="N11:N14" si="4">+IF(L11&gt;0,M11*100/L11,0)</f>
        <v>0</v>
      </c>
    </row>
    <row r="12" spans="1:14" ht="21.75" customHeight="1" x14ac:dyDescent="0.4">
      <c r="A12" s="42"/>
      <c r="B12" s="43"/>
      <c r="C12" s="43"/>
      <c r="D12" s="51"/>
      <c r="E12" s="45"/>
      <c r="F12" s="45" t="s">
        <v>21</v>
      </c>
      <c r="G12" s="46" t="s">
        <v>22</v>
      </c>
      <c r="H12" s="47" t="s">
        <v>20</v>
      </c>
      <c r="I12" s="48"/>
      <c r="J12" s="48"/>
      <c r="K12" s="49"/>
      <c r="L12" s="53">
        <f ca="1">IFERROR(__xludf.DUMMYFUNCTION("IMPORTRANGE(""https://docs.google.com/spreadsheets/d/1C3CXT74ZlgGe6_JY_1olB1XN4rF0dxEuIIF-xsYjHgg/edit?usp=sharing"",""พรบ!C21"")"),548000)</f>
        <v>548000</v>
      </c>
      <c r="M12" s="50">
        <f>SUM(M13:M14)</f>
        <v>0</v>
      </c>
      <c r="N12" s="50">
        <f t="shared" ca="1" si="4"/>
        <v>0</v>
      </c>
    </row>
    <row r="13" spans="1:14" ht="21.75" customHeight="1" x14ac:dyDescent="0.4">
      <c r="A13" s="42"/>
      <c r="B13" s="43"/>
      <c r="C13" s="43"/>
      <c r="D13" s="51"/>
      <c r="E13" s="45"/>
      <c r="F13" s="45"/>
      <c r="G13" s="52" t="s">
        <v>23</v>
      </c>
      <c r="H13" s="47" t="s">
        <v>20</v>
      </c>
      <c r="I13" s="48"/>
      <c r="J13" s="48"/>
      <c r="K13" s="49"/>
      <c r="L13" s="53">
        <f ca="1">IFERROR(__xludf.DUMMYFUNCTION("IMPORTRANGE(""https://docs.google.com/spreadsheets/d/1C3CXT74ZlgGe6_JY_1olB1XN4rF0dxEuIIF-xsYjHgg/edit?usp=sharing"",""พรบ!D21"")"),0)</f>
        <v>0</v>
      </c>
      <c r="M13" s="53">
        <v>0</v>
      </c>
      <c r="N13" s="53">
        <f t="shared" ca="1" si="4"/>
        <v>0</v>
      </c>
    </row>
    <row r="14" spans="1:14" ht="21.75" customHeight="1" x14ac:dyDescent="0.4">
      <c r="A14" s="42"/>
      <c r="B14" s="43"/>
      <c r="C14" s="43"/>
      <c r="D14" s="51"/>
      <c r="E14" s="45"/>
      <c r="F14" s="45"/>
      <c r="G14" s="52" t="s">
        <v>24</v>
      </c>
      <c r="H14" s="47" t="s">
        <v>20</v>
      </c>
      <c r="I14" s="48"/>
      <c r="J14" s="48"/>
      <c r="K14" s="49"/>
      <c r="L14" s="53">
        <f ca="1">IFERROR(__xludf.DUMMYFUNCTION("IMPORTRANGE(""https://docs.google.com/spreadsheets/d/1C3CXT74ZlgGe6_JY_1olB1XN4rF0dxEuIIF-xsYjHgg/edit?usp=sharing"",""พรบ!E21"")"),548000)</f>
        <v>548000</v>
      </c>
      <c r="M14" s="54">
        <v>0</v>
      </c>
      <c r="N14" s="53">
        <f t="shared" ca="1" si="4"/>
        <v>0</v>
      </c>
    </row>
    <row r="15" spans="1:14" ht="21.75" customHeight="1" x14ac:dyDescent="0.4">
      <c r="A15" s="55"/>
      <c r="B15" s="56"/>
      <c r="C15" s="43" t="s">
        <v>17</v>
      </c>
      <c r="D15" s="57" t="s">
        <v>25</v>
      </c>
      <c r="E15" s="58"/>
      <c r="F15" s="58"/>
      <c r="G15" s="59"/>
      <c r="H15" s="60"/>
      <c r="I15" s="48"/>
      <c r="J15" s="48"/>
      <c r="K15" s="49"/>
      <c r="L15" s="61"/>
      <c r="M15" s="61"/>
      <c r="N15" s="61"/>
    </row>
    <row r="16" spans="1:14" ht="21.75" customHeight="1" x14ac:dyDescent="0.4">
      <c r="A16" s="55"/>
      <c r="B16" s="56"/>
      <c r="C16" s="56"/>
      <c r="D16" s="62">
        <v>1</v>
      </c>
      <c r="E16" s="63" t="s">
        <v>26</v>
      </c>
      <c r="F16" s="64"/>
      <c r="G16" s="65"/>
      <c r="H16" s="66"/>
      <c r="I16" s="67"/>
      <c r="J16" s="68">
        <v>0</v>
      </c>
      <c r="K16" s="49"/>
      <c r="L16" s="61"/>
      <c r="M16" s="61"/>
      <c r="N16" s="61"/>
    </row>
    <row r="17" spans="1:14" ht="21.75" customHeight="1" x14ac:dyDescent="0.4">
      <c r="A17" s="55"/>
      <c r="B17" s="56"/>
      <c r="C17" s="56"/>
      <c r="D17" s="69">
        <v>2</v>
      </c>
      <c r="E17" s="70" t="s">
        <v>27</v>
      </c>
      <c r="F17" s="71"/>
      <c r="G17" s="72"/>
      <c r="H17" s="66"/>
      <c r="I17" s="67"/>
      <c r="J17" s="68">
        <v>1</v>
      </c>
      <c r="K17" s="49"/>
      <c r="L17" s="61" t="s">
        <v>21</v>
      </c>
      <c r="M17" s="61" t="s">
        <v>21</v>
      </c>
      <c r="N17" s="61"/>
    </row>
    <row r="18" spans="1:14" ht="21.75" customHeight="1" x14ac:dyDescent="0.4">
      <c r="A18" s="55"/>
      <c r="B18" s="56"/>
      <c r="C18" s="56"/>
      <c r="D18" s="73"/>
      <c r="E18" s="74" t="s">
        <v>28</v>
      </c>
      <c r="F18" s="75"/>
      <c r="G18" s="76"/>
      <c r="H18" s="66"/>
      <c r="I18" s="67"/>
      <c r="J18" s="68">
        <v>1</v>
      </c>
      <c r="K18" s="49"/>
      <c r="L18" s="61"/>
      <c r="M18" s="61"/>
      <c r="N18" s="61"/>
    </row>
    <row r="19" spans="1:14" ht="21.75" customHeight="1" x14ac:dyDescent="0.4">
      <c r="A19" s="55"/>
      <c r="B19" s="56"/>
      <c r="C19" s="56"/>
      <c r="D19" s="73"/>
      <c r="E19" s="74" t="s">
        <v>29</v>
      </c>
      <c r="F19" s="75"/>
      <c r="G19" s="76"/>
      <c r="H19" s="66"/>
      <c r="I19" s="67"/>
      <c r="J19" s="68">
        <v>0</v>
      </c>
      <c r="K19" s="49"/>
      <c r="L19" s="61"/>
      <c r="M19" s="61"/>
      <c r="N19" s="61"/>
    </row>
    <row r="20" spans="1:14" ht="21.75" customHeight="1" x14ac:dyDescent="0.4">
      <c r="A20" s="55"/>
      <c r="B20" s="56"/>
      <c r="C20" s="56"/>
      <c r="D20" s="73"/>
      <c r="E20" s="77"/>
      <c r="F20" s="74" t="s">
        <v>30</v>
      </c>
      <c r="G20" s="75"/>
      <c r="H20" s="78" t="s">
        <v>15</v>
      </c>
      <c r="I20" s="79">
        <f t="shared" ref="I20:J20" ca="1" si="5">+I22+I24+I26</f>
        <v>1</v>
      </c>
      <c r="J20" s="79">
        <f t="shared" si="5"/>
        <v>0</v>
      </c>
      <c r="K20" s="80">
        <f t="shared" ref="K20:K28" ca="1" si="6">IF(I20&gt;0,J20*100/I20,0)</f>
        <v>0</v>
      </c>
      <c r="L20" s="61"/>
      <c r="M20" s="61"/>
      <c r="N20" s="61"/>
    </row>
    <row r="21" spans="1:14" ht="21.75" customHeight="1" x14ac:dyDescent="0.4">
      <c r="A21" s="55"/>
      <c r="B21" s="56"/>
      <c r="C21" s="56"/>
      <c r="D21" s="73"/>
      <c r="E21" s="77"/>
      <c r="F21" s="75"/>
      <c r="G21" s="76"/>
      <c r="H21" s="78" t="s">
        <v>16</v>
      </c>
      <c r="I21" s="79">
        <f t="shared" ref="I21:J21" ca="1" si="7">+I23+I25+I27</f>
        <v>60</v>
      </c>
      <c r="J21" s="79">
        <f t="shared" si="7"/>
        <v>0</v>
      </c>
      <c r="K21" s="80">
        <f t="shared" ca="1" si="6"/>
        <v>0</v>
      </c>
      <c r="L21" s="61"/>
      <c r="M21" s="61"/>
      <c r="N21" s="61"/>
    </row>
    <row r="22" spans="1:14" ht="21.75" customHeight="1" x14ac:dyDescent="0.4">
      <c r="A22" s="55"/>
      <c r="B22" s="56"/>
      <c r="C22" s="56"/>
      <c r="D22" s="73"/>
      <c r="E22" s="77"/>
      <c r="F22" s="75"/>
      <c r="G22" s="75" t="s">
        <v>31</v>
      </c>
      <c r="H22" s="60" t="s">
        <v>15</v>
      </c>
      <c r="I22" s="48">
        <f ca="1">IFERROR(__xludf.DUMMYFUNCTION("IMPORTRANGE(""https://docs.google.com/spreadsheets/d/1C3CXT74ZlgGe6_JY_1olB1XN4rF0dxEuIIF-xsYjHgg/edit?usp=sharing"",""พรบ!H21"")"),1)</f>
        <v>1</v>
      </c>
      <c r="J22" s="68">
        <v>0</v>
      </c>
      <c r="K22" s="49">
        <f t="shared" ca="1" si="6"/>
        <v>0</v>
      </c>
      <c r="L22" s="61"/>
      <c r="M22" s="61"/>
      <c r="N22" s="61"/>
    </row>
    <row r="23" spans="1:14" ht="21.75" customHeight="1" x14ac:dyDescent="0.4">
      <c r="A23" s="55"/>
      <c r="B23" s="56"/>
      <c r="C23" s="56"/>
      <c r="D23" s="73"/>
      <c r="E23" s="77"/>
      <c r="F23" s="75"/>
      <c r="G23" s="76"/>
      <c r="H23" s="60" t="s">
        <v>16</v>
      </c>
      <c r="I23" s="48">
        <f ca="1">IFERROR(__xludf.DUMMYFUNCTION("IMPORTRANGE(""https://docs.google.com/spreadsheets/d/1C3CXT74ZlgGe6_JY_1olB1XN4rF0dxEuIIF-xsYjHgg/edit?usp=sharing"",""พรบ!I21"")"),60)</f>
        <v>60</v>
      </c>
      <c r="J23" s="68">
        <v>0</v>
      </c>
      <c r="K23" s="49">
        <f t="shared" ca="1" si="6"/>
        <v>0</v>
      </c>
      <c r="L23" s="61"/>
      <c r="M23" s="61"/>
      <c r="N23" s="61"/>
    </row>
    <row r="24" spans="1:14" ht="21.75" customHeight="1" x14ac:dyDescent="0.4">
      <c r="A24" s="55"/>
      <c r="B24" s="56"/>
      <c r="C24" s="56"/>
      <c r="D24" s="73"/>
      <c r="E24" s="77"/>
      <c r="F24" s="75"/>
      <c r="G24" s="75" t="s">
        <v>32</v>
      </c>
      <c r="H24" s="60" t="s">
        <v>15</v>
      </c>
      <c r="I24" s="48">
        <f ca="1">IFERROR(__xludf.DUMMYFUNCTION("IMPORTRANGE(""https://docs.google.com/spreadsheets/d/1C3CXT74ZlgGe6_JY_1olB1XN4rF0dxEuIIF-xsYjHgg/edit?usp=sharing"",""พรบ!J21"")"),0)</f>
        <v>0</v>
      </c>
      <c r="J24" s="67">
        <v>0</v>
      </c>
      <c r="K24" s="49">
        <f t="shared" ca="1" si="6"/>
        <v>0</v>
      </c>
      <c r="L24" s="61"/>
      <c r="M24" s="61"/>
      <c r="N24" s="61"/>
    </row>
    <row r="25" spans="1:14" ht="21.75" customHeight="1" x14ac:dyDescent="0.4">
      <c r="A25" s="55"/>
      <c r="B25" s="56"/>
      <c r="C25" s="56"/>
      <c r="D25" s="73"/>
      <c r="E25" s="77"/>
      <c r="F25" s="75"/>
      <c r="G25" s="76"/>
      <c r="H25" s="60" t="s">
        <v>16</v>
      </c>
      <c r="I25" s="48">
        <f ca="1">IFERROR(__xludf.DUMMYFUNCTION("IMPORTRANGE(""https://docs.google.com/spreadsheets/d/1C3CXT74ZlgGe6_JY_1olB1XN4rF0dxEuIIF-xsYjHgg/edit?usp=sharing"",""พรบ!K21"")"),0)</f>
        <v>0</v>
      </c>
      <c r="J25" s="67">
        <v>0</v>
      </c>
      <c r="K25" s="49">
        <f t="shared" ca="1" si="6"/>
        <v>0</v>
      </c>
      <c r="L25" s="61"/>
      <c r="M25" s="61"/>
      <c r="N25" s="61"/>
    </row>
    <row r="26" spans="1:14" ht="21.75" customHeight="1" x14ac:dyDescent="0.4">
      <c r="A26" s="55"/>
      <c r="B26" s="56"/>
      <c r="C26" s="56"/>
      <c r="D26" s="73"/>
      <c r="E26" s="77"/>
      <c r="F26" s="75"/>
      <c r="G26" s="75" t="s">
        <v>33</v>
      </c>
      <c r="H26" s="60" t="s">
        <v>15</v>
      </c>
      <c r="I26" s="48">
        <f ca="1">IFERROR(__xludf.DUMMYFUNCTION("IMPORTRANGE(""https://docs.google.com/spreadsheets/d/1C3CXT74ZlgGe6_JY_1olB1XN4rF0dxEuIIF-xsYjHgg/edit?usp=sharing"",""พรบ!L21"")"),0)</f>
        <v>0</v>
      </c>
      <c r="J26" s="67">
        <v>0</v>
      </c>
      <c r="K26" s="49">
        <f t="shared" ca="1" si="6"/>
        <v>0</v>
      </c>
      <c r="L26" s="61"/>
      <c r="M26" s="61"/>
      <c r="N26" s="61"/>
    </row>
    <row r="27" spans="1:14" ht="21.75" customHeight="1" x14ac:dyDescent="0.4">
      <c r="A27" s="55"/>
      <c r="B27" s="56"/>
      <c r="C27" s="56"/>
      <c r="D27" s="73"/>
      <c r="E27" s="77"/>
      <c r="F27" s="75"/>
      <c r="G27" s="76"/>
      <c r="H27" s="60" t="s">
        <v>16</v>
      </c>
      <c r="I27" s="48">
        <f ca="1">IFERROR(__xludf.DUMMYFUNCTION("IMPORTRANGE(""https://docs.google.com/spreadsheets/d/1C3CXT74ZlgGe6_JY_1olB1XN4rF0dxEuIIF-xsYjHgg/edit?usp=sharing"",""พรบ!M21"")"),0)</f>
        <v>0</v>
      </c>
      <c r="J27" s="67">
        <v>0</v>
      </c>
      <c r="K27" s="49">
        <f t="shared" ca="1" si="6"/>
        <v>0</v>
      </c>
      <c r="L27" s="61"/>
      <c r="M27" s="61"/>
      <c r="N27" s="61"/>
    </row>
    <row r="28" spans="1:14" ht="21.75" customHeight="1" x14ac:dyDescent="0.4">
      <c r="A28" s="55"/>
      <c r="B28" s="56"/>
      <c r="C28" s="56"/>
      <c r="D28" s="73"/>
      <c r="E28" s="77"/>
      <c r="F28" s="74" t="s">
        <v>34</v>
      </c>
      <c r="G28" s="75"/>
      <c r="H28" s="60" t="s">
        <v>16</v>
      </c>
      <c r="I28" s="48">
        <f ca="1">IFERROR(__xludf.DUMMYFUNCTION("IMPORTRANGE(""https://docs.google.com/spreadsheets/d/1C3CXT74ZlgGe6_JY_1olB1XN4rF0dxEuIIF-xsYjHgg/edit?usp=sharing"",""พรบ!n21"")"),60)</f>
        <v>60</v>
      </c>
      <c r="J28" s="68">
        <v>0</v>
      </c>
      <c r="K28" s="49">
        <f t="shared" ca="1" si="6"/>
        <v>0</v>
      </c>
      <c r="L28" s="61"/>
      <c r="M28" s="61"/>
      <c r="N28" s="61"/>
    </row>
    <row r="29" spans="1:14" ht="21.75" customHeight="1" x14ac:dyDescent="0.4">
      <c r="A29" s="55"/>
      <c r="B29" s="56"/>
      <c r="C29" s="56"/>
      <c r="D29" s="73"/>
      <c r="E29" s="74" t="s">
        <v>35</v>
      </c>
      <c r="F29" s="75"/>
      <c r="G29" s="76"/>
      <c r="H29" s="66"/>
      <c r="I29" s="67"/>
      <c r="J29" s="68">
        <v>0</v>
      </c>
      <c r="K29" s="49"/>
      <c r="L29" s="61"/>
      <c r="M29" s="61"/>
      <c r="N29" s="61"/>
    </row>
    <row r="30" spans="1:14" ht="21.75" customHeight="1" x14ac:dyDescent="0.4">
      <c r="A30" s="55"/>
      <c r="B30" s="56"/>
      <c r="C30" s="56"/>
      <c r="D30" s="81">
        <v>3</v>
      </c>
      <c r="E30" s="82" t="s">
        <v>36</v>
      </c>
      <c r="F30" s="83"/>
      <c r="G30" s="84"/>
      <c r="H30" s="66"/>
      <c r="I30" s="67"/>
      <c r="J30" s="85">
        <v>0</v>
      </c>
      <c r="K30" s="49"/>
      <c r="L30" s="61"/>
      <c r="M30" s="61"/>
      <c r="N30" s="61"/>
    </row>
    <row r="31" spans="1:14" ht="21.75" customHeight="1" x14ac:dyDescent="0.4">
      <c r="A31" s="86" t="s">
        <v>37</v>
      </c>
      <c r="B31" s="87"/>
      <c r="C31" s="88"/>
      <c r="D31" s="87"/>
      <c r="E31" s="89"/>
      <c r="F31" s="89"/>
      <c r="G31" s="90"/>
      <c r="H31" s="91"/>
      <c r="I31" s="92"/>
      <c r="J31" s="92"/>
      <c r="K31" s="93"/>
      <c r="L31" s="94"/>
      <c r="M31" s="94"/>
      <c r="N31" s="95"/>
    </row>
    <row r="32" spans="1:14" ht="21.75" customHeight="1" x14ac:dyDescent="0.4">
      <c r="A32" s="34"/>
      <c r="B32" s="35" t="s">
        <v>38</v>
      </c>
      <c r="C32" s="35"/>
      <c r="D32" s="36"/>
      <c r="E32" s="35"/>
      <c r="F32" s="35"/>
      <c r="G32" s="96"/>
      <c r="H32" s="37" t="s">
        <v>16</v>
      </c>
      <c r="I32" s="38">
        <f t="shared" ref="I32:J32" ca="1" si="8">+I44</f>
        <v>7</v>
      </c>
      <c r="J32" s="38">
        <f t="shared" si="8"/>
        <v>0</v>
      </c>
      <c r="K32" s="41">
        <f t="shared" ref="K32:K33" ca="1" si="9">IF(I32&gt;0,J32*100/I32,0)</f>
        <v>0</v>
      </c>
      <c r="L32" s="97">
        <f ca="1">L34+L35</f>
        <v>134160</v>
      </c>
      <c r="M32" s="97">
        <f>SUM(M34:M35)</f>
        <v>0</v>
      </c>
      <c r="N32" s="41">
        <f ca="1">IF(L32&gt;0,M32*100/L32,0)</f>
        <v>0</v>
      </c>
    </row>
    <row r="33" spans="1:14" ht="21.75" customHeight="1" x14ac:dyDescent="0.4">
      <c r="A33" s="34"/>
      <c r="B33" s="35"/>
      <c r="C33" s="35"/>
      <c r="D33" s="36" t="s">
        <v>39</v>
      </c>
      <c r="E33" s="35"/>
      <c r="F33" s="35"/>
      <c r="G33" s="96"/>
      <c r="H33" s="37" t="s">
        <v>40</v>
      </c>
      <c r="I33" s="38">
        <f ca="1">I48</f>
        <v>2</v>
      </c>
      <c r="J33" s="38">
        <f>+J48</f>
        <v>0</v>
      </c>
      <c r="K33" s="41">
        <f t="shared" ca="1" si="9"/>
        <v>0</v>
      </c>
      <c r="L33" s="97"/>
      <c r="M33" s="97"/>
      <c r="N33" s="41"/>
    </row>
    <row r="34" spans="1:14" ht="21.75" customHeight="1" x14ac:dyDescent="0.4">
      <c r="A34" s="42"/>
      <c r="B34" s="43"/>
      <c r="C34" s="43" t="s">
        <v>17</v>
      </c>
      <c r="D34" s="44" t="s">
        <v>18</v>
      </c>
      <c r="E34" s="45"/>
      <c r="F34" s="45"/>
      <c r="G34" s="46" t="s">
        <v>19</v>
      </c>
      <c r="H34" s="47" t="s">
        <v>20</v>
      </c>
      <c r="I34" s="48" t="s">
        <v>21</v>
      </c>
      <c r="J34" s="48"/>
      <c r="K34" s="49"/>
      <c r="L34" s="53">
        <v>0</v>
      </c>
      <c r="M34" s="50">
        <v>0</v>
      </c>
      <c r="N34" s="50">
        <f t="shared" ref="N34:N37" si="10">+IF(L34&gt;0,M34*100/L34,0)</f>
        <v>0</v>
      </c>
    </row>
    <row r="35" spans="1:14" ht="21.75" customHeight="1" x14ac:dyDescent="0.4">
      <c r="A35" s="42"/>
      <c r="B35" s="43"/>
      <c r="C35" s="43"/>
      <c r="D35" s="51"/>
      <c r="E35" s="45"/>
      <c r="F35" s="45" t="s">
        <v>21</v>
      </c>
      <c r="G35" s="46" t="s">
        <v>22</v>
      </c>
      <c r="H35" s="47" t="s">
        <v>20</v>
      </c>
      <c r="I35" s="48"/>
      <c r="J35" s="48"/>
      <c r="K35" s="49"/>
      <c r="L35" s="53">
        <f ca="1">IFERROR(__xludf.DUMMYFUNCTION("IMPORTRANGE(""https://docs.google.com/spreadsheets/d/1C3CXT74ZlgGe6_JY_1olB1XN4rF0dxEuIIF-xsYjHgg/edit?usp=sharing"",""พรบ!O21"")"),134160)</f>
        <v>134160</v>
      </c>
      <c r="M35" s="50">
        <f>SUM(M36:M37)</f>
        <v>0</v>
      </c>
      <c r="N35" s="50">
        <f t="shared" ca="1" si="10"/>
        <v>0</v>
      </c>
    </row>
    <row r="36" spans="1:14" ht="21.75" customHeight="1" x14ac:dyDescent="0.4">
      <c r="A36" s="42"/>
      <c r="B36" s="43"/>
      <c r="C36" s="43"/>
      <c r="D36" s="51"/>
      <c r="E36" s="45"/>
      <c r="F36" s="45"/>
      <c r="G36" s="52" t="s">
        <v>23</v>
      </c>
      <c r="H36" s="47" t="s">
        <v>20</v>
      </c>
      <c r="I36" s="48"/>
      <c r="J36" s="48"/>
      <c r="K36" s="49"/>
      <c r="L36" s="53">
        <f ca="1">IFERROR(__xludf.DUMMYFUNCTION("IMPORTRANGE(""https://docs.google.com/spreadsheets/d/1C3CXT74ZlgGe6_JY_1olB1XN4rF0dxEuIIF-xsYjHgg/edit?usp=sharing"",""พรบ!P21"")"),0)</f>
        <v>0</v>
      </c>
      <c r="M36" s="53">
        <v>0</v>
      </c>
      <c r="N36" s="53">
        <f t="shared" ca="1" si="10"/>
        <v>0</v>
      </c>
    </row>
    <row r="37" spans="1:14" ht="21.75" customHeight="1" x14ac:dyDescent="0.4">
      <c r="A37" s="42"/>
      <c r="B37" s="43"/>
      <c r="C37" s="43"/>
      <c r="D37" s="51"/>
      <c r="E37" s="45"/>
      <c r="F37" s="45"/>
      <c r="G37" s="52" t="s">
        <v>24</v>
      </c>
      <c r="H37" s="47" t="s">
        <v>20</v>
      </c>
      <c r="I37" s="48"/>
      <c r="J37" s="48"/>
      <c r="K37" s="49"/>
      <c r="L37" s="53">
        <f ca="1">IFERROR(__xludf.DUMMYFUNCTION("IMPORTRANGE(""https://docs.google.com/spreadsheets/d/1C3CXT74ZlgGe6_JY_1olB1XN4rF0dxEuIIF-xsYjHgg/edit?usp=sharing"",""พรบ!Q21"")"),134160)</f>
        <v>134160</v>
      </c>
      <c r="M37" s="54">
        <v>0</v>
      </c>
      <c r="N37" s="53">
        <f t="shared" ca="1" si="10"/>
        <v>0</v>
      </c>
    </row>
    <row r="38" spans="1:14" ht="21.75" customHeight="1" x14ac:dyDescent="0.4">
      <c r="A38" s="55"/>
      <c r="B38" s="56"/>
      <c r="C38" s="43" t="s">
        <v>17</v>
      </c>
      <c r="D38" s="57" t="s">
        <v>25</v>
      </c>
      <c r="E38" s="58"/>
      <c r="F38" s="58"/>
      <c r="G38" s="59"/>
      <c r="H38" s="60"/>
      <c r="I38" s="48"/>
      <c r="J38" s="48"/>
      <c r="K38" s="49"/>
      <c r="L38" s="61"/>
      <c r="M38" s="61"/>
      <c r="N38" s="61"/>
    </row>
    <row r="39" spans="1:14" ht="21.75" customHeight="1" x14ac:dyDescent="0.4">
      <c r="A39" s="55"/>
      <c r="B39" s="56"/>
      <c r="C39" s="56"/>
      <c r="D39" s="62">
        <v>1</v>
      </c>
      <c r="E39" s="63" t="s">
        <v>26</v>
      </c>
      <c r="F39" s="64"/>
      <c r="G39" s="65"/>
      <c r="H39" s="66"/>
      <c r="I39" s="67"/>
      <c r="J39" s="68">
        <v>0</v>
      </c>
      <c r="K39" s="49"/>
      <c r="L39" s="61"/>
      <c r="M39" s="61"/>
      <c r="N39" s="61"/>
    </row>
    <row r="40" spans="1:14" ht="21.75" customHeight="1" x14ac:dyDescent="0.4">
      <c r="A40" s="55"/>
      <c r="B40" s="56"/>
      <c r="C40" s="56"/>
      <c r="D40" s="69">
        <v>2</v>
      </c>
      <c r="E40" s="70" t="s">
        <v>27</v>
      </c>
      <c r="F40" s="71"/>
      <c r="G40" s="72"/>
      <c r="H40" s="66"/>
      <c r="I40" s="67"/>
      <c r="J40" s="68">
        <v>1</v>
      </c>
      <c r="K40" s="49"/>
      <c r="L40" s="61" t="s">
        <v>21</v>
      </c>
      <c r="M40" s="61" t="s">
        <v>21</v>
      </c>
      <c r="N40" s="61"/>
    </row>
    <row r="41" spans="1:14" ht="21.75" customHeight="1" x14ac:dyDescent="0.4">
      <c r="A41" s="55"/>
      <c r="B41" s="56"/>
      <c r="C41" s="56"/>
      <c r="D41" s="73"/>
      <c r="E41" s="74" t="s">
        <v>28</v>
      </c>
      <c r="F41" s="75"/>
      <c r="G41" s="76"/>
      <c r="H41" s="66"/>
      <c r="I41" s="67"/>
      <c r="J41" s="68">
        <v>1</v>
      </c>
      <c r="K41" s="49"/>
      <c r="L41" s="61"/>
      <c r="M41" s="61"/>
      <c r="N41" s="61"/>
    </row>
    <row r="42" spans="1:14" ht="21.75" customHeight="1" x14ac:dyDescent="0.4">
      <c r="A42" s="55"/>
      <c r="B42" s="56"/>
      <c r="C42" s="56"/>
      <c r="D42" s="73"/>
      <c r="E42" s="74" t="s">
        <v>29</v>
      </c>
      <c r="F42" s="75"/>
      <c r="G42" s="76"/>
      <c r="H42" s="66"/>
      <c r="I42" s="67"/>
      <c r="J42" s="68">
        <v>0</v>
      </c>
      <c r="K42" s="49"/>
      <c r="L42" s="61"/>
      <c r="M42" s="61"/>
      <c r="N42" s="61"/>
    </row>
    <row r="43" spans="1:14" ht="21.75" customHeight="1" x14ac:dyDescent="0.4">
      <c r="A43" s="55"/>
      <c r="B43" s="56"/>
      <c r="C43" s="56"/>
      <c r="D43" s="73"/>
      <c r="E43" s="75"/>
      <c r="F43" s="75" t="s">
        <v>41</v>
      </c>
      <c r="G43" s="75"/>
      <c r="H43" s="60" t="s">
        <v>42</v>
      </c>
      <c r="I43" s="48">
        <f ca="1">IFERROR(__xludf.DUMMYFUNCTION("IMPORTRANGE(""https://docs.google.com/spreadsheets/d/1C3CXT74ZlgGe6_JY_1olB1XN4rF0dxEuIIF-xsYjHgg/edit?usp=sharing"",""พรบ!R21"")"),1)</f>
        <v>1</v>
      </c>
      <c r="J43" s="68">
        <v>0</v>
      </c>
      <c r="K43" s="49">
        <f t="shared" ref="K43:K48" ca="1" si="11">IF(I43&gt;0,J43*100/I43,0)</f>
        <v>0</v>
      </c>
      <c r="L43" s="61"/>
      <c r="M43" s="61"/>
      <c r="N43" s="61"/>
    </row>
    <row r="44" spans="1:14" ht="21.75" customHeight="1" x14ac:dyDescent="0.4">
      <c r="A44" s="55"/>
      <c r="B44" s="56"/>
      <c r="C44" s="56"/>
      <c r="D44" s="73"/>
      <c r="E44" s="77"/>
      <c r="F44" s="74" t="s">
        <v>43</v>
      </c>
      <c r="G44" s="75"/>
      <c r="H44" s="60" t="s">
        <v>16</v>
      </c>
      <c r="I44" s="48">
        <f ca="1">IFERROR(__xludf.DUMMYFUNCTION("IMPORTRANGE(""https://docs.google.com/spreadsheets/d/1C3CXT74ZlgGe6_JY_1olB1XN4rF0dxEuIIF-xsYjHgg/edit?usp=sharing"",""พรบ!S21"")"),7)</f>
        <v>7</v>
      </c>
      <c r="J44" s="68">
        <v>0</v>
      </c>
      <c r="K44" s="49">
        <f t="shared" ca="1" si="11"/>
        <v>0</v>
      </c>
      <c r="L44" s="61"/>
      <c r="M44" s="61"/>
      <c r="N44" s="61"/>
    </row>
    <row r="45" spans="1:14" ht="21.75" customHeight="1" x14ac:dyDescent="0.4">
      <c r="A45" s="55"/>
      <c r="B45" s="56"/>
      <c r="C45" s="56"/>
      <c r="D45" s="73"/>
      <c r="E45" s="77"/>
      <c r="F45" s="75"/>
      <c r="G45" s="98" t="s">
        <v>44</v>
      </c>
      <c r="H45" s="60" t="s">
        <v>16</v>
      </c>
      <c r="I45" s="48">
        <f ca="1">IFERROR(__xludf.DUMMYFUNCTION("IMPORTRANGE(""https://docs.google.com/spreadsheets/d/1C3CXT74ZlgGe6_JY_1olB1XN4rF0dxEuIIF-xsYjHgg/edit?usp=sharing"",""พรบ!T21"")"),7)</f>
        <v>7</v>
      </c>
      <c r="J45" s="68">
        <v>0</v>
      </c>
      <c r="K45" s="49">
        <f t="shared" ca="1" si="11"/>
        <v>0</v>
      </c>
      <c r="L45" s="61"/>
      <c r="M45" s="61"/>
      <c r="N45" s="61"/>
    </row>
    <row r="46" spans="1:14" ht="21.75" customHeight="1" x14ac:dyDescent="0.4">
      <c r="A46" s="55"/>
      <c r="B46" s="56"/>
      <c r="C46" s="56"/>
      <c r="D46" s="73"/>
      <c r="E46" s="77"/>
      <c r="F46" s="75"/>
      <c r="G46" s="98" t="s">
        <v>45</v>
      </c>
      <c r="H46" s="60" t="s">
        <v>16</v>
      </c>
      <c r="I46" s="48">
        <f ca="1">IFERROR(__xludf.DUMMYFUNCTION("IMPORTRANGE(""https://docs.google.com/spreadsheets/d/1C3CXT74ZlgGe6_JY_1olB1XN4rF0dxEuIIF-xsYjHgg/edit?usp=sharing"",""พรบ!U21"")"),7)</f>
        <v>7</v>
      </c>
      <c r="J46" s="68">
        <v>0</v>
      </c>
      <c r="K46" s="49">
        <f t="shared" ca="1" si="11"/>
        <v>0</v>
      </c>
      <c r="L46" s="61"/>
      <c r="M46" s="61"/>
      <c r="N46" s="61"/>
    </row>
    <row r="47" spans="1:14" ht="21.75" customHeight="1" x14ac:dyDescent="0.4">
      <c r="A47" s="55"/>
      <c r="B47" s="56"/>
      <c r="C47" s="56"/>
      <c r="D47" s="73"/>
      <c r="E47" s="77"/>
      <c r="F47" s="75"/>
      <c r="G47" s="99" t="s">
        <v>46</v>
      </c>
      <c r="H47" s="60" t="s">
        <v>16</v>
      </c>
      <c r="I47" s="48">
        <f ca="1">IFERROR(__xludf.DUMMYFUNCTION("IMPORTRANGE(""https://docs.google.com/spreadsheets/d/1C3CXT74ZlgGe6_JY_1olB1XN4rF0dxEuIIF-xsYjHgg/edit?usp=sharing"",""พรบ!V21"")"),7)</f>
        <v>7</v>
      </c>
      <c r="J47" s="68">
        <v>0</v>
      </c>
      <c r="K47" s="49">
        <f t="shared" ca="1" si="11"/>
        <v>0</v>
      </c>
      <c r="L47" s="61"/>
      <c r="M47" s="61"/>
      <c r="N47" s="61"/>
    </row>
    <row r="48" spans="1:14" ht="21.75" customHeight="1" x14ac:dyDescent="0.4">
      <c r="A48" s="55"/>
      <c r="B48" s="56"/>
      <c r="C48" s="56"/>
      <c r="D48" s="73"/>
      <c r="E48" s="77"/>
      <c r="F48" s="75" t="s">
        <v>47</v>
      </c>
      <c r="G48" s="75"/>
      <c r="H48" s="60" t="s">
        <v>40</v>
      </c>
      <c r="I48" s="48">
        <f ca="1">IFERROR(__xludf.DUMMYFUNCTION("IMPORTRANGE(""https://docs.google.com/spreadsheets/d/1C3CXT74ZlgGe6_JY_1olB1XN4rF0dxEuIIF-xsYjHgg/edit?usp=sharing"",""พรบ!W21"")"),2)</f>
        <v>2</v>
      </c>
      <c r="J48" s="68">
        <v>0</v>
      </c>
      <c r="K48" s="49">
        <f t="shared" ca="1" si="11"/>
        <v>0</v>
      </c>
      <c r="L48" s="61"/>
      <c r="M48" s="61"/>
      <c r="N48" s="61"/>
    </row>
    <row r="49" spans="1:14" ht="21.75" customHeight="1" x14ac:dyDescent="0.4">
      <c r="A49" s="55"/>
      <c r="B49" s="56"/>
      <c r="C49" s="56"/>
      <c r="D49" s="73"/>
      <c r="E49" s="74" t="s">
        <v>35</v>
      </c>
      <c r="F49" s="75"/>
      <c r="G49" s="76"/>
      <c r="H49" s="66"/>
      <c r="I49" s="67"/>
      <c r="J49" s="68">
        <v>0</v>
      </c>
      <c r="K49" s="49"/>
      <c r="L49" s="61"/>
      <c r="M49" s="61"/>
      <c r="N49" s="61"/>
    </row>
    <row r="50" spans="1:14" ht="21.75" customHeight="1" x14ac:dyDescent="0.4">
      <c r="A50" s="55"/>
      <c r="B50" s="56"/>
      <c r="C50" s="56"/>
      <c r="D50" s="81">
        <v>3</v>
      </c>
      <c r="E50" s="82" t="s">
        <v>36</v>
      </c>
      <c r="F50" s="83"/>
      <c r="G50" s="84"/>
      <c r="H50" s="66"/>
      <c r="I50" s="67"/>
      <c r="J50" s="85">
        <v>0</v>
      </c>
      <c r="K50" s="49"/>
      <c r="L50" s="61"/>
      <c r="M50" s="61"/>
      <c r="N50" s="61"/>
    </row>
    <row r="51" spans="1:14" ht="21.75" customHeight="1" x14ac:dyDescent="0.4">
      <c r="A51" s="86" t="s">
        <v>48</v>
      </c>
      <c r="B51" s="100"/>
      <c r="C51" s="101"/>
      <c r="D51" s="100"/>
      <c r="E51" s="102"/>
      <c r="F51" s="102"/>
      <c r="G51" s="103"/>
      <c r="H51" s="91"/>
      <c r="I51" s="92"/>
      <c r="J51" s="92"/>
      <c r="K51" s="93"/>
      <c r="L51" s="94"/>
      <c r="M51" s="94"/>
      <c r="N51" s="95"/>
    </row>
    <row r="52" spans="1:14" ht="21.75" customHeight="1" x14ac:dyDescent="0.4">
      <c r="A52" s="34"/>
      <c r="B52" s="35" t="s">
        <v>49</v>
      </c>
      <c r="C52" s="104"/>
      <c r="D52" s="36"/>
      <c r="E52" s="35"/>
      <c r="F52" s="35"/>
      <c r="G52" s="96"/>
      <c r="H52" s="37" t="s">
        <v>16</v>
      </c>
      <c r="I52" s="38">
        <f ca="1">I62</f>
        <v>0</v>
      </c>
      <c r="J52" s="38">
        <f>+J62</f>
        <v>0</v>
      </c>
      <c r="K52" s="41">
        <f ca="1">IF(I52&gt;0,J52*100/I52,0)</f>
        <v>0</v>
      </c>
      <c r="L52" s="40">
        <f ca="1">L53+L54</f>
        <v>0</v>
      </c>
      <c r="M52" s="40">
        <f>SUM(M53:M54)</f>
        <v>0</v>
      </c>
      <c r="N52" s="41">
        <f ca="1">IF(L52&gt;0,M52*100/L52,0)</f>
        <v>0</v>
      </c>
    </row>
    <row r="53" spans="1:14" ht="21.75" customHeight="1" x14ac:dyDescent="0.4">
      <c r="A53" s="42"/>
      <c r="B53" s="43"/>
      <c r="C53" s="43" t="s">
        <v>17</v>
      </c>
      <c r="D53" s="44" t="s">
        <v>18</v>
      </c>
      <c r="E53" s="45"/>
      <c r="F53" s="45"/>
      <c r="G53" s="46" t="s">
        <v>19</v>
      </c>
      <c r="H53" s="47" t="s">
        <v>20</v>
      </c>
      <c r="I53" s="48" t="s">
        <v>21</v>
      </c>
      <c r="J53" s="48"/>
      <c r="K53" s="49"/>
      <c r="L53" s="50">
        <v>0</v>
      </c>
      <c r="M53" s="50">
        <v>0</v>
      </c>
      <c r="N53" s="50">
        <f t="shared" ref="N53:N56" si="12">+IF(L53&gt;0,M53*100/L53,0)</f>
        <v>0</v>
      </c>
    </row>
    <row r="54" spans="1:14" ht="21.75" customHeight="1" x14ac:dyDescent="0.4">
      <c r="A54" s="42"/>
      <c r="B54" s="43"/>
      <c r="C54" s="43"/>
      <c r="D54" s="51"/>
      <c r="E54" s="45"/>
      <c r="F54" s="45" t="s">
        <v>21</v>
      </c>
      <c r="G54" s="46" t="s">
        <v>22</v>
      </c>
      <c r="H54" s="47" t="s">
        <v>20</v>
      </c>
      <c r="I54" s="48"/>
      <c r="J54" s="48"/>
      <c r="K54" s="49"/>
      <c r="L54" s="50">
        <f t="shared" ref="L54:M54" ca="1" si="13">SUM(L55:L56)</f>
        <v>0</v>
      </c>
      <c r="M54" s="50">
        <f t="shared" si="13"/>
        <v>0</v>
      </c>
      <c r="N54" s="50">
        <f t="shared" ca="1" si="12"/>
        <v>0</v>
      </c>
    </row>
    <row r="55" spans="1:14" ht="21.75" customHeight="1" x14ac:dyDescent="0.4">
      <c r="A55" s="42"/>
      <c r="B55" s="43"/>
      <c r="C55" s="43"/>
      <c r="D55" s="51"/>
      <c r="E55" s="45"/>
      <c r="F55" s="45"/>
      <c r="G55" s="52" t="s">
        <v>23</v>
      </c>
      <c r="H55" s="47" t="s">
        <v>20</v>
      </c>
      <c r="I55" s="48"/>
      <c r="J55" s="48"/>
      <c r="K55" s="49"/>
      <c r="L55" s="53">
        <f ca="1">IFERROR(__xludf.DUMMYFUNCTION("IMPORTRANGE(""https://docs.google.com/spreadsheets/d/1C3CXT74ZlgGe6_JY_1olB1XN4rF0dxEuIIF-xsYjHgg/edit?usp=sharing"",""พรบ!Y21"")"),0)</f>
        <v>0</v>
      </c>
      <c r="M55" s="53">
        <v>0</v>
      </c>
      <c r="N55" s="53">
        <f t="shared" ca="1" si="12"/>
        <v>0</v>
      </c>
    </row>
    <row r="56" spans="1:14" ht="21.75" customHeight="1" x14ac:dyDescent="0.4">
      <c r="A56" s="42"/>
      <c r="B56" s="43"/>
      <c r="C56" s="43"/>
      <c r="D56" s="51"/>
      <c r="E56" s="45"/>
      <c r="F56" s="45"/>
      <c r="G56" s="52" t="s">
        <v>24</v>
      </c>
      <c r="H56" s="47" t="s">
        <v>20</v>
      </c>
      <c r="I56" s="48"/>
      <c r="J56" s="67"/>
      <c r="K56" s="233"/>
      <c r="L56" s="53">
        <f ca="1">IFERROR(__xludf.DUMMYFUNCTION("IMPORTRANGE(""https://docs.google.com/spreadsheets/d/1C3CXT74ZlgGe6_JY_1olB1XN4rF0dxEuIIF-xsYjHgg/edit?usp=sharing"",""พรบ!Z21"")"),0)</f>
        <v>0</v>
      </c>
      <c r="M56" s="53">
        <v>0</v>
      </c>
      <c r="N56" s="53">
        <f t="shared" ca="1" si="12"/>
        <v>0</v>
      </c>
    </row>
    <row r="57" spans="1:14" ht="21.75" customHeight="1" x14ac:dyDescent="0.4">
      <c r="A57" s="55"/>
      <c r="B57" s="56"/>
      <c r="C57" s="43" t="s">
        <v>17</v>
      </c>
      <c r="D57" s="57" t="s">
        <v>250</v>
      </c>
      <c r="E57" s="58"/>
      <c r="F57" s="58"/>
      <c r="G57" s="59"/>
      <c r="H57" s="60"/>
      <c r="I57" s="48"/>
      <c r="J57" s="67"/>
      <c r="K57" s="233"/>
      <c r="L57" s="53"/>
      <c r="M57" s="53"/>
      <c r="N57" s="61"/>
    </row>
    <row r="58" spans="1:14" ht="21.75" customHeight="1" x14ac:dyDescent="0.4">
      <c r="A58" s="55"/>
      <c r="B58" s="56"/>
      <c r="C58" s="56"/>
      <c r="D58" s="62">
        <v>1</v>
      </c>
      <c r="E58" s="63" t="s">
        <v>26</v>
      </c>
      <c r="F58" s="64"/>
      <c r="G58" s="65"/>
      <c r="H58" s="66"/>
      <c r="I58" s="67"/>
      <c r="J58" s="67">
        <v>0</v>
      </c>
      <c r="K58" s="233"/>
      <c r="L58" s="53"/>
      <c r="M58" s="53"/>
      <c r="N58" s="61"/>
    </row>
    <row r="59" spans="1:14" ht="21.75" customHeight="1" x14ac:dyDescent="0.4">
      <c r="A59" s="55"/>
      <c r="B59" s="56"/>
      <c r="C59" s="56"/>
      <c r="D59" s="69">
        <v>2</v>
      </c>
      <c r="E59" s="70" t="s">
        <v>27</v>
      </c>
      <c r="F59" s="71"/>
      <c r="G59" s="72"/>
      <c r="H59" s="66"/>
      <c r="I59" s="67"/>
      <c r="J59" s="67">
        <v>0</v>
      </c>
      <c r="K59" s="233"/>
      <c r="L59" s="53" t="s">
        <v>21</v>
      </c>
      <c r="M59" s="53" t="s">
        <v>21</v>
      </c>
      <c r="N59" s="61"/>
    </row>
    <row r="60" spans="1:14" ht="21.75" customHeight="1" x14ac:dyDescent="0.4">
      <c r="A60" s="55"/>
      <c r="B60" s="56"/>
      <c r="C60" s="56"/>
      <c r="D60" s="73"/>
      <c r="E60" s="74" t="s">
        <v>28</v>
      </c>
      <c r="F60" s="75"/>
      <c r="G60" s="76"/>
      <c r="H60" s="66"/>
      <c r="I60" s="67"/>
      <c r="J60" s="67">
        <v>0</v>
      </c>
      <c r="K60" s="233"/>
      <c r="L60" s="53"/>
      <c r="M60" s="53"/>
      <c r="N60" s="61"/>
    </row>
    <row r="61" spans="1:14" ht="21.75" customHeight="1" x14ac:dyDescent="0.4">
      <c r="A61" s="55"/>
      <c r="B61" s="56"/>
      <c r="C61" s="56"/>
      <c r="D61" s="73"/>
      <c r="E61" s="74" t="s">
        <v>29</v>
      </c>
      <c r="F61" s="75"/>
      <c r="G61" s="76"/>
      <c r="H61" s="66"/>
      <c r="I61" s="67"/>
      <c r="J61" s="67">
        <v>0</v>
      </c>
      <c r="K61" s="233"/>
      <c r="L61" s="53"/>
      <c r="M61" s="53"/>
      <c r="N61" s="61"/>
    </row>
    <row r="62" spans="1:14" ht="21.75" customHeight="1" x14ac:dyDescent="0.4">
      <c r="A62" s="55"/>
      <c r="B62" s="56"/>
      <c r="C62" s="56"/>
      <c r="D62" s="73"/>
      <c r="E62" s="77"/>
      <c r="F62" s="74" t="s">
        <v>50</v>
      </c>
      <c r="G62" s="76"/>
      <c r="H62" s="60" t="s">
        <v>16</v>
      </c>
      <c r="I62" s="67">
        <f ca="1">IFERROR(__xludf.DUMMYFUNCTION("IMPORTRANGE(""https://docs.google.com/spreadsheets/d/1C3CXT74ZlgGe6_JY_1olB1XN4rF0dxEuIIF-xsYjHgg/edit?usp=sharing"",""พรบ!AA21"")"),0)</f>
        <v>0</v>
      </c>
      <c r="J62" s="67">
        <v>0</v>
      </c>
      <c r="K62" s="233">
        <f t="shared" ref="K62:K63" ca="1" si="14">IF(I62&gt;0,J62*100/I62,0)</f>
        <v>0</v>
      </c>
      <c r="L62" s="53"/>
      <c r="M62" s="53"/>
      <c r="N62" s="61"/>
    </row>
    <row r="63" spans="1:14" ht="21.75" customHeight="1" x14ac:dyDescent="0.4">
      <c r="A63" s="55"/>
      <c r="B63" s="56"/>
      <c r="C63" s="56"/>
      <c r="D63" s="73"/>
      <c r="E63" s="77"/>
      <c r="F63" s="74" t="s">
        <v>51</v>
      </c>
      <c r="G63" s="76"/>
      <c r="H63" s="60" t="s">
        <v>16</v>
      </c>
      <c r="I63" s="67">
        <f ca="1">I62</f>
        <v>0</v>
      </c>
      <c r="J63" s="67">
        <v>0</v>
      </c>
      <c r="K63" s="233">
        <f t="shared" ca="1" si="14"/>
        <v>0</v>
      </c>
      <c r="L63" s="53"/>
      <c r="M63" s="53"/>
      <c r="N63" s="61"/>
    </row>
    <row r="64" spans="1:14" ht="21.75" customHeight="1" x14ac:dyDescent="0.4">
      <c r="A64" s="55"/>
      <c r="B64" s="56"/>
      <c r="C64" s="56"/>
      <c r="D64" s="73"/>
      <c r="E64" s="74" t="s">
        <v>35</v>
      </c>
      <c r="F64" s="75"/>
      <c r="G64" s="76"/>
      <c r="H64" s="66"/>
      <c r="I64" s="67"/>
      <c r="J64" s="67">
        <v>0</v>
      </c>
      <c r="K64" s="233"/>
      <c r="L64" s="53"/>
      <c r="M64" s="53"/>
      <c r="N64" s="61"/>
    </row>
    <row r="65" spans="1:14" ht="21.75" customHeight="1" x14ac:dyDescent="0.4">
      <c r="A65" s="105"/>
      <c r="B65" s="106"/>
      <c r="C65" s="106"/>
      <c r="D65" s="107">
        <v>3</v>
      </c>
      <c r="E65" s="108" t="s">
        <v>36</v>
      </c>
      <c r="F65" s="109"/>
      <c r="G65" s="110"/>
      <c r="H65" s="111"/>
      <c r="I65" s="112"/>
      <c r="J65" s="356">
        <v>0</v>
      </c>
      <c r="K65" s="357"/>
      <c r="L65" s="358"/>
      <c r="M65" s="358"/>
      <c r="N65" s="115"/>
    </row>
    <row r="66" spans="1:14" ht="21.75" customHeight="1" x14ac:dyDescent="0.4">
      <c r="A66" s="116" t="s">
        <v>52</v>
      </c>
      <c r="B66" s="117"/>
      <c r="C66" s="117"/>
      <c r="D66" s="117"/>
      <c r="E66" s="118"/>
      <c r="F66" s="118"/>
      <c r="G66" s="119"/>
      <c r="H66" s="120"/>
      <c r="I66" s="121"/>
      <c r="J66" s="121"/>
      <c r="K66" s="122"/>
      <c r="L66" s="123"/>
      <c r="M66" s="123"/>
      <c r="N66" s="123"/>
    </row>
    <row r="67" spans="1:14" ht="21.75" customHeight="1" x14ac:dyDescent="0.4">
      <c r="A67" s="124" t="s">
        <v>53</v>
      </c>
      <c r="B67" s="125"/>
      <c r="C67" s="125"/>
      <c r="D67" s="126"/>
      <c r="E67" s="126"/>
      <c r="F67" s="126"/>
      <c r="G67" s="127"/>
      <c r="H67" s="128"/>
      <c r="I67" s="129"/>
      <c r="J67" s="129"/>
      <c r="K67" s="130"/>
      <c r="L67" s="130"/>
      <c r="M67" s="130"/>
      <c r="N67" s="131"/>
    </row>
    <row r="68" spans="1:14" ht="21.75" customHeight="1" x14ac:dyDescent="0.4">
      <c r="A68" s="132"/>
      <c r="B68" s="133" t="s">
        <v>54</v>
      </c>
      <c r="C68" s="134"/>
      <c r="D68" s="133"/>
      <c r="E68" s="133"/>
      <c r="F68" s="133"/>
      <c r="G68" s="135"/>
      <c r="H68" s="136" t="s">
        <v>16</v>
      </c>
      <c r="I68" s="137">
        <f t="shared" ref="I68:J68" ca="1" si="15">I126+I129</f>
        <v>15</v>
      </c>
      <c r="J68" s="137">
        <f t="shared" si="15"/>
        <v>0</v>
      </c>
      <c r="K68" s="138">
        <f ca="1">IF(I68&gt;0,J68*100/I68,0)</f>
        <v>0</v>
      </c>
      <c r="L68" s="139">
        <f t="shared" ref="L68:M68" ca="1" si="16">SUM(L70:L71)</f>
        <v>579900</v>
      </c>
      <c r="M68" s="139">
        <f t="shared" si="16"/>
        <v>0</v>
      </c>
      <c r="N68" s="138">
        <f ca="1">IF(L68&gt;0,M68*100/L68,0)</f>
        <v>0</v>
      </c>
    </row>
    <row r="69" spans="1:14" ht="21.75" customHeight="1" x14ac:dyDescent="0.4">
      <c r="A69" s="132"/>
      <c r="B69" s="133" t="s">
        <v>55</v>
      </c>
      <c r="C69" s="134"/>
      <c r="D69" s="133"/>
      <c r="E69" s="133"/>
      <c r="F69" s="133"/>
      <c r="G69" s="135"/>
      <c r="H69" s="136"/>
      <c r="I69" s="137"/>
      <c r="J69" s="137"/>
      <c r="K69" s="138"/>
      <c r="L69" s="139"/>
      <c r="M69" s="139"/>
      <c r="N69" s="138"/>
    </row>
    <row r="70" spans="1:14" ht="21.75" customHeight="1" x14ac:dyDescent="0.4">
      <c r="A70" s="42"/>
      <c r="B70" s="43"/>
      <c r="C70" s="43" t="s">
        <v>17</v>
      </c>
      <c r="D70" s="44" t="s">
        <v>18</v>
      </c>
      <c r="E70" s="45"/>
      <c r="F70" s="45"/>
      <c r="G70" s="46" t="s">
        <v>19</v>
      </c>
      <c r="H70" s="47" t="s">
        <v>20</v>
      </c>
      <c r="I70" s="48" t="s">
        <v>21</v>
      </c>
      <c r="J70" s="48"/>
      <c r="K70" s="49"/>
      <c r="L70" s="50">
        <v>0</v>
      </c>
      <c r="M70" s="50">
        <v>0</v>
      </c>
      <c r="N70" s="50">
        <f t="shared" ref="N70:N77" si="17">+IF(L70&gt;0,M70*100/L70,0)</f>
        <v>0</v>
      </c>
    </row>
    <row r="71" spans="1:14" ht="21.75" customHeight="1" x14ac:dyDescent="0.4">
      <c r="A71" s="42"/>
      <c r="B71" s="43"/>
      <c r="C71" s="43"/>
      <c r="D71" s="51"/>
      <c r="E71" s="45"/>
      <c r="F71" s="45" t="s">
        <v>21</v>
      </c>
      <c r="G71" s="46" t="s">
        <v>22</v>
      </c>
      <c r="H71" s="47" t="s">
        <v>20</v>
      </c>
      <c r="I71" s="48"/>
      <c r="J71" s="48"/>
      <c r="K71" s="49"/>
      <c r="L71" s="50">
        <f ca="1">L72+L73</f>
        <v>579900</v>
      </c>
      <c r="M71" s="140">
        <f>SUM(M72:M73)</f>
        <v>0</v>
      </c>
      <c r="N71" s="50">
        <f t="shared" ca="1" si="17"/>
        <v>0</v>
      </c>
    </row>
    <row r="72" spans="1:14" ht="21.75" customHeight="1" x14ac:dyDescent="0.4">
      <c r="A72" s="42"/>
      <c r="B72" s="43"/>
      <c r="C72" s="43"/>
      <c r="D72" s="51"/>
      <c r="E72" s="45"/>
      <c r="F72" s="45"/>
      <c r="G72" s="52" t="s">
        <v>23</v>
      </c>
      <c r="H72" s="47" t="s">
        <v>20</v>
      </c>
      <c r="I72" s="48"/>
      <c r="J72" s="48"/>
      <c r="K72" s="49"/>
      <c r="L72" s="53">
        <f ca="1">IFERROR(__xludf.DUMMYFUNCTION("IMPORTRANGE(""https://docs.google.com/spreadsheets/d/1C3CXT74ZlgGe6_JY_1olB1XN4rF0dxEuIIF-xsYjHgg/edit?usp=sharing"",""พรบ!AD21"")"),463400)</f>
        <v>463400</v>
      </c>
      <c r="M72" s="54">
        <v>0</v>
      </c>
      <c r="N72" s="53">
        <f t="shared" ca="1" si="17"/>
        <v>0</v>
      </c>
    </row>
    <row r="73" spans="1:14" ht="21.75" customHeight="1" x14ac:dyDescent="0.4">
      <c r="A73" s="42"/>
      <c r="B73" s="43"/>
      <c r="C73" s="43"/>
      <c r="D73" s="51"/>
      <c r="E73" s="45"/>
      <c r="F73" s="45"/>
      <c r="G73" s="52" t="s">
        <v>24</v>
      </c>
      <c r="H73" s="47" t="s">
        <v>20</v>
      </c>
      <c r="I73" s="48"/>
      <c r="J73" s="48"/>
      <c r="K73" s="49"/>
      <c r="L73" s="53">
        <f t="shared" ref="L73:M73" ca="1" si="18">L77+L92+L104+L117+L132</f>
        <v>116500</v>
      </c>
      <c r="M73" s="53">
        <f t="shared" si="18"/>
        <v>0</v>
      </c>
      <c r="N73" s="53">
        <f t="shared" ca="1" si="17"/>
        <v>0</v>
      </c>
    </row>
    <row r="74" spans="1:14" ht="21.75" customHeight="1" x14ac:dyDescent="0.4">
      <c r="A74" s="141"/>
      <c r="B74" s="142"/>
      <c r="C74" s="143" t="s">
        <v>56</v>
      </c>
      <c r="D74" s="143"/>
      <c r="E74" s="143"/>
      <c r="F74" s="143"/>
      <c r="G74" s="144"/>
      <c r="H74" s="145" t="s">
        <v>57</v>
      </c>
      <c r="I74" s="146">
        <f t="shared" ref="I74:J74" ca="1" si="19">I83</f>
        <v>4</v>
      </c>
      <c r="J74" s="146">
        <f t="shared" si="19"/>
        <v>0</v>
      </c>
      <c r="K74" s="147">
        <f ca="1">IF(I74&gt;0,J74*100/I74,0)</f>
        <v>0</v>
      </c>
      <c r="L74" s="148">
        <f ca="1">L75+L76</f>
        <v>7500</v>
      </c>
      <c r="M74" s="148">
        <f>SUM(M75:M76)</f>
        <v>0</v>
      </c>
      <c r="N74" s="148">
        <f t="shared" ca="1" si="17"/>
        <v>0</v>
      </c>
    </row>
    <row r="75" spans="1:14" ht="21.75" customHeight="1" x14ac:dyDescent="0.4">
      <c r="A75" s="42"/>
      <c r="B75" s="43"/>
      <c r="C75" s="43" t="s">
        <v>17</v>
      </c>
      <c r="D75" s="44" t="s">
        <v>18</v>
      </c>
      <c r="E75" s="45"/>
      <c r="F75" s="45"/>
      <c r="G75" s="46" t="s">
        <v>19</v>
      </c>
      <c r="H75" s="47" t="s">
        <v>20</v>
      </c>
      <c r="I75" s="48" t="s">
        <v>21</v>
      </c>
      <c r="J75" s="48"/>
      <c r="K75" s="49"/>
      <c r="L75" s="50">
        <v>0</v>
      </c>
      <c r="M75" s="50">
        <v>0</v>
      </c>
      <c r="N75" s="50">
        <f t="shared" si="17"/>
        <v>0</v>
      </c>
    </row>
    <row r="76" spans="1:14" ht="21.75" customHeight="1" x14ac:dyDescent="0.4">
      <c r="A76" s="42"/>
      <c r="B76" s="43"/>
      <c r="C76" s="43"/>
      <c r="D76" s="51"/>
      <c r="E76" s="45"/>
      <c r="F76" s="45" t="s">
        <v>21</v>
      </c>
      <c r="G76" s="46" t="s">
        <v>22</v>
      </c>
      <c r="H76" s="47" t="s">
        <v>20</v>
      </c>
      <c r="I76" s="48"/>
      <c r="J76" s="48"/>
      <c r="K76" s="49"/>
      <c r="L76" s="50">
        <f t="shared" ref="L76:M76" ca="1" si="20">L77</f>
        <v>7500</v>
      </c>
      <c r="M76" s="50">
        <f t="shared" si="20"/>
        <v>0</v>
      </c>
      <c r="N76" s="50">
        <f t="shared" ca="1" si="17"/>
        <v>0</v>
      </c>
    </row>
    <row r="77" spans="1:14" ht="21.75" customHeight="1" x14ac:dyDescent="0.4">
      <c r="A77" s="42"/>
      <c r="B77" s="43"/>
      <c r="C77" s="43"/>
      <c r="D77" s="51"/>
      <c r="E77" s="45"/>
      <c r="F77" s="45"/>
      <c r="G77" s="52" t="s">
        <v>24</v>
      </c>
      <c r="H77" s="47" t="s">
        <v>20</v>
      </c>
      <c r="I77" s="48"/>
      <c r="J77" s="48"/>
      <c r="K77" s="49"/>
      <c r="L77" s="53">
        <f ca="1">IFERROR(__xludf.DUMMYFUNCTION("IMPORTRANGE(""https://docs.google.com/spreadsheets/d/1C3CXT74ZlgGe6_JY_1olB1XN4rF0dxEuIIF-xsYjHgg/edit?usp=sharing"",""พรบ!AF21"")"),7500)</f>
        <v>7500</v>
      </c>
      <c r="M77" s="54">
        <v>0</v>
      </c>
      <c r="N77" s="53">
        <f t="shared" ca="1" si="17"/>
        <v>0</v>
      </c>
    </row>
    <row r="78" spans="1:14" ht="21.75" customHeight="1" x14ac:dyDescent="0.4">
      <c r="A78" s="55"/>
      <c r="B78" s="56"/>
      <c r="C78" s="43" t="s">
        <v>17</v>
      </c>
      <c r="D78" s="57" t="s">
        <v>25</v>
      </c>
      <c r="E78" s="58"/>
      <c r="F78" s="58"/>
      <c r="G78" s="59"/>
      <c r="H78" s="60"/>
      <c r="I78" s="48"/>
      <c r="J78" s="48"/>
      <c r="K78" s="49"/>
      <c r="L78" s="61"/>
      <c r="M78" s="61"/>
      <c r="N78" s="61"/>
    </row>
    <row r="79" spans="1:14" ht="21.75" customHeight="1" x14ac:dyDescent="0.4">
      <c r="A79" s="55"/>
      <c r="B79" s="56"/>
      <c r="C79" s="56"/>
      <c r="D79" s="62">
        <v>1</v>
      </c>
      <c r="E79" s="63" t="s">
        <v>26</v>
      </c>
      <c r="F79" s="64"/>
      <c r="G79" s="65"/>
      <c r="H79" s="66"/>
      <c r="I79" s="67"/>
      <c r="J79" s="68">
        <v>1</v>
      </c>
      <c r="K79" s="49"/>
      <c r="L79" s="61"/>
      <c r="M79" s="61"/>
      <c r="N79" s="61"/>
    </row>
    <row r="80" spans="1:14" ht="21.75" customHeight="1" x14ac:dyDescent="0.4">
      <c r="A80" s="55"/>
      <c r="B80" s="56"/>
      <c r="C80" s="56"/>
      <c r="D80" s="69">
        <v>2</v>
      </c>
      <c r="E80" s="70" t="s">
        <v>27</v>
      </c>
      <c r="F80" s="71"/>
      <c r="G80" s="72"/>
      <c r="H80" s="66"/>
      <c r="I80" s="67"/>
      <c r="J80" s="68">
        <v>0</v>
      </c>
      <c r="K80" s="49"/>
      <c r="L80" s="61" t="s">
        <v>21</v>
      </c>
      <c r="M80" s="61" t="s">
        <v>21</v>
      </c>
      <c r="N80" s="61"/>
    </row>
    <row r="81" spans="1:14" ht="21.75" customHeight="1" x14ac:dyDescent="0.4">
      <c r="A81" s="55"/>
      <c r="B81" s="56"/>
      <c r="C81" s="56"/>
      <c r="D81" s="73"/>
      <c r="E81" s="74" t="s">
        <v>28</v>
      </c>
      <c r="F81" s="75"/>
      <c r="G81" s="76"/>
      <c r="H81" s="66"/>
      <c r="I81" s="67"/>
      <c r="J81" s="68">
        <v>0</v>
      </c>
      <c r="K81" s="49"/>
      <c r="L81" s="61"/>
      <c r="M81" s="61"/>
      <c r="N81" s="61"/>
    </row>
    <row r="82" spans="1:14" ht="21.75" customHeight="1" x14ac:dyDescent="0.4">
      <c r="A82" s="55"/>
      <c r="B82" s="56"/>
      <c r="C82" s="56"/>
      <c r="D82" s="73"/>
      <c r="E82" s="74" t="s">
        <v>29</v>
      </c>
      <c r="F82" s="75"/>
      <c r="G82" s="76"/>
      <c r="H82" s="66"/>
      <c r="I82" s="67"/>
      <c r="J82" s="68">
        <v>0</v>
      </c>
      <c r="K82" s="49"/>
      <c r="L82" s="61"/>
      <c r="M82" s="61"/>
      <c r="N82" s="61"/>
    </row>
    <row r="83" spans="1:14" ht="21.75" customHeight="1" x14ac:dyDescent="0.4">
      <c r="A83" s="55"/>
      <c r="B83" s="56"/>
      <c r="C83" s="56"/>
      <c r="D83" s="73"/>
      <c r="E83" s="77"/>
      <c r="F83" s="74" t="s">
        <v>58</v>
      </c>
      <c r="G83" s="76"/>
      <c r="H83" s="60" t="s">
        <v>57</v>
      </c>
      <c r="I83" s="67">
        <f ca="1">IFERROR(__xludf.DUMMYFUNCTION("IMPORTRANGE(""https://docs.google.com/spreadsheets/d/1C3CXT74ZlgGe6_JY_1olB1XN4rF0dxEuIIF-xsYjHgg/edit?usp=sharing"",""พรบ!AG21"")"),4)</f>
        <v>4</v>
      </c>
      <c r="J83" s="68">
        <v>0</v>
      </c>
      <c r="K83" s="49">
        <f ca="1">IF(I83&gt;0,J83*100/I83,0)</f>
        <v>0</v>
      </c>
      <c r="L83" s="61"/>
      <c r="M83" s="61"/>
      <c r="N83" s="61"/>
    </row>
    <row r="84" spans="1:14" ht="21.75" customHeight="1" x14ac:dyDescent="0.4">
      <c r="A84" s="55"/>
      <c r="B84" s="56"/>
      <c r="C84" s="56"/>
      <c r="D84" s="73"/>
      <c r="E84" s="75"/>
      <c r="F84" s="75" t="s">
        <v>59</v>
      </c>
      <c r="G84" s="76"/>
      <c r="H84" s="66" t="s">
        <v>16</v>
      </c>
      <c r="I84" s="67"/>
      <c r="J84" s="67">
        <f>J85+J86</f>
        <v>0</v>
      </c>
      <c r="K84" s="49"/>
      <c r="L84" s="61"/>
      <c r="M84" s="61"/>
      <c r="N84" s="61"/>
    </row>
    <row r="85" spans="1:14" ht="21.75" customHeight="1" x14ac:dyDescent="0.4">
      <c r="A85" s="55"/>
      <c r="B85" s="56"/>
      <c r="C85" s="56"/>
      <c r="D85" s="73"/>
      <c r="E85" s="75"/>
      <c r="F85" s="75"/>
      <c r="G85" s="76" t="s">
        <v>60</v>
      </c>
      <c r="H85" s="66" t="s">
        <v>16</v>
      </c>
      <c r="I85" s="67"/>
      <c r="J85" s="68">
        <v>0</v>
      </c>
      <c r="K85" s="49"/>
      <c r="L85" s="61"/>
      <c r="M85" s="61"/>
      <c r="N85" s="61"/>
    </row>
    <row r="86" spans="1:14" ht="21.75" customHeight="1" x14ac:dyDescent="0.4">
      <c r="A86" s="55"/>
      <c r="B86" s="56"/>
      <c r="C86" s="56"/>
      <c r="D86" s="73"/>
      <c r="E86" s="75"/>
      <c r="F86" s="75"/>
      <c r="G86" s="76" t="s">
        <v>61</v>
      </c>
      <c r="H86" s="66" t="s">
        <v>16</v>
      </c>
      <c r="I86" s="67"/>
      <c r="J86" s="68">
        <v>0</v>
      </c>
      <c r="K86" s="49"/>
      <c r="L86" s="61"/>
      <c r="M86" s="61"/>
      <c r="N86" s="61"/>
    </row>
    <row r="87" spans="1:14" ht="21.75" customHeight="1" x14ac:dyDescent="0.4">
      <c r="A87" s="55"/>
      <c r="B87" s="56"/>
      <c r="C87" s="56"/>
      <c r="D87" s="73"/>
      <c r="E87" s="74" t="s">
        <v>35</v>
      </c>
      <c r="F87" s="75"/>
      <c r="G87" s="76"/>
      <c r="H87" s="66"/>
      <c r="I87" s="67"/>
      <c r="J87" s="68">
        <v>0</v>
      </c>
      <c r="K87" s="49"/>
      <c r="L87" s="61"/>
      <c r="M87" s="61"/>
      <c r="N87" s="61"/>
    </row>
    <row r="88" spans="1:14" ht="21.75" customHeight="1" x14ac:dyDescent="0.4">
      <c r="A88" s="55"/>
      <c r="B88" s="56"/>
      <c r="C88" s="56"/>
      <c r="D88" s="81">
        <v>3</v>
      </c>
      <c r="E88" s="82" t="s">
        <v>36</v>
      </c>
      <c r="F88" s="83"/>
      <c r="G88" s="84"/>
      <c r="H88" s="66"/>
      <c r="I88" s="67"/>
      <c r="J88" s="85">
        <v>0</v>
      </c>
      <c r="K88" s="49"/>
      <c r="L88" s="61"/>
      <c r="M88" s="61"/>
      <c r="N88" s="61"/>
    </row>
    <row r="89" spans="1:14" ht="21.75" customHeight="1" x14ac:dyDescent="0.4">
      <c r="A89" s="141"/>
      <c r="B89" s="142"/>
      <c r="C89" s="143" t="s">
        <v>62</v>
      </c>
      <c r="D89" s="143"/>
      <c r="E89" s="143"/>
      <c r="F89" s="143"/>
      <c r="G89" s="144"/>
      <c r="H89" s="149" t="s">
        <v>63</v>
      </c>
      <c r="I89" s="150">
        <f t="shared" ref="I89:J89" ca="1" si="21">I98</f>
        <v>5</v>
      </c>
      <c r="J89" s="150">
        <f t="shared" si="21"/>
        <v>0</v>
      </c>
      <c r="K89" s="151">
        <f ca="1">IF(I89&gt;0,J89*100/I89,0)</f>
        <v>0</v>
      </c>
      <c r="L89" s="148">
        <f ca="1">L90+L91</f>
        <v>70000</v>
      </c>
      <c r="M89" s="148">
        <f>SUM(M90:M91)</f>
        <v>0</v>
      </c>
      <c r="N89" s="148">
        <f t="shared" ref="N89:N92" ca="1" si="22">+IF(L89&gt;0,M89*100/L89,0)</f>
        <v>0</v>
      </c>
    </row>
    <row r="90" spans="1:14" ht="21.75" customHeight="1" x14ac:dyDescent="0.4">
      <c r="A90" s="42"/>
      <c r="B90" s="43"/>
      <c r="C90" s="43" t="s">
        <v>17</v>
      </c>
      <c r="D90" s="44" t="s">
        <v>18</v>
      </c>
      <c r="E90" s="45"/>
      <c r="F90" s="45"/>
      <c r="G90" s="46" t="s">
        <v>19</v>
      </c>
      <c r="H90" s="47" t="s">
        <v>20</v>
      </c>
      <c r="I90" s="48" t="s">
        <v>21</v>
      </c>
      <c r="J90" s="48"/>
      <c r="K90" s="49"/>
      <c r="L90" s="50">
        <v>0</v>
      </c>
      <c r="M90" s="50">
        <v>0</v>
      </c>
      <c r="N90" s="50">
        <f t="shared" si="22"/>
        <v>0</v>
      </c>
    </row>
    <row r="91" spans="1:14" ht="21.75" customHeight="1" x14ac:dyDescent="0.4">
      <c r="A91" s="42"/>
      <c r="B91" s="43"/>
      <c r="C91" s="43"/>
      <c r="D91" s="51"/>
      <c r="E91" s="45"/>
      <c r="F91" s="45" t="s">
        <v>21</v>
      </c>
      <c r="G91" s="46" t="s">
        <v>22</v>
      </c>
      <c r="H91" s="47" t="s">
        <v>20</v>
      </c>
      <c r="I91" s="48"/>
      <c r="J91" s="48"/>
      <c r="K91" s="49"/>
      <c r="L91" s="50">
        <f t="shared" ref="L91:M91" ca="1" si="23">L92</f>
        <v>70000</v>
      </c>
      <c r="M91" s="50">
        <f t="shared" si="23"/>
        <v>0</v>
      </c>
      <c r="N91" s="50">
        <f t="shared" ca="1" si="22"/>
        <v>0</v>
      </c>
    </row>
    <row r="92" spans="1:14" ht="21.75" customHeight="1" x14ac:dyDescent="0.4">
      <c r="A92" s="42"/>
      <c r="B92" s="43"/>
      <c r="C92" s="43"/>
      <c r="D92" s="51"/>
      <c r="E92" s="45"/>
      <c r="F92" s="45"/>
      <c r="G92" s="52" t="s">
        <v>24</v>
      </c>
      <c r="H92" s="47" t="s">
        <v>20</v>
      </c>
      <c r="I92" s="48"/>
      <c r="J92" s="48"/>
      <c r="K92" s="49"/>
      <c r="L92" s="53">
        <f ca="1">IFERROR(__xludf.DUMMYFUNCTION("IMPORTRANGE(""https://docs.google.com/spreadsheets/d/1C3CXT74ZlgGe6_JY_1olB1XN4rF0dxEuIIF-xsYjHgg/edit?usp=sharing"",""พรบ!AH21"")"),70000)</f>
        <v>70000</v>
      </c>
      <c r="M92" s="54">
        <v>0</v>
      </c>
      <c r="N92" s="53">
        <f t="shared" ca="1" si="22"/>
        <v>0</v>
      </c>
    </row>
    <row r="93" spans="1:14" ht="21.75" customHeight="1" x14ac:dyDescent="0.4">
      <c r="A93" s="55"/>
      <c r="B93" s="56"/>
      <c r="C93" s="43" t="s">
        <v>17</v>
      </c>
      <c r="D93" s="57" t="s">
        <v>25</v>
      </c>
      <c r="E93" s="58"/>
      <c r="F93" s="58"/>
      <c r="G93" s="59"/>
      <c r="H93" s="60"/>
      <c r="I93" s="48"/>
      <c r="J93" s="48"/>
      <c r="K93" s="49"/>
      <c r="L93" s="61"/>
      <c r="M93" s="61"/>
      <c r="N93" s="61"/>
    </row>
    <row r="94" spans="1:14" ht="21.75" customHeight="1" x14ac:dyDescent="0.4">
      <c r="A94" s="55"/>
      <c r="B94" s="56"/>
      <c r="C94" s="56"/>
      <c r="D94" s="62">
        <v>1</v>
      </c>
      <c r="E94" s="63" t="s">
        <v>26</v>
      </c>
      <c r="F94" s="64"/>
      <c r="G94" s="65"/>
      <c r="H94" s="66"/>
      <c r="I94" s="67"/>
      <c r="J94" s="68">
        <v>1</v>
      </c>
      <c r="K94" s="49"/>
      <c r="L94" s="61"/>
      <c r="M94" s="61"/>
      <c r="N94" s="61"/>
    </row>
    <row r="95" spans="1:14" ht="21.75" customHeight="1" x14ac:dyDescent="0.4">
      <c r="A95" s="55"/>
      <c r="B95" s="56"/>
      <c r="C95" s="56"/>
      <c r="D95" s="69">
        <v>2</v>
      </c>
      <c r="E95" s="70" t="s">
        <v>27</v>
      </c>
      <c r="F95" s="71"/>
      <c r="G95" s="72"/>
      <c r="H95" s="66"/>
      <c r="I95" s="67"/>
      <c r="J95" s="68">
        <v>0</v>
      </c>
      <c r="K95" s="49"/>
      <c r="L95" s="61" t="s">
        <v>21</v>
      </c>
      <c r="M95" s="61" t="s">
        <v>21</v>
      </c>
      <c r="N95" s="61"/>
    </row>
    <row r="96" spans="1:14" ht="21.75" customHeight="1" x14ac:dyDescent="0.4">
      <c r="A96" s="55"/>
      <c r="B96" s="56"/>
      <c r="C96" s="56"/>
      <c r="D96" s="73"/>
      <c r="E96" s="74" t="s">
        <v>28</v>
      </c>
      <c r="F96" s="75"/>
      <c r="G96" s="76"/>
      <c r="H96" s="66"/>
      <c r="I96" s="67"/>
      <c r="J96" s="68">
        <v>0</v>
      </c>
      <c r="K96" s="49"/>
      <c r="L96" s="61"/>
      <c r="M96" s="61"/>
      <c r="N96" s="61"/>
    </row>
    <row r="97" spans="1:14" ht="21.75" customHeight="1" x14ac:dyDescent="0.4">
      <c r="A97" s="55"/>
      <c r="B97" s="56"/>
      <c r="C97" s="56"/>
      <c r="D97" s="73"/>
      <c r="E97" s="74" t="s">
        <v>29</v>
      </c>
      <c r="F97" s="75"/>
      <c r="G97" s="76"/>
      <c r="H97" s="66"/>
      <c r="I97" s="67"/>
      <c r="J97" s="68">
        <v>0</v>
      </c>
      <c r="K97" s="49"/>
      <c r="L97" s="61"/>
      <c r="M97" s="61"/>
      <c r="N97" s="61"/>
    </row>
    <row r="98" spans="1:14" ht="21.75" customHeight="1" x14ac:dyDescent="0.4">
      <c r="A98" s="55"/>
      <c r="B98" s="56"/>
      <c r="C98" s="56"/>
      <c r="D98" s="73"/>
      <c r="E98" s="77"/>
      <c r="F98" s="74" t="s">
        <v>64</v>
      </c>
      <c r="G98" s="76"/>
      <c r="H98" s="60" t="s">
        <v>63</v>
      </c>
      <c r="I98" s="67">
        <f ca="1">IFERROR(__xludf.DUMMYFUNCTION("IMPORTRANGE(""https://docs.google.com/spreadsheets/d/1C3CXT74ZlgGe6_JY_1olB1XN4rF0dxEuIIF-xsYjHgg/edit?usp=sharing"",""พรบ!AI21"")"),5)</f>
        <v>5</v>
      </c>
      <c r="J98" s="68">
        <v>0</v>
      </c>
      <c r="K98" s="49">
        <f ca="1">IF(I98&gt;0,J98*100/I98,0)</f>
        <v>0</v>
      </c>
      <c r="L98" s="53">
        <f ca="1">IFERROR(__xludf.DUMMYFUNCTION("IMPORTRANGE(""https://docs.google.com/spreadsheets/d/1C3CXT74ZlgGe6_JY_1olB1XN4rF0dxEuIIF-xsYjHgg/edit?usp=sharing"",""กปร!C21"")"),60000)</f>
        <v>60000</v>
      </c>
      <c r="M98" s="359">
        <v>0</v>
      </c>
      <c r="N98" s="53">
        <f ca="1">+IF(L98&gt;0,M98*100/L98,0)</f>
        <v>0</v>
      </c>
    </row>
    <row r="99" spans="1:14" ht="21.75" customHeight="1" x14ac:dyDescent="0.4">
      <c r="A99" s="55"/>
      <c r="B99" s="56"/>
      <c r="C99" s="56"/>
      <c r="D99" s="73"/>
      <c r="E99" s="74" t="s">
        <v>35</v>
      </c>
      <c r="F99" s="75"/>
      <c r="G99" s="76"/>
      <c r="H99" s="66"/>
      <c r="I99" s="67"/>
      <c r="J99" s="68">
        <v>0</v>
      </c>
      <c r="K99" s="49"/>
      <c r="L99" s="61"/>
      <c r="M99" s="61"/>
      <c r="N99" s="61"/>
    </row>
    <row r="100" spans="1:14" ht="21.75" customHeight="1" x14ac:dyDescent="0.4">
      <c r="A100" s="55"/>
      <c r="B100" s="56"/>
      <c r="C100" s="56"/>
      <c r="D100" s="81">
        <v>3</v>
      </c>
      <c r="E100" s="82" t="s">
        <v>36</v>
      </c>
      <c r="F100" s="83"/>
      <c r="G100" s="84"/>
      <c r="H100" s="66"/>
      <c r="I100" s="67"/>
      <c r="J100" s="85">
        <v>0</v>
      </c>
      <c r="K100" s="49"/>
      <c r="L100" s="61"/>
      <c r="M100" s="61"/>
      <c r="N100" s="61"/>
    </row>
    <row r="101" spans="1:14" ht="21.75" customHeight="1" x14ac:dyDescent="0.4">
      <c r="A101" s="141"/>
      <c r="B101" s="142"/>
      <c r="C101" s="143" t="s">
        <v>65</v>
      </c>
      <c r="D101" s="143"/>
      <c r="E101" s="143"/>
      <c r="F101" s="143"/>
      <c r="G101" s="144"/>
      <c r="H101" s="149" t="s">
        <v>63</v>
      </c>
      <c r="I101" s="150">
        <f t="shared" ref="I101:J101" ca="1" si="24">I111</f>
        <v>0</v>
      </c>
      <c r="J101" s="150">
        <f t="shared" si="24"/>
        <v>0</v>
      </c>
      <c r="K101" s="151">
        <f ca="1">IF(I101&gt;0,J101*100/I101,0)</f>
        <v>0</v>
      </c>
      <c r="L101" s="148">
        <f ca="1">L102+L103</f>
        <v>0</v>
      </c>
      <c r="M101" s="148">
        <f>SUM(M102:M103)</f>
        <v>0</v>
      </c>
      <c r="N101" s="148">
        <f t="shared" ref="N101:N104" ca="1" si="25">+IF(L101&gt;0,M101*100/L101,0)</f>
        <v>0</v>
      </c>
    </row>
    <row r="102" spans="1:14" ht="21.75" customHeight="1" x14ac:dyDescent="0.4">
      <c r="A102" s="42"/>
      <c r="B102" s="43"/>
      <c r="C102" s="43" t="s">
        <v>17</v>
      </c>
      <c r="D102" s="44" t="s">
        <v>18</v>
      </c>
      <c r="E102" s="45"/>
      <c r="F102" s="45"/>
      <c r="G102" s="46" t="s">
        <v>19</v>
      </c>
      <c r="H102" s="47" t="s">
        <v>20</v>
      </c>
      <c r="I102" s="48" t="s">
        <v>21</v>
      </c>
      <c r="J102" s="48"/>
      <c r="K102" s="49"/>
      <c r="L102" s="50">
        <v>0</v>
      </c>
      <c r="M102" s="50">
        <v>0</v>
      </c>
      <c r="N102" s="50">
        <f t="shared" si="25"/>
        <v>0</v>
      </c>
    </row>
    <row r="103" spans="1:14" ht="21.75" customHeight="1" x14ac:dyDescent="0.4">
      <c r="A103" s="42"/>
      <c r="B103" s="43"/>
      <c r="C103" s="43"/>
      <c r="D103" s="51"/>
      <c r="E103" s="45"/>
      <c r="F103" s="45" t="s">
        <v>21</v>
      </c>
      <c r="G103" s="46" t="s">
        <v>22</v>
      </c>
      <c r="H103" s="47" t="s">
        <v>20</v>
      </c>
      <c r="I103" s="48"/>
      <c r="J103" s="48"/>
      <c r="K103" s="49"/>
      <c r="L103" s="50">
        <f ca="1">SUM(L104)</f>
        <v>0</v>
      </c>
      <c r="M103" s="50">
        <f>M104</f>
        <v>0</v>
      </c>
      <c r="N103" s="50">
        <f t="shared" ca="1" si="25"/>
        <v>0</v>
      </c>
    </row>
    <row r="104" spans="1:14" ht="21.75" customHeight="1" x14ac:dyDescent="0.4">
      <c r="A104" s="42"/>
      <c r="B104" s="43"/>
      <c r="C104" s="43"/>
      <c r="D104" s="51"/>
      <c r="E104" s="45"/>
      <c r="F104" s="45"/>
      <c r="G104" s="52" t="s">
        <v>24</v>
      </c>
      <c r="H104" s="47" t="s">
        <v>20</v>
      </c>
      <c r="I104" s="48"/>
      <c r="J104" s="67"/>
      <c r="K104" s="233"/>
      <c r="L104" s="53">
        <f ca="1">IFERROR(__xludf.DUMMYFUNCTION("IMPORTRANGE(""https://docs.google.com/spreadsheets/d/1C3CXT74ZlgGe6_JY_1olB1XN4rF0dxEuIIF-xsYjHgg/edit?usp=sharing"",""พรบ!AJ21"")"),0)</f>
        <v>0</v>
      </c>
      <c r="M104" s="53">
        <v>0</v>
      </c>
      <c r="N104" s="53">
        <f t="shared" ca="1" si="25"/>
        <v>0</v>
      </c>
    </row>
    <row r="105" spans="1:14" ht="21.75" customHeight="1" x14ac:dyDescent="0.4">
      <c r="A105" s="55"/>
      <c r="B105" s="56"/>
      <c r="C105" s="43" t="s">
        <v>17</v>
      </c>
      <c r="D105" s="57" t="s">
        <v>25</v>
      </c>
      <c r="E105" s="58"/>
      <c r="F105" s="58"/>
      <c r="G105" s="59"/>
      <c r="H105" s="60"/>
      <c r="I105" s="48"/>
      <c r="J105" s="67"/>
      <c r="K105" s="233"/>
      <c r="L105" s="53"/>
      <c r="M105" s="53"/>
      <c r="N105" s="61"/>
    </row>
    <row r="106" spans="1:14" ht="21.75" customHeight="1" x14ac:dyDescent="0.4">
      <c r="A106" s="55"/>
      <c r="B106" s="56"/>
      <c r="C106" s="56"/>
      <c r="D106" s="62">
        <v>1</v>
      </c>
      <c r="E106" s="63" t="s">
        <v>26</v>
      </c>
      <c r="F106" s="64"/>
      <c r="G106" s="65"/>
      <c r="H106" s="66"/>
      <c r="I106" s="67"/>
      <c r="J106" s="67">
        <v>0</v>
      </c>
      <c r="K106" s="233"/>
      <c r="L106" s="53"/>
      <c r="M106" s="53"/>
      <c r="N106" s="61"/>
    </row>
    <row r="107" spans="1:14" ht="21.75" customHeight="1" x14ac:dyDescent="0.4">
      <c r="A107" s="55"/>
      <c r="B107" s="56"/>
      <c r="C107" s="56"/>
      <c r="D107" s="69">
        <v>2</v>
      </c>
      <c r="E107" s="70" t="s">
        <v>27</v>
      </c>
      <c r="F107" s="71"/>
      <c r="G107" s="72"/>
      <c r="H107" s="66"/>
      <c r="I107" s="67"/>
      <c r="J107" s="67">
        <v>0</v>
      </c>
      <c r="K107" s="233"/>
      <c r="L107" s="53" t="s">
        <v>21</v>
      </c>
      <c r="M107" s="53" t="s">
        <v>21</v>
      </c>
      <c r="N107" s="61"/>
    </row>
    <row r="108" spans="1:14" ht="21.75" customHeight="1" x14ac:dyDescent="0.4">
      <c r="A108" s="55"/>
      <c r="B108" s="56"/>
      <c r="C108" s="56"/>
      <c r="D108" s="73"/>
      <c r="E108" s="74" t="s">
        <v>28</v>
      </c>
      <c r="F108" s="75"/>
      <c r="G108" s="76"/>
      <c r="H108" s="66"/>
      <c r="I108" s="67"/>
      <c r="J108" s="67">
        <v>0</v>
      </c>
      <c r="K108" s="233"/>
      <c r="L108" s="53"/>
      <c r="M108" s="53"/>
      <c r="N108" s="61"/>
    </row>
    <row r="109" spans="1:14" ht="21.75" customHeight="1" x14ac:dyDescent="0.4">
      <c r="A109" s="55"/>
      <c r="B109" s="56"/>
      <c r="C109" s="56"/>
      <c r="D109" s="73"/>
      <c r="E109" s="74" t="s">
        <v>29</v>
      </c>
      <c r="F109" s="75"/>
      <c r="G109" s="76"/>
      <c r="H109" s="66"/>
      <c r="I109" s="67"/>
      <c r="J109" s="67">
        <v>0</v>
      </c>
      <c r="K109" s="233"/>
      <c r="L109" s="53"/>
      <c r="M109" s="53"/>
      <c r="N109" s="61"/>
    </row>
    <row r="110" spans="1:14" ht="21.75" customHeight="1" x14ac:dyDescent="0.4">
      <c r="A110" s="55"/>
      <c r="B110" s="56"/>
      <c r="C110" s="56"/>
      <c r="D110" s="73"/>
      <c r="E110" s="77"/>
      <c r="F110" s="74" t="s">
        <v>66</v>
      </c>
      <c r="G110" s="76"/>
      <c r="H110" s="60" t="s">
        <v>63</v>
      </c>
      <c r="I110" s="67">
        <f ca="1">IFERROR(__xludf.DUMMYFUNCTION("IMPORTRANGE(""https://docs.google.com/spreadsheets/d/1C3CXT74ZlgGe6_JY_1olB1XN4rF0dxEuIIF-xsYjHgg/edit?usp=sharing"",""พรบ!AK21"")"),0)</f>
        <v>0</v>
      </c>
      <c r="J110" s="67">
        <v>0</v>
      </c>
      <c r="K110" s="233">
        <f t="shared" ref="K110:K111" ca="1" si="26">IF(I110&gt;0,J110*100/I110,0)</f>
        <v>0</v>
      </c>
      <c r="L110" s="53">
        <f ca="1">IFERROR(__xludf.DUMMYFUNCTION("IMPORTRANGE(""https://docs.google.com/spreadsheets/d/1C3CXT74ZlgGe6_JY_1olB1XN4rF0dxEuIIF-xsYjHgg/edit?usp=sharing"",""กปร!D21"")"),0)</f>
        <v>0</v>
      </c>
      <c r="M110" s="53">
        <v>0</v>
      </c>
      <c r="N110" s="53">
        <f t="shared" ref="N110:N111" ca="1" si="27">+IF(L110&gt;0,M110*100/L110,0)</f>
        <v>0</v>
      </c>
    </row>
    <row r="111" spans="1:14" ht="21.75" customHeight="1" x14ac:dyDescent="0.4">
      <c r="A111" s="55"/>
      <c r="B111" s="56"/>
      <c r="C111" s="56"/>
      <c r="D111" s="73"/>
      <c r="E111" s="77"/>
      <c r="F111" s="74" t="s">
        <v>67</v>
      </c>
      <c r="G111" s="76"/>
      <c r="H111" s="60" t="s">
        <v>63</v>
      </c>
      <c r="I111" s="67">
        <f ca="1">IFERROR(__xludf.DUMMYFUNCTION("IMPORTRANGE(""https://docs.google.com/spreadsheets/d/1C3CXT74ZlgGe6_JY_1olB1XN4rF0dxEuIIF-xsYjHgg/edit?usp=sharing"",""พรบ!AL21"")"),0)</f>
        <v>0</v>
      </c>
      <c r="J111" s="67">
        <v>0</v>
      </c>
      <c r="K111" s="233">
        <f t="shared" ca="1" si="26"/>
        <v>0</v>
      </c>
      <c r="L111" s="53">
        <f ca="1">IFERROR(__xludf.DUMMYFUNCTION("IMPORTRANGE(""https://docs.google.com/spreadsheets/d/1C3CXT74ZlgGe6_JY_1olB1XN4rF0dxEuIIF-xsYjHgg/edit?usp=sharing"",""กปร!E21"")"),0)</f>
        <v>0</v>
      </c>
      <c r="M111" s="53">
        <v>0</v>
      </c>
      <c r="N111" s="53">
        <f t="shared" ca="1" si="27"/>
        <v>0</v>
      </c>
    </row>
    <row r="112" spans="1:14" ht="21.75" customHeight="1" x14ac:dyDescent="0.4">
      <c r="A112" s="55"/>
      <c r="B112" s="56"/>
      <c r="C112" s="56"/>
      <c r="D112" s="73"/>
      <c r="E112" s="74" t="s">
        <v>35</v>
      </c>
      <c r="F112" s="75"/>
      <c r="G112" s="76"/>
      <c r="H112" s="66"/>
      <c r="I112" s="67"/>
      <c r="J112" s="67">
        <v>0</v>
      </c>
      <c r="K112" s="233"/>
      <c r="L112" s="53"/>
      <c r="M112" s="53"/>
      <c r="N112" s="61"/>
    </row>
    <row r="113" spans="1:14" ht="21.75" customHeight="1" x14ac:dyDescent="0.4">
      <c r="A113" s="55"/>
      <c r="B113" s="56"/>
      <c r="C113" s="56"/>
      <c r="D113" s="81">
        <v>3</v>
      </c>
      <c r="E113" s="82" t="s">
        <v>36</v>
      </c>
      <c r="F113" s="83"/>
      <c r="G113" s="84"/>
      <c r="H113" s="66"/>
      <c r="I113" s="67"/>
      <c r="J113" s="360">
        <v>0</v>
      </c>
      <c r="K113" s="233"/>
      <c r="L113" s="53"/>
      <c r="M113" s="53"/>
      <c r="N113" s="61"/>
    </row>
    <row r="114" spans="1:14" ht="21.75" customHeight="1" x14ac:dyDescent="0.4">
      <c r="A114" s="141"/>
      <c r="B114" s="142"/>
      <c r="C114" s="143" t="s">
        <v>68</v>
      </c>
      <c r="D114" s="143"/>
      <c r="E114" s="143"/>
      <c r="F114" s="143"/>
      <c r="G114" s="144"/>
      <c r="H114" s="152" t="s">
        <v>69</v>
      </c>
      <c r="I114" s="150">
        <f t="shared" ref="I114:J114" ca="1" si="28">I125</f>
        <v>60000</v>
      </c>
      <c r="J114" s="150">
        <f t="shared" si="28"/>
        <v>0</v>
      </c>
      <c r="K114" s="151">
        <f ca="1">IF(I114&gt;0,J114*100/I114,0)</f>
        <v>0</v>
      </c>
      <c r="L114" s="148">
        <f ca="1">L115+L116</f>
        <v>39000</v>
      </c>
      <c r="M114" s="148">
        <f>SUM(M115:M116)</f>
        <v>0</v>
      </c>
      <c r="N114" s="148">
        <f t="shared" ref="N114:N117" ca="1" si="29">+IF(L114&gt;0,M114*100/L114,0)</f>
        <v>0</v>
      </c>
    </row>
    <row r="115" spans="1:14" ht="21.75" customHeight="1" x14ac:dyDescent="0.4">
      <c r="A115" s="42"/>
      <c r="B115" s="43"/>
      <c r="C115" s="43" t="s">
        <v>17</v>
      </c>
      <c r="D115" s="44" t="s">
        <v>18</v>
      </c>
      <c r="E115" s="45"/>
      <c r="F115" s="45"/>
      <c r="G115" s="46" t="s">
        <v>19</v>
      </c>
      <c r="H115" s="47" t="s">
        <v>20</v>
      </c>
      <c r="I115" s="48" t="s">
        <v>21</v>
      </c>
      <c r="J115" s="48"/>
      <c r="K115" s="49"/>
      <c r="L115" s="50">
        <v>0</v>
      </c>
      <c r="M115" s="50">
        <v>0</v>
      </c>
      <c r="N115" s="50">
        <f t="shared" si="29"/>
        <v>0</v>
      </c>
    </row>
    <row r="116" spans="1:14" ht="21.75" customHeight="1" x14ac:dyDescent="0.4">
      <c r="A116" s="42"/>
      <c r="B116" s="43"/>
      <c r="C116" s="43"/>
      <c r="D116" s="51"/>
      <c r="E116" s="45"/>
      <c r="F116" s="45" t="s">
        <v>21</v>
      </c>
      <c r="G116" s="46" t="s">
        <v>22</v>
      </c>
      <c r="H116" s="47" t="s">
        <v>20</v>
      </c>
      <c r="I116" s="48"/>
      <c r="J116" s="48"/>
      <c r="K116" s="49"/>
      <c r="L116" s="50">
        <f ca="1">SUM(L117)</f>
        <v>39000</v>
      </c>
      <c r="M116" s="50">
        <f>M117</f>
        <v>0</v>
      </c>
      <c r="N116" s="50">
        <f t="shared" ca="1" si="29"/>
        <v>0</v>
      </c>
    </row>
    <row r="117" spans="1:14" ht="21.75" customHeight="1" x14ac:dyDescent="0.4">
      <c r="A117" s="42"/>
      <c r="B117" s="43"/>
      <c r="C117" s="43"/>
      <c r="D117" s="51"/>
      <c r="E117" s="45"/>
      <c r="F117" s="45"/>
      <c r="G117" s="52" t="s">
        <v>24</v>
      </c>
      <c r="H117" s="47" t="s">
        <v>20</v>
      </c>
      <c r="I117" s="48"/>
      <c r="J117" s="48"/>
      <c r="K117" s="49"/>
      <c r="L117" s="53">
        <f ca="1">IFERROR(__xludf.DUMMYFUNCTION("IMPORTRANGE(""https://docs.google.com/spreadsheets/d/1C3CXT74ZlgGe6_JY_1olB1XN4rF0dxEuIIF-xsYjHgg/edit?usp=sharing"",""พรบ!AM21"")"),39000)</f>
        <v>39000</v>
      </c>
      <c r="M117" s="54">
        <v>0</v>
      </c>
      <c r="N117" s="53">
        <f t="shared" ca="1" si="29"/>
        <v>0</v>
      </c>
    </row>
    <row r="118" spans="1:14" ht="21.75" customHeight="1" x14ac:dyDescent="0.4">
      <c r="A118" s="55"/>
      <c r="B118" s="56"/>
      <c r="C118" s="43" t="s">
        <v>17</v>
      </c>
      <c r="D118" s="57" t="s">
        <v>25</v>
      </c>
      <c r="E118" s="58"/>
      <c r="F118" s="58"/>
      <c r="G118" s="59"/>
      <c r="H118" s="60"/>
      <c r="I118" s="48"/>
      <c r="J118" s="48"/>
      <c r="K118" s="49"/>
      <c r="L118" s="61"/>
      <c r="M118" s="61"/>
      <c r="N118" s="61"/>
    </row>
    <row r="119" spans="1:14" ht="21.75" customHeight="1" x14ac:dyDescent="0.4">
      <c r="A119" s="55"/>
      <c r="B119" s="56"/>
      <c r="C119" s="56"/>
      <c r="D119" s="62">
        <v>1</v>
      </c>
      <c r="E119" s="63" t="s">
        <v>26</v>
      </c>
      <c r="F119" s="64"/>
      <c r="G119" s="65"/>
      <c r="H119" s="66"/>
      <c r="I119" s="67"/>
      <c r="J119" s="68">
        <v>1</v>
      </c>
      <c r="K119" s="49"/>
      <c r="L119" s="61"/>
      <c r="M119" s="61"/>
      <c r="N119" s="61"/>
    </row>
    <row r="120" spans="1:14" ht="21.75" customHeight="1" x14ac:dyDescent="0.4">
      <c r="A120" s="55"/>
      <c r="B120" s="56"/>
      <c r="C120" s="56"/>
      <c r="D120" s="69">
        <v>2</v>
      </c>
      <c r="E120" s="70" t="s">
        <v>27</v>
      </c>
      <c r="F120" s="71"/>
      <c r="G120" s="72"/>
      <c r="H120" s="66"/>
      <c r="I120" s="67"/>
      <c r="J120" s="68">
        <v>0</v>
      </c>
      <c r="K120" s="49"/>
      <c r="L120" s="61" t="s">
        <v>21</v>
      </c>
      <c r="M120" s="61" t="s">
        <v>21</v>
      </c>
      <c r="N120" s="61"/>
    </row>
    <row r="121" spans="1:14" ht="21.75" customHeight="1" x14ac:dyDescent="0.4">
      <c r="A121" s="55"/>
      <c r="B121" s="56"/>
      <c r="C121" s="56"/>
      <c r="D121" s="73"/>
      <c r="E121" s="74" t="s">
        <v>28</v>
      </c>
      <c r="F121" s="75"/>
      <c r="G121" s="76"/>
      <c r="H121" s="66"/>
      <c r="I121" s="67"/>
      <c r="J121" s="68">
        <v>0</v>
      </c>
      <c r="K121" s="49"/>
      <c r="L121" s="61"/>
      <c r="M121" s="61"/>
      <c r="N121" s="61"/>
    </row>
    <row r="122" spans="1:14" ht="21.75" customHeight="1" x14ac:dyDescent="0.4">
      <c r="A122" s="55"/>
      <c r="B122" s="56"/>
      <c r="C122" s="56"/>
      <c r="D122" s="73"/>
      <c r="E122" s="74" t="s">
        <v>29</v>
      </c>
      <c r="F122" s="75"/>
      <c r="G122" s="76"/>
      <c r="H122" s="66"/>
      <c r="I122" s="67"/>
      <c r="J122" s="68">
        <v>0</v>
      </c>
      <c r="K122" s="49"/>
      <c r="L122" s="61"/>
      <c r="M122" s="61"/>
      <c r="N122" s="61"/>
    </row>
    <row r="123" spans="1:14" ht="21.75" customHeight="1" x14ac:dyDescent="0.4">
      <c r="A123" s="55"/>
      <c r="B123" s="56"/>
      <c r="C123" s="56"/>
      <c r="D123" s="73"/>
      <c r="E123" s="75"/>
      <c r="F123" s="75" t="s">
        <v>70</v>
      </c>
      <c r="G123" s="76"/>
      <c r="H123" s="60"/>
      <c r="I123" s="67"/>
      <c r="J123" s="67"/>
      <c r="K123" s="49"/>
      <c r="L123" s="61"/>
      <c r="M123" s="61"/>
      <c r="N123" s="61"/>
    </row>
    <row r="124" spans="1:14" ht="21.75" customHeight="1" x14ac:dyDescent="0.4">
      <c r="A124" s="55"/>
      <c r="B124" s="56"/>
      <c r="C124" s="56"/>
      <c r="D124" s="73"/>
      <c r="E124" s="77"/>
      <c r="F124" s="75"/>
      <c r="G124" s="74" t="s">
        <v>71</v>
      </c>
      <c r="H124" s="60" t="s">
        <v>69</v>
      </c>
      <c r="I124" s="67">
        <f ca="1">IFERROR(__xludf.DUMMYFUNCTION("IMPORTRANGE(""https://docs.google.com/spreadsheets/d/1C3CXT74ZlgGe6_JY_1olB1XN4rF0dxEuIIF-xsYjHgg/edit?usp=sharing"",""พรบ!AO21"")"),60000)</f>
        <v>60000</v>
      </c>
      <c r="J124" s="68">
        <v>0</v>
      </c>
      <c r="K124" s="49">
        <f t="shared" ref="K124:K126" ca="1" si="30">IF(I124&gt;0,J124*100/I124,0)</f>
        <v>0</v>
      </c>
      <c r="L124" s="61"/>
      <c r="M124" s="61"/>
      <c r="N124" s="61"/>
    </row>
    <row r="125" spans="1:14" ht="21.75" customHeight="1" x14ac:dyDescent="0.4">
      <c r="A125" s="55"/>
      <c r="B125" s="56"/>
      <c r="C125" s="56"/>
      <c r="D125" s="73"/>
      <c r="E125" s="77"/>
      <c r="F125" s="75"/>
      <c r="G125" s="74" t="s">
        <v>72</v>
      </c>
      <c r="H125" s="60" t="s">
        <v>69</v>
      </c>
      <c r="I125" s="67">
        <f ca="1">IFERROR(__xludf.DUMMYFUNCTION("IMPORTRANGE(""https://docs.google.com/spreadsheets/d/1C3CXT74ZlgGe6_JY_1olB1XN4rF0dxEuIIF-xsYjHgg/edit?usp=sharing"",""พรบ!AP21"")"),60000)</f>
        <v>60000</v>
      </c>
      <c r="J125" s="68">
        <v>0</v>
      </c>
      <c r="K125" s="49">
        <f t="shared" ca="1" si="30"/>
        <v>0</v>
      </c>
      <c r="L125" s="53">
        <f ca="1">IFERROR(__xludf.DUMMYFUNCTION("IMPORTRANGE(""https://docs.google.com/spreadsheets/d/1C3CXT74ZlgGe6_JY_1olB1XN4rF0dxEuIIF-xsYjHgg/edit?usp=sharing"",""กปร!F21"")"),15000)</f>
        <v>15000</v>
      </c>
      <c r="M125" s="359">
        <v>0</v>
      </c>
      <c r="N125" s="53">
        <f t="shared" ref="N125:N126" ca="1" si="31">+IF(L125&gt;0,M125*100/L125,0)</f>
        <v>0</v>
      </c>
    </row>
    <row r="126" spans="1:14" ht="21.75" customHeight="1" x14ac:dyDescent="0.4">
      <c r="A126" s="55"/>
      <c r="B126" s="56"/>
      <c r="C126" s="56"/>
      <c r="D126" s="73"/>
      <c r="E126" s="77"/>
      <c r="F126" s="75" t="s">
        <v>73</v>
      </c>
      <c r="G126" s="76"/>
      <c r="H126" s="60" t="s">
        <v>16</v>
      </c>
      <c r="I126" s="67">
        <f ca="1">IFERROR(__xludf.DUMMYFUNCTION("IMPORTRANGE(""https://docs.google.com/spreadsheets/d/1C3CXT74ZlgGe6_JY_1olB1XN4rF0dxEuIIF-xsYjHgg/edit?usp=sharing"",""พรบ!AQ21"")"),15)</f>
        <v>15</v>
      </c>
      <c r="J126" s="68">
        <v>0</v>
      </c>
      <c r="K126" s="49">
        <f t="shared" ca="1" si="30"/>
        <v>0</v>
      </c>
      <c r="L126" s="53">
        <f ca="1">IFERROR(__xludf.DUMMYFUNCTION("IMPORTRANGE(""https://docs.google.com/spreadsheets/d/1C3CXT74ZlgGe6_JY_1olB1XN4rF0dxEuIIF-xsYjHgg/edit?usp=sharing"",""กปร!G21"")"),15000)</f>
        <v>15000</v>
      </c>
      <c r="M126" s="359">
        <v>0</v>
      </c>
      <c r="N126" s="53">
        <f t="shared" ca="1" si="31"/>
        <v>0</v>
      </c>
    </row>
    <row r="127" spans="1:14" ht="21.75" customHeight="1" x14ac:dyDescent="0.4">
      <c r="A127" s="55"/>
      <c r="B127" s="56"/>
      <c r="C127" s="56"/>
      <c r="D127" s="73"/>
      <c r="E127" s="74" t="s">
        <v>35</v>
      </c>
      <c r="F127" s="75"/>
      <c r="G127" s="76"/>
      <c r="H127" s="66"/>
      <c r="I127" s="67"/>
      <c r="J127" s="68">
        <v>0</v>
      </c>
      <c r="K127" s="49"/>
      <c r="L127" s="61"/>
      <c r="M127" s="61"/>
      <c r="N127" s="61"/>
    </row>
    <row r="128" spans="1:14" ht="21.75" customHeight="1" x14ac:dyDescent="0.4">
      <c r="A128" s="105"/>
      <c r="B128" s="106"/>
      <c r="C128" s="106"/>
      <c r="D128" s="107">
        <v>3</v>
      </c>
      <c r="E128" s="108" t="s">
        <v>36</v>
      </c>
      <c r="F128" s="109"/>
      <c r="G128" s="110"/>
      <c r="H128" s="111"/>
      <c r="I128" s="112"/>
      <c r="J128" s="113">
        <v>0</v>
      </c>
      <c r="K128" s="114"/>
      <c r="L128" s="115"/>
      <c r="M128" s="115"/>
      <c r="N128" s="115"/>
    </row>
    <row r="129" spans="1:14" ht="21.75" customHeight="1" x14ac:dyDescent="0.4">
      <c r="A129" s="141"/>
      <c r="B129" s="142"/>
      <c r="C129" s="153" t="s">
        <v>74</v>
      </c>
      <c r="D129" s="143"/>
      <c r="E129" s="143"/>
      <c r="F129" s="143"/>
      <c r="G129" s="144"/>
      <c r="H129" s="152" t="s">
        <v>16</v>
      </c>
      <c r="I129" s="150">
        <f t="shared" ref="I129:J129" ca="1" si="32">I138</f>
        <v>0</v>
      </c>
      <c r="J129" s="150">
        <f t="shared" si="32"/>
        <v>0</v>
      </c>
      <c r="K129" s="151">
        <f ca="1">IF(I129&gt;0,J129*100/I129,0)</f>
        <v>0</v>
      </c>
      <c r="L129" s="148">
        <f ca="1">L130+L131</f>
        <v>0</v>
      </c>
      <c r="M129" s="148">
        <f>SUM(M130:M131)</f>
        <v>0</v>
      </c>
      <c r="N129" s="148">
        <f t="shared" ref="N129:N132" ca="1" si="33">+IF(L129&gt;0,M129*100/L129,0)</f>
        <v>0</v>
      </c>
    </row>
    <row r="130" spans="1:14" ht="21.75" customHeight="1" x14ac:dyDescent="0.4">
      <c r="A130" s="42"/>
      <c r="B130" s="43"/>
      <c r="C130" s="43" t="s">
        <v>17</v>
      </c>
      <c r="D130" s="44" t="s">
        <v>18</v>
      </c>
      <c r="E130" s="45"/>
      <c r="F130" s="45"/>
      <c r="G130" s="46" t="s">
        <v>19</v>
      </c>
      <c r="H130" s="47" t="s">
        <v>20</v>
      </c>
      <c r="I130" s="48" t="s">
        <v>21</v>
      </c>
      <c r="J130" s="48"/>
      <c r="K130" s="49"/>
      <c r="L130" s="50">
        <v>0</v>
      </c>
      <c r="M130" s="50">
        <v>0</v>
      </c>
      <c r="N130" s="50">
        <f t="shared" si="33"/>
        <v>0</v>
      </c>
    </row>
    <row r="131" spans="1:14" ht="21.75" customHeight="1" x14ac:dyDescent="0.4">
      <c r="A131" s="42"/>
      <c r="B131" s="43"/>
      <c r="C131" s="43"/>
      <c r="D131" s="51"/>
      <c r="E131" s="45"/>
      <c r="F131" s="45" t="s">
        <v>21</v>
      </c>
      <c r="G131" s="46" t="s">
        <v>22</v>
      </c>
      <c r="H131" s="47" t="s">
        <v>20</v>
      </c>
      <c r="I131" s="48"/>
      <c r="J131" s="48"/>
      <c r="K131" s="49"/>
      <c r="L131" s="50">
        <f ca="1">SUM(L132)</f>
        <v>0</v>
      </c>
      <c r="M131" s="50">
        <f>M132</f>
        <v>0</v>
      </c>
      <c r="N131" s="50">
        <f t="shared" ca="1" si="33"/>
        <v>0</v>
      </c>
    </row>
    <row r="132" spans="1:14" ht="21.75" customHeight="1" x14ac:dyDescent="0.4">
      <c r="A132" s="42"/>
      <c r="B132" s="43"/>
      <c r="C132" s="43"/>
      <c r="D132" s="51"/>
      <c r="E132" s="45"/>
      <c r="F132" s="45"/>
      <c r="G132" s="52" t="s">
        <v>24</v>
      </c>
      <c r="H132" s="47" t="s">
        <v>20</v>
      </c>
      <c r="I132" s="48"/>
      <c r="J132" s="67"/>
      <c r="K132" s="233"/>
      <c r="L132" s="53">
        <f ca="1">IFERROR(__xludf.DUMMYFUNCTION("IMPORTRANGE(""https://docs.google.com/spreadsheets/d/1C3CXT74ZlgGe6_JY_1olB1XN4rF0dxEuIIF-xsYjHgg/edit?usp=sharing"",""พรบ!AR21"")"),0)</f>
        <v>0</v>
      </c>
      <c r="M132" s="53">
        <v>0</v>
      </c>
      <c r="N132" s="53">
        <f t="shared" ca="1" si="33"/>
        <v>0</v>
      </c>
    </row>
    <row r="133" spans="1:14" ht="21.75" customHeight="1" x14ac:dyDescent="0.4">
      <c r="A133" s="55"/>
      <c r="B133" s="56"/>
      <c r="C133" s="43" t="s">
        <v>17</v>
      </c>
      <c r="D133" s="57" t="s">
        <v>25</v>
      </c>
      <c r="E133" s="58"/>
      <c r="F133" s="58"/>
      <c r="G133" s="59"/>
      <c r="H133" s="60"/>
      <c r="I133" s="48"/>
      <c r="J133" s="67"/>
      <c r="K133" s="233"/>
      <c r="L133" s="53"/>
      <c r="M133" s="53"/>
      <c r="N133" s="61"/>
    </row>
    <row r="134" spans="1:14" ht="21.75" customHeight="1" x14ac:dyDescent="0.4">
      <c r="A134" s="55"/>
      <c r="B134" s="56"/>
      <c r="C134" s="56"/>
      <c r="D134" s="62">
        <v>1</v>
      </c>
      <c r="E134" s="63" t="s">
        <v>26</v>
      </c>
      <c r="F134" s="64"/>
      <c r="G134" s="65"/>
      <c r="H134" s="66"/>
      <c r="I134" s="67"/>
      <c r="J134" s="67">
        <v>0</v>
      </c>
      <c r="K134" s="233"/>
      <c r="L134" s="53"/>
      <c r="M134" s="53"/>
      <c r="N134" s="61"/>
    </row>
    <row r="135" spans="1:14" ht="21.75" customHeight="1" x14ac:dyDescent="0.4">
      <c r="A135" s="55"/>
      <c r="B135" s="56"/>
      <c r="C135" s="56"/>
      <c r="D135" s="69">
        <v>2</v>
      </c>
      <c r="E135" s="70" t="s">
        <v>27</v>
      </c>
      <c r="F135" s="71"/>
      <c r="G135" s="72"/>
      <c r="H135" s="66"/>
      <c r="I135" s="67"/>
      <c r="J135" s="67">
        <v>0</v>
      </c>
      <c r="K135" s="233"/>
      <c r="L135" s="53" t="s">
        <v>21</v>
      </c>
      <c r="M135" s="53" t="s">
        <v>21</v>
      </c>
      <c r="N135" s="61"/>
    </row>
    <row r="136" spans="1:14" ht="21.75" customHeight="1" x14ac:dyDescent="0.4">
      <c r="A136" s="55"/>
      <c r="B136" s="56"/>
      <c r="C136" s="56"/>
      <c r="D136" s="73"/>
      <c r="E136" s="74" t="s">
        <v>28</v>
      </c>
      <c r="F136" s="75"/>
      <c r="G136" s="76"/>
      <c r="H136" s="66"/>
      <c r="I136" s="67"/>
      <c r="J136" s="67">
        <v>0</v>
      </c>
      <c r="K136" s="233"/>
      <c r="L136" s="53"/>
      <c r="M136" s="53"/>
      <c r="N136" s="61"/>
    </row>
    <row r="137" spans="1:14" ht="21.75" customHeight="1" x14ac:dyDescent="0.4">
      <c r="A137" s="55"/>
      <c r="B137" s="56"/>
      <c r="C137" s="56"/>
      <c r="D137" s="73"/>
      <c r="E137" s="74" t="s">
        <v>29</v>
      </c>
      <c r="F137" s="75"/>
      <c r="G137" s="76"/>
      <c r="H137" s="66"/>
      <c r="I137" s="67"/>
      <c r="J137" s="67">
        <v>0</v>
      </c>
      <c r="K137" s="233"/>
      <c r="L137" s="53"/>
      <c r="M137" s="53"/>
      <c r="N137" s="61"/>
    </row>
    <row r="138" spans="1:14" ht="21.75" customHeight="1" x14ac:dyDescent="0.4">
      <c r="A138" s="55"/>
      <c r="B138" s="56"/>
      <c r="C138" s="56"/>
      <c r="D138" s="73"/>
      <c r="E138" s="77"/>
      <c r="F138" s="75" t="s">
        <v>75</v>
      </c>
      <c r="G138" s="76"/>
      <c r="H138" s="60" t="s">
        <v>16</v>
      </c>
      <c r="I138" s="67">
        <f ca="1">IFERROR(__xludf.DUMMYFUNCTION("IMPORTRANGE(""https://docs.google.com/spreadsheets/d/1C3CXT74ZlgGe6_JY_1olB1XN4rF0dxEuIIF-xsYjHgg/edit?usp=sharing"",""พรบ!AS21"")"),0)</f>
        <v>0</v>
      </c>
      <c r="J138" s="67">
        <v>0</v>
      </c>
      <c r="K138" s="233">
        <f ca="1">IF(I138&gt;0,J138*100/I138,0)</f>
        <v>0</v>
      </c>
      <c r="L138" s="53">
        <f ca="1">IFERROR(__xludf.DUMMYFUNCTION("IMPORTRANGE(""https://docs.google.com/spreadsheets/d/1C3CXT74ZlgGe6_JY_1olB1XN4rF0dxEuIIF-xsYjHgg/edit?usp=sharing"",""กปร!H21"")"),0)</f>
        <v>0</v>
      </c>
      <c r="M138" s="53">
        <v>0</v>
      </c>
      <c r="N138" s="53">
        <f ca="1">+IF(L138&gt;0,M138*100/L138,0)</f>
        <v>0</v>
      </c>
    </row>
    <row r="139" spans="1:14" ht="21.75" customHeight="1" x14ac:dyDescent="0.4">
      <c r="A139" s="55"/>
      <c r="B139" s="56"/>
      <c r="C139" s="56"/>
      <c r="D139" s="73"/>
      <c r="E139" s="77"/>
      <c r="F139" s="74" t="s">
        <v>34</v>
      </c>
      <c r="G139" s="76"/>
      <c r="H139" s="60"/>
      <c r="I139" s="67"/>
      <c r="J139" s="67"/>
      <c r="K139" s="233"/>
      <c r="L139" s="397"/>
      <c r="M139" s="398"/>
      <c r="N139" s="398"/>
    </row>
    <row r="140" spans="1:14" ht="21.75" customHeight="1" x14ac:dyDescent="0.4">
      <c r="A140" s="55"/>
      <c r="B140" s="56"/>
      <c r="C140" s="56"/>
      <c r="D140" s="73"/>
      <c r="E140" s="77"/>
      <c r="F140" s="75"/>
      <c r="G140" s="99" t="s">
        <v>76</v>
      </c>
      <c r="H140" s="60" t="s">
        <v>16</v>
      </c>
      <c r="I140" s="67">
        <f ca="1">IFERROR(__xludf.DUMMYFUNCTION("IMPORTRANGE(""https://docs.google.com/spreadsheets/d/1C3CXT74ZlgGe6_JY_1olB1XN4rF0dxEuIIF-xsYjHgg/edit?usp=sharing"",""พรบ!AT21"")"),0)</f>
        <v>0</v>
      </c>
      <c r="J140" s="67">
        <v>0</v>
      </c>
      <c r="K140" s="233">
        <f t="shared" ref="K140:K141" ca="1" si="34">IF(I140&gt;0,J140*100/I140,0)</f>
        <v>0</v>
      </c>
      <c r="L140" s="53">
        <f ca="1">IFERROR(__xludf.DUMMYFUNCTION("IMPORTRANGE(""https://docs.google.com/spreadsheets/d/1C3CXT74ZlgGe6_JY_1olB1XN4rF0dxEuIIF-xsYjHgg/edit?usp=sharing"",""กปร!I21"")"),0)</f>
        <v>0</v>
      </c>
      <c r="M140" s="53">
        <v>0</v>
      </c>
      <c r="N140" s="53">
        <f t="shared" ref="N140:N141" ca="1" si="35">+IF(L140&gt;0,M140*100/L140,0)</f>
        <v>0</v>
      </c>
    </row>
    <row r="141" spans="1:14" ht="21.75" customHeight="1" x14ac:dyDescent="0.4">
      <c r="A141" s="55"/>
      <c r="B141" s="56"/>
      <c r="C141" s="56"/>
      <c r="D141" s="73"/>
      <c r="E141" s="77"/>
      <c r="F141" s="75"/>
      <c r="G141" s="99" t="s">
        <v>77</v>
      </c>
      <c r="H141" s="60" t="s">
        <v>40</v>
      </c>
      <c r="I141" s="67">
        <f ca="1">IFERROR(__xludf.DUMMYFUNCTION("IMPORTRANGE(""https://docs.google.com/spreadsheets/d/1C3CXT74ZlgGe6_JY_1olB1XN4rF0dxEuIIF-xsYjHgg/edit?usp=sharing"",""พรบ!AU21"")"),0)</f>
        <v>0</v>
      </c>
      <c r="J141" s="67">
        <v>0</v>
      </c>
      <c r="K141" s="233">
        <f t="shared" ca="1" si="34"/>
        <v>0</v>
      </c>
      <c r="L141" s="53">
        <f ca="1">IFERROR(__xludf.DUMMYFUNCTION("IMPORTRANGE(""https://docs.google.com/spreadsheets/d/1C3CXT74ZlgGe6_JY_1olB1XN4rF0dxEuIIF-xsYjHgg/edit?usp=sharing"",""กปร!J21"")"),0)</f>
        <v>0</v>
      </c>
      <c r="M141" s="53">
        <v>0</v>
      </c>
      <c r="N141" s="53">
        <f t="shared" ca="1" si="35"/>
        <v>0</v>
      </c>
    </row>
    <row r="142" spans="1:14" ht="21.75" customHeight="1" x14ac:dyDescent="0.4">
      <c r="A142" s="55"/>
      <c r="B142" s="56"/>
      <c r="C142" s="56"/>
      <c r="D142" s="73"/>
      <c r="E142" s="74" t="s">
        <v>35</v>
      </c>
      <c r="F142" s="75"/>
      <c r="G142" s="76"/>
      <c r="H142" s="66"/>
      <c r="I142" s="67"/>
      <c r="J142" s="67">
        <v>0</v>
      </c>
      <c r="K142" s="233"/>
      <c r="L142" s="53"/>
      <c r="M142" s="53"/>
      <c r="N142" s="61"/>
    </row>
    <row r="143" spans="1:14" ht="21.75" customHeight="1" x14ac:dyDescent="0.4">
      <c r="A143" s="105"/>
      <c r="B143" s="106"/>
      <c r="C143" s="106"/>
      <c r="D143" s="107">
        <v>3</v>
      </c>
      <c r="E143" s="108" t="s">
        <v>36</v>
      </c>
      <c r="F143" s="109"/>
      <c r="G143" s="110"/>
      <c r="H143" s="111"/>
      <c r="I143" s="112"/>
      <c r="J143" s="356">
        <v>0</v>
      </c>
      <c r="K143" s="357"/>
      <c r="L143" s="358"/>
      <c r="M143" s="358"/>
      <c r="N143" s="115"/>
    </row>
    <row r="144" spans="1:14" ht="21.75" customHeight="1" x14ac:dyDescent="0.4">
      <c r="A144" s="132"/>
      <c r="B144" s="133" t="s">
        <v>78</v>
      </c>
      <c r="C144" s="134"/>
      <c r="D144" s="133"/>
      <c r="E144" s="133"/>
      <c r="F144" s="133"/>
      <c r="G144" s="135"/>
      <c r="H144" s="136" t="s">
        <v>16</v>
      </c>
      <c r="I144" s="137">
        <f t="shared" ref="I144:J144" ca="1" si="36">+I149+I158</f>
        <v>14</v>
      </c>
      <c r="J144" s="137">
        <f t="shared" si="36"/>
        <v>0</v>
      </c>
      <c r="K144" s="138">
        <f ca="1">IF(I144&gt;0,J144*100/I144,0)</f>
        <v>0</v>
      </c>
      <c r="L144" s="139">
        <f ca="1">L145+L146</f>
        <v>20210</v>
      </c>
      <c r="M144" s="139">
        <f>SUM(M145:M146)</f>
        <v>0</v>
      </c>
      <c r="N144" s="138">
        <f ca="1">IF(L144&gt;0,M144*100/L144,0)</f>
        <v>0</v>
      </c>
    </row>
    <row r="145" spans="1:14" ht="21.75" customHeight="1" x14ac:dyDescent="0.4">
      <c r="A145" s="42"/>
      <c r="B145" s="43"/>
      <c r="C145" s="43" t="s">
        <v>17</v>
      </c>
      <c r="D145" s="44" t="s">
        <v>18</v>
      </c>
      <c r="E145" s="45"/>
      <c r="F145" s="45"/>
      <c r="G145" s="46" t="s">
        <v>19</v>
      </c>
      <c r="H145" s="47" t="s">
        <v>20</v>
      </c>
      <c r="I145" s="48" t="s">
        <v>21</v>
      </c>
      <c r="J145" s="48"/>
      <c r="K145" s="49"/>
      <c r="L145" s="50">
        <v>0</v>
      </c>
      <c r="M145" s="50">
        <v>0</v>
      </c>
      <c r="N145" s="50">
        <f t="shared" ref="N145:N148" si="37">+IF(L145&gt;0,M145*100/L145,0)</f>
        <v>0</v>
      </c>
    </row>
    <row r="146" spans="1:14" ht="21.75" customHeight="1" x14ac:dyDescent="0.4">
      <c r="A146" s="42"/>
      <c r="B146" s="43"/>
      <c r="C146" s="43"/>
      <c r="D146" s="51"/>
      <c r="E146" s="45"/>
      <c r="F146" s="45" t="s">
        <v>21</v>
      </c>
      <c r="G146" s="46" t="s">
        <v>22</v>
      </c>
      <c r="H146" s="47" t="s">
        <v>20</v>
      </c>
      <c r="I146" s="48"/>
      <c r="J146" s="48"/>
      <c r="K146" s="49"/>
      <c r="L146" s="50">
        <f t="shared" ref="L146:M146" ca="1" si="38">SUM(L147:L148)</f>
        <v>20210</v>
      </c>
      <c r="M146" s="50">
        <f t="shared" si="38"/>
        <v>0</v>
      </c>
      <c r="N146" s="50">
        <f t="shared" ca="1" si="37"/>
        <v>0</v>
      </c>
    </row>
    <row r="147" spans="1:14" ht="21.75" customHeight="1" x14ac:dyDescent="0.4">
      <c r="A147" s="42"/>
      <c r="B147" s="43"/>
      <c r="C147" s="43"/>
      <c r="D147" s="51"/>
      <c r="E147" s="45"/>
      <c r="F147" s="45"/>
      <c r="G147" s="52" t="s">
        <v>23</v>
      </c>
      <c r="H147" s="47" t="s">
        <v>20</v>
      </c>
      <c r="I147" s="48"/>
      <c r="J147" s="48"/>
      <c r="K147" s="49"/>
      <c r="L147" s="53">
        <f ca="1">IFERROR(__xludf.DUMMYFUNCTION("IMPORTRANGE(""https://docs.google.com/spreadsheets/d/1C3CXT74ZlgGe6_JY_1olB1XN4rF0dxEuIIF-xsYjHgg/edit?usp=sharing"",""พรบ!Ax21"")"),0)</f>
        <v>0</v>
      </c>
      <c r="M147" s="53">
        <v>0</v>
      </c>
      <c r="N147" s="53">
        <f t="shared" ca="1" si="37"/>
        <v>0</v>
      </c>
    </row>
    <row r="148" spans="1:14" ht="21.75" customHeight="1" x14ac:dyDescent="0.4">
      <c r="A148" s="42"/>
      <c r="B148" s="43"/>
      <c r="C148" s="43"/>
      <c r="D148" s="51"/>
      <c r="E148" s="45"/>
      <c r="F148" s="45"/>
      <c r="G148" s="52" t="s">
        <v>24</v>
      </c>
      <c r="H148" s="47" t="s">
        <v>20</v>
      </c>
      <c r="I148" s="48"/>
      <c r="J148" s="48"/>
      <c r="K148" s="49"/>
      <c r="L148" s="53">
        <f ca="1">IFERROR(__xludf.DUMMYFUNCTION("IMPORTRANGE(""https://docs.google.com/spreadsheets/d/1C3CXT74ZlgGe6_JY_1olB1XN4rF0dxEuIIF-xsYjHgg/edit?usp=sharing"",""พรบ!AY21"")"),20210)</f>
        <v>20210</v>
      </c>
      <c r="M148" s="54">
        <v>0</v>
      </c>
      <c r="N148" s="53">
        <f t="shared" ca="1" si="37"/>
        <v>0</v>
      </c>
    </row>
    <row r="149" spans="1:14" ht="21.75" customHeight="1" x14ac:dyDescent="0.4">
      <c r="A149" s="55"/>
      <c r="B149" s="155"/>
      <c r="C149" s="134" t="s">
        <v>79</v>
      </c>
      <c r="D149" s="133"/>
      <c r="E149" s="133"/>
      <c r="F149" s="133"/>
      <c r="G149" s="135"/>
      <c r="H149" s="136" t="s">
        <v>16</v>
      </c>
      <c r="I149" s="137">
        <f ca="1">I155</f>
        <v>14</v>
      </c>
      <c r="J149" s="137">
        <f>+J155</f>
        <v>0</v>
      </c>
      <c r="K149" s="138">
        <f ca="1">IF(I149&gt;0,J149*100/I149,0)</f>
        <v>0</v>
      </c>
      <c r="L149" s="140"/>
      <c r="M149" s="140"/>
      <c r="N149" s="140"/>
    </row>
    <row r="150" spans="1:14" ht="21.75" customHeight="1" x14ac:dyDescent="0.4">
      <c r="A150" s="55"/>
      <c r="B150" s="56"/>
      <c r="C150" s="43" t="s">
        <v>17</v>
      </c>
      <c r="D150" s="57" t="s">
        <v>25</v>
      </c>
      <c r="E150" s="58"/>
      <c r="F150" s="58"/>
      <c r="G150" s="59"/>
      <c r="H150" s="60"/>
      <c r="I150" s="48"/>
      <c r="J150" s="48"/>
      <c r="K150" s="49"/>
      <c r="L150" s="61"/>
      <c r="M150" s="61"/>
      <c r="N150" s="61"/>
    </row>
    <row r="151" spans="1:14" ht="21.75" customHeight="1" x14ac:dyDescent="0.4">
      <c r="A151" s="55"/>
      <c r="B151" s="56"/>
      <c r="C151" s="56"/>
      <c r="D151" s="62">
        <v>1</v>
      </c>
      <c r="E151" s="63" t="s">
        <v>26</v>
      </c>
      <c r="F151" s="64"/>
      <c r="G151" s="65"/>
      <c r="H151" s="66"/>
      <c r="I151" s="67"/>
      <c r="J151" s="68">
        <v>1</v>
      </c>
      <c r="K151" s="49"/>
      <c r="L151" s="61"/>
      <c r="M151" s="61"/>
      <c r="N151" s="61"/>
    </row>
    <row r="152" spans="1:14" ht="21.75" customHeight="1" x14ac:dyDescent="0.4">
      <c r="A152" s="55"/>
      <c r="B152" s="56"/>
      <c r="C152" s="56"/>
      <c r="D152" s="69">
        <v>2</v>
      </c>
      <c r="E152" s="70" t="s">
        <v>27</v>
      </c>
      <c r="F152" s="71"/>
      <c r="G152" s="72"/>
      <c r="H152" s="66"/>
      <c r="I152" s="67"/>
      <c r="J152" s="68">
        <v>0</v>
      </c>
      <c r="K152" s="49"/>
      <c r="L152" s="61" t="s">
        <v>21</v>
      </c>
      <c r="M152" s="61" t="s">
        <v>21</v>
      </c>
      <c r="N152" s="61"/>
    </row>
    <row r="153" spans="1:14" ht="21.75" customHeight="1" x14ac:dyDescent="0.4">
      <c r="A153" s="55"/>
      <c r="B153" s="56"/>
      <c r="C153" s="56"/>
      <c r="D153" s="73"/>
      <c r="E153" s="74" t="s">
        <v>28</v>
      </c>
      <c r="F153" s="75"/>
      <c r="G153" s="76"/>
      <c r="H153" s="66"/>
      <c r="I153" s="67"/>
      <c r="J153" s="68">
        <v>0</v>
      </c>
      <c r="K153" s="49"/>
      <c r="L153" s="61"/>
      <c r="M153" s="61"/>
      <c r="N153" s="61"/>
    </row>
    <row r="154" spans="1:14" ht="21.75" customHeight="1" x14ac:dyDescent="0.4">
      <c r="A154" s="55"/>
      <c r="B154" s="56"/>
      <c r="C154" s="56"/>
      <c r="D154" s="73"/>
      <c r="E154" s="74" t="s">
        <v>29</v>
      </c>
      <c r="F154" s="75"/>
      <c r="G154" s="76"/>
      <c r="H154" s="66"/>
      <c r="I154" s="67"/>
      <c r="J154" s="68">
        <v>0</v>
      </c>
      <c r="K154" s="49"/>
      <c r="L154" s="61"/>
      <c r="M154" s="61"/>
      <c r="N154" s="61"/>
    </row>
    <row r="155" spans="1:14" ht="21.75" customHeight="1" x14ac:dyDescent="0.4">
      <c r="A155" s="55"/>
      <c r="B155" s="56"/>
      <c r="C155" s="56"/>
      <c r="D155" s="73"/>
      <c r="E155" s="77"/>
      <c r="F155" s="75"/>
      <c r="G155" s="99" t="s">
        <v>50</v>
      </c>
      <c r="H155" s="66" t="s">
        <v>16</v>
      </c>
      <c r="I155" s="67">
        <f ca="1">IFERROR(__xludf.DUMMYFUNCTION("IMPORTRANGE(""https://docs.google.com/spreadsheets/d/1C3CXT74ZlgGe6_JY_1olB1XN4rF0dxEuIIF-xsYjHgg/edit?usp=sharing"",""พรบ!BA21"")"),14)</f>
        <v>14</v>
      </c>
      <c r="J155" s="68">
        <v>0</v>
      </c>
      <c r="K155" s="49">
        <f ca="1">IF(I155&gt;0,J155*100/I155,0)</f>
        <v>0</v>
      </c>
      <c r="L155" s="61"/>
      <c r="M155" s="61"/>
      <c r="N155" s="61"/>
    </row>
    <row r="156" spans="1:14" ht="21.75" customHeight="1" x14ac:dyDescent="0.4">
      <c r="A156" s="55"/>
      <c r="B156" s="56"/>
      <c r="C156" s="56"/>
      <c r="D156" s="73"/>
      <c r="E156" s="74" t="s">
        <v>35</v>
      </c>
      <c r="F156" s="75"/>
      <c r="G156" s="76"/>
      <c r="H156" s="66"/>
      <c r="I156" s="67"/>
      <c r="J156" s="68">
        <v>0</v>
      </c>
      <c r="K156" s="49"/>
      <c r="L156" s="61"/>
      <c r="M156" s="61"/>
      <c r="N156" s="61"/>
    </row>
    <row r="157" spans="1:14" ht="21.75" customHeight="1" x14ac:dyDescent="0.4">
      <c r="A157" s="55"/>
      <c r="B157" s="56"/>
      <c r="C157" s="56"/>
      <c r="D157" s="81">
        <v>3</v>
      </c>
      <c r="E157" s="82" t="s">
        <v>36</v>
      </c>
      <c r="F157" s="83"/>
      <c r="G157" s="84"/>
      <c r="H157" s="66"/>
      <c r="I157" s="67"/>
      <c r="J157" s="85">
        <v>0</v>
      </c>
      <c r="K157" s="49"/>
      <c r="L157" s="61"/>
      <c r="M157" s="61"/>
      <c r="N157" s="61"/>
    </row>
    <row r="158" spans="1:14" ht="21.75" customHeight="1" x14ac:dyDescent="0.4">
      <c r="A158" s="55"/>
      <c r="B158" s="56"/>
      <c r="C158" s="134" t="s">
        <v>81</v>
      </c>
      <c r="D158" s="156"/>
      <c r="E158" s="133"/>
      <c r="F158" s="133"/>
      <c r="G158" s="135"/>
      <c r="H158" s="136" t="s">
        <v>16</v>
      </c>
      <c r="I158" s="137">
        <f>I164</f>
        <v>0</v>
      </c>
      <c r="J158" s="137">
        <f>+J164</f>
        <v>0</v>
      </c>
      <c r="K158" s="138">
        <f>IF(I158&gt;0,J158*100/I158,0)</f>
        <v>0</v>
      </c>
      <c r="L158" s="61"/>
      <c r="M158" s="61"/>
      <c r="N158" s="61"/>
    </row>
    <row r="159" spans="1:14" ht="21.75" customHeight="1" x14ac:dyDescent="0.4">
      <c r="A159" s="55"/>
      <c r="B159" s="56"/>
      <c r="C159" s="43" t="s">
        <v>17</v>
      </c>
      <c r="D159" s="57" t="s">
        <v>25</v>
      </c>
      <c r="E159" s="58"/>
      <c r="F159" s="58"/>
      <c r="G159" s="59"/>
      <c r="H159" s="60"/>
      <c r="I159" s="48"/>
      <c r="J159" s="48"/>
      <c r="K159" s="49"/>
      <c r="L159" s="61"/>
      <c r="M159" s="61"/>
      <c r="N159" s="61"/>
    </row>
    <row r="160" spans="1:14" ht="21.75" customHeight="1" x14ac:dyDescent="0.4">
      <c r="A160" s="55"/>
      <c r="B160" s="56"/>
      <c r="C160" s="56"/>
      <c r="D160" s="62">
        <v>1</v>
      </c>
      <c r="E160" s="63" t="s">
        <v>26</v>
      </c>
      <c r="F160" s="64"/>
      <c r="G160" s="65"/>
      <c r="H160" s="66"/>
      <c r="I160" s="67"/>
      <c r="J160" s="67">
        <v>0</v>
      </c>
      <c r="K160" s="49"/>
      <c r="L160" s="61"/>
      <c r="M160" s="61"/>
      <c r="N160" s="61"/>
    </row>
    <row r="161" spans="1:14" ht="21.75" customHeight="1" x14ac:dyDescent="0.4">
      <c r="A161" s="55"/>
      <c r="B161" s="56"/>
      <c r="C161" s="56"/>
      <c r="D161" s="69">
        <v>2</v>
      </c>
      <c r="E161" s="70" t="s">
        <v>27</v>
      </c>
      <c r="F161" s="71"/>
      <c r="G161" s="72"/>
      <c r="H161" s="66"/>
      <c r="I161" s="67"/>
      <c r="J161" s="67">
        <v>0</v>
      </c>
      <c r="K161" s="49"/>
      <c r="L161" s="61" t="s">
        <v>21</v>
      </c>
      <c r="M161" s="61" t="s">
        <v>21</v>
      </c>
      <c r="N161" s="61"/>
    </row>
    <row r="162" spans="1:14" ht="21.75" customHeight="1" x14ac:dyDescent="0.4">
      <c r="A162" s="55"/>
      <c r="B162" s="56"/>
      <c r="C162" s="56"/>
      <c r="D162" s="73"/>
      <c r="E162" s="74" t="s">
        <v>28</v>
      </c>
      <c r="F162" s="75"/>
      <c r="G162" s="76"/>
      <c r="H162" s="66"/>
      <c r="I162" s="67"/>
      <c r="J162" s="67">
        <v>0</v>
      </c>
      <c r="K162" s="49"/>
      <c r="L162" s="61"/>
      <c r="M162" s="61"/>
      <c r="N162" s="61"/>
    </row>
    <row r="163" spans="1:14" ht="21.75" customHeight="1" x14ac:dyDescent="0.4">
      <c r="A163" s="55"/>
      <c r="B163" s="56"/>
      <c r="C163" s="56"/>
      <c r="D163" s="73"/>
      <c r="E163" s="74" t="s">
        <v>29</v>
      </c>
      <c r="F163" s="75"/>
      <c r="G163" s="76"/>
      <c r="H163" s="66"/>
      <c r="I163" s="67"/>
      <c r="J163" s="67">
        <v>0</v>
      </c>
      <c r="K163" s="49"/>
      <c r="L163" s="61"/>
      <c r="M163" s="61"/>
      <c r="N163" s="61"/>
    </row>
    <row r="164" spans="1:14" ht="21.75" customHeight="1" x14ac:dyDescent="0.4">
      <c r="A164" s="55"/>
      <c r="B164" s="56"/>
      <c r="C164" s="56"/>
      <c r="D164" s="73"/>
      <c r="E164" s="75"/>
      <c r="F164" s="74" t="s">
        <v>82</v>
      </c>
      <c r="G164" s="75"/>
      <c r="H164" s="66" t="s">
        <v>16</v>
      </c>
      <c r="I164" s="67">
        <v>0</v>
      </c>
      <c r="J164" s="67">
        <v>0</v>
      </c>
      <c r="K164" s="49">
        <f>IF(I164&gt;0,J164*100/I164,0)</f>
        <v>0</v>
      </c>
      <c r="L164" s="61"/>
      <c r="M164" s="61"/>
      <c r="N164" s="61"/>
    </row>
    <row r="165" spans="1:14" ht="21.75" customHeight="1" x14ac:dyDescent="0.4">
      <c r="A165" s="55"/>
      <c r="B165" s="56"/>
      <c r="C165" s="56"/>
      <c r="D165" s="73"/>
      <c r="E165" s="74" t="s">
        <v>35</v>
      </c>
      <c r="F165" s="75"/>
      <c r="G165" s="76"/>
      <c r="H165" s="66"/>
      <c r="I165" s="67"/>
      <c r="J165" s="67">
        <v>0</v>
      </c>
      <c r="K165" s="49"/>
      <c r="L165" s="61"/>
      <c r="M165" s="61"/>
      <c r="N165" s="61"/>
    </row>
    <row r="166" spans="1:14" ht="21.75" customHeight="1" x14ac:dyDescent="0.4">
      <c r="A166" s="105"/>
      <c r="B166" s="106"/>
      <c r="C166" s="106"/>
      <c r="D166" s="107">
        <v>3</v>
      </c>
      <c r="E166" s="108" t="s">
        <v>36</v>
      </c>
      <c r="F166" s="109"/>
      <c r="G166" s="110"/>
      <c r="H166" s="111"/>
      <c r="I166" s="112"/>
      <c r="J166" s="356">
        <v>0</v>
      </c>
      <c r="K166" s="114"/>
      <c r="L166" s="115"/>
      <c r="M166" s="115"/>
      <c r="N166" s="115"/>
    </row>
    <row r="167" spans="1:14" ht="21.75" customHeight="1" x14ac:dyDescent="0.4">
      <c r="A167" s="157" t="s">
        <v>83</v>
      </c>
      <c r="B167" s="158"/>
      <c r="C167" s="158"/>
      <c r="D167" s="158"/>
      <c r="E167" s="159"/>
      <c r="F167" s="159"/>
      <c r="G167" s="160"/>
      <c r="H167" s="161"/>
      <c r="I167" s="162"/>
      <c r="J167" s="162"/>
      <c r="K167" s="163"/>
      <c r="L167" s="164"/>
      <c r="M167" s="164"/>
      <c r="N167" s="165"/>
    </row>
    <row r="168" spans="1:14" ht="21.75" customHeight="1" x14ac:dyDescent="0.4">
      <c r="A168" s="166" t="s">
        <v>84</v>
      </c>
      <c r="B168" s="167"/>
      <c r="C168" s="167"/>
      <c r="D168" s="168"/>
      <c r="E168" s="168"/>
      <c r="F168" s="168"/>
      <c r="G168" s="169"/>
      <c r="H168" s="170"/>
      <c r="I168" s="171"/>
      <c r="J168" s="171"/>
      <c r="K168" s="172"/>
      <c r="L168" s="172"/>
      <c r="M168" s="172"/>
      <c r="N168" s="173"/>
    </row>
    <row r="169" spans="1:14" ht="21.75" customHeight="1" x14ac:dyDescent="0.4">
      <c r="A169" s="174"/>
      <c r="B169" s="175" t="s">
        <v>85</v>
      </c>
      <c r="C169" s="175"/>
      <c r="D169" s="175"/>
      <c r="E169" s="175"/>
      <c r="F169" s="175"/>
      <c r="G169" s="176"/>
      <c r="H169" s="177" t="s">
        <v>16</v>
      </c>
      <c r="I169" s="178">
        <f ca="1">I180</f>
        <v>20</v>
      </c>
      <c r="J169" s="178">
        <f>+J180</f>
        <v>0</v>
      </c>
      <c r="K169" s="179">
        <f ca="1">IF(I169&gt;0,J169*100/I169,0)</f>
        <v>0</v>
      </c>
      <c r="L169" s="180">
        <f ca="1">L170+L171</f>
        <v>71400</v>
      </c>
      <c r="M169" s="180">
        <f>SUM(M170:M171)</f>
        <v>0</v>
      </c>
      <c r="N169" s="179">
        <f ca="1">IF(L169&gt;0,M169*100/L169,0)</f>
        <v>0</v>
      </c>
    </row>
    <row r="170" spans="1:14" ht="21.75" customHeight="1" x14ac:dyDescent="0.4">
      <c r="A170" s="42"/>
      <c r="B170" s="43"/>
      <c r="C170" s="43" t="s">
        <v>17</v>
      </c>
      <c r="D170" s="44" t="s">
        <v>18</v>
      </c>
      <c r="E170" s="45"/>
      <c r="F170" s="45"/>
      <c r="G170" s="46" t="s">
        <v>19</v>
      </c>
      <c r="H170" s="47" t="s">
        <v>20</v>
      </c>
      <c r="I170" s="48" t="s">
        <v>21</v>
      </c>
      <c r="J170" s="48"/>
      <c r="K170" s="49"/>
      <c r="L170" s="50">
        <v>0</v>
      </c>
      <c r="M170" s="50">
        <v>0</v>
      </c>
      <c r="N170" s="50">
        <f t="shared" ref="N170:N173" si="39">+IF(L170&gt;0,M170*100/L170,0)</f>
        <v>0</v>
      </c>
    </row>
    <row r="171" spans="1:14" ht="21.75" customHeight="1" x14ac:dyDescent="0.4">
      <c r="A171" s="42"/>
      <c r="B171" s="43"/>
      <c r="C171" s="43"/>
      <c r="D171" s="51"/>
      <c r="E171" s="45"/>
      <c r="F171" s="45" t="s">
        <v>21</v>
      </c>
      <c r="G171" s="46" t="s">
        <v>22</v>
      </c>
      <c r="H171" s="47" t="s">
        <v>20</v>
      </c>
      <c r="I171" s="48"/>
      <c r="J171" s="48"/>
      <c r="K171" s="49"/>
      <c r="L171" s="50">
        <f t="shared" ref="L171:M171" ca="1" si="40">SUM(L172:L173)</f>
        <v>71400</v>
      </c>
      <c r="M171" s="50">
        <f t="shared" si="40"/>
        <v>0</v>
      </c>
      <c r="N171" s="50">
        <f t="shared" ca="1" si="39"/>
        <v>0</v>
      </c>
    </row>
    <row r="172" spans="1:14" ht="21.75" customHeight="1" x14ac:dyDescent="0.4">
      <c r="A172" s="42"/>
      <c r="B172" s="43"/>
      <c r="C172" s="43"/>
      <c r="D172" s="51"/>
      <c r="E172" s="45"/>
      <c r="F172" s="45"/>
      <c r="G172" s="52" t="s">
        <v>23</v>
      </c>
      <c r="H172" s="47" t="s">
        <v>20</v>
      </c>
      <c r="I172" s="48"/>
      <c r="J172" s="48"/>
      <c r="K172" s="49"/>
      <c r="L172" s="53">
        <f ca="1">IFERROR(__xludf.DUMMYFUNCTION("IMPORTRANGE(""https://docs.google.com/spreadsheets/d/1C3CXT74ZlgGe6_JY_1olB1XN4rF0dxEuIIF-xsYjHgg/edit?usp=sharing"",""พรบ!BD21"")"),0)</f>
        <v>0</v>
      </c>
      <c r="M172" s="53">
        <v>0</v>
      </c>
      <c r="N172" s="53">
        <f t="shared" ca="1" si="39"/>
        <v>0</v>
      </c>
    </row>
    <row r="173" spans="1:14" ht="21.75" customHeight="1" x14ac:dyDescent="0.4">
      <c r="A173" s="42"/>
      <c r="B173" s="43"/>
      <c r="C173" s="43"/>
      <c r="D173" s="51"/>
      <c r="E173" s="45"/>
      <c r="F173" s="45"/>
      <c r="G173" s="52" t="s">
        <v>24</v>
      </c>
      <c r="H173" s="47" t="s">
        <v>20</v>
      </c>
      <c r="I173" s="48"/>
      <c r="J173" s="48"/>
      <c r="K173" s="49"/>
      <c r="L173" s="53">
        <f ca="1">IFERROR(__xludf.DUMMYFUNCTION("IMPORTRANGE(""https://docs.google.com/spreadsheets/d/1C3CXT74ZlgGe6_JY_1olB1XN4rF0dxEuIIF-xsYjHgg/edit?usp=sharing"",""พรบ!BE21"")"),71400)</f>
        <v>71400</v>
      </c>
      <c r="M173" s="54">
        <v>0</v>
      </c>
      <c r="N173" s="53">
        <f t="shared" ca="1" si="39"/>
        <v>0</v>
      </c>
    </row>
    <row r="174" spans="1:14" ht="21.75" customHeight="1" x14ac:dyDescent="0.4">
      <c r="A174" s="55"/>
      <c r="B174" s="56"/>
      <c r="C174" s="43" t="s">
        <v>17</v>
      </c>
      <c r="D174" s="57" t="s">
        <v>25</v>
      </c>
      <c r="E174" s="58"/>
      <c r="F174" s="58"/>
      <c r="G174" s="59"/>
      <c r="H174" s="60"/>
      <c r="I174" s="48"/>
      <c r="J174" s="48"/>
      <c r="K174" s="49"/>
      <c r="L174" s="61"/>
      <c r="M174" s="61"/>
      <c r="N174" s="61"/>
    </row>
    <row r="175" spans="1:14" ht="21.75" customHeight="1" x14ac:dyDescent="0.4">
      <c r="A175" s="55"/>
      <c r="B175" s="56"/>
      <c r="C175" s="56"/>
      <c r="D175" s="62">
        <v>1</v>
      </c>
      <c r="E175" s="63" t="s">
        <v>26</v>
      </c>
      <c r="F175" s="64"/>
      <c r="G175" s="65"/>
      <c r="H175" s="66"/>
      <c r="I175" s="67"/>
      <c r="J175" s="68">
        <v>1</v>
      </c>
      <c r="K175" s="49"/>
      <c r="L175" s="61"/>
      <c r="M175" s="61"/>
      <c r="N175" s="61"/>
    </row>
    <row r="176" spans="1:14" ht="21.75" customHeight="1" x14ac:dyDescent="0.4">
      <c r="A176" s="55"/>
      <c r="B176" s="56"/>
      <c r="C176" s="56"/>
      <c r="D176" s="69">
        <v>2</v>
      </c>
      <c r="E176" s="70" t="s">
        <v>27</v>
      </c>
      <c r="F176" s="71"/>
      <c r="G176" s="72"/>
      <c r="H176" s="66"/>
      <c r="I176" s="67"/>
      <c r="J176" s="68">
        <v>0</v>
      </c>
      <c r="K176" s="49"/>
      <c r="L176" s="61" t="s">
        <v>21</v>
      </c>
      <c r="M176" s="61" t="s">
        <v>21</v>
      </c>
      <c r="N176" s="61"/>
    </row>
    <row r="177" spans="1:14" ht="21.75" customHeight="1" x14ac:dyDescent="0.4">
      <c r="A177" s="55"/>
      <c r="B177" s="56"/>
      <c r="C177" s="56"/>
      <c r="D177" s="73"/>
      <c r="E177" s="74" t="s">
        <v>28</v>
      </c>
      <c r="F177" s="75"/>
      <c r="G177" s="76"/>
      <c r="H177" s="66"/>
      <c r="I177" s="67"/>
      <c r="J177" s="68">
        <v>0</v>
      </c>
      <c r="K177" s="49"/>
      <c r="L177" s="61"/>
      <c r="M177" s="61"/>
      <c r="N177" s="61"/>
    </row>
    <row r="178" spans="1:14" ht="21.75" customHeight="1" x14ac:dyDescent="0.4">
      <c r="A178" s="55"/>
      <c r="B178" s="56"/>
      <c r="C178" s="56"/>
      <c r="D178" s="73"/>
      <c r="E178" s="74" t="s">
        <v>29</v>
      </c>
      <c r="F178" s="75"/>
      <c r="G178" s="76"/>
      <c r="H178" s="66"/>
      <c r="I178" s="67"/>
      <c r="J178" s="68">
        <v>0</v>
      </c>
      <c r="K178" s="49"/>
      <c r="L178" s="61"/>
      <c r="M178" s="61"/>
      <c r="N178" s="61"/>
    </row>
    <row r="179" spans="1:14" ht="21.75" customHeight="1" x14ac:dyDescent="0.4">
      <c r="A179" s="55"/>
      <c r="B179" s="56"/>
      <c r="C179" s="56"/>
      <c r="D179" s="73"/>
      <c r="E179" s="77"/>
      <c r="F179" s="74" t="s">
        <v>86</v>
      </c>
      <c r="G179" s="76"/>
      <c r="H179" s="60" t="s">
        <v>40</v>
      </c>
      <c r="I179" s="67">
        <f ca="1">IFERROR(__xludf.DUMMYFUNCTION("IMPORTRANGE(""https://docs.google.com/spreadsheets/d/1C3CXT74ZlgGe6_JY_1olB1XN4rF0dxEuIIF-xsYjHgg/edit?usp=sharing"",""พรบ!BF21"")"),1)</f>
        <v>1</v>
      </c>
      <c r="J179" s="68">
        <v>0</v>
      </c>
      <c r="K179" s="49">
        <f t="shared" ref="K179:K182" ca="1" si="41">IF(I179&gt;0,J179*100/I179,0)</f>
        <v>0</v>
      </c>
      <c r="L179" s="61"/>
      <c r="M179" s="61"/>
      <c r="N179" s="61"/>
    </row>
    <row r="180" spans="1:14" ht="21.75" customHeight="1" x14ac:dyDescent="0.4">
      <c r="A180" s="55"/>
      <c r="B180" s="56"/>
      <c r="C180" s="56"/>
      <c r="D180" s="73"/>
      <c r="E180" s="77"/>
      <c r="F180" s="74" t="s">
        <v>87</v>
      </c>
      <c r="G180" s="76"/>
      <c r="H180" s="60" t="s">
        <v>16</v>
      </c>
      <c r="I180" s="67">
        <f ca="1">IFERROR(__xludf.DUMMYFUNCTION("IMPORTRANGE(""https://docs.google.com/spreadsheets/d/1C3CXT74ZlgGe6_JY_1olB1XN4rF0dxEuIIF-xsYjHgg/edit?usp=sharing"",""พรบ!BG21"")"),20)</f>
        <v>20</v>
      </c>
      <c r="J180" s="68">
        <v>0</v>
      </c>
      <c r="K180" s="49">
        <f t="shared" ca="1" si="41"/>
        <v>0</v>
      </c>
      <c r="L180" s="61"/>
      <c r="M180" s="61"/>
      <c r="N180" s="61"/>
    </row>
    <row r="181" spans="1:14" ht="21.75" customHeight="1" x14ac:dyDescent="0.4">
      <c r="A181" s="55"/>
      <c r="B181" s="56"/>
      <c r="C181" s="56"/>
      <c r="D181" s="73"/>
      <c r="E181" s="77"/>
      <c r="F181" s="74" t="s">
        <v>88</v>
      </c>
      <c r="G181" s="76"/>
      <c r="H181" s="60" t="s">
        <v>16</v>
      </c>
      <c r="I181" s="67">
        <f ca="1">IFERROR(__xludf.DUMMYFUNCTION("IMPORTRANGE(""https://docs.google.com/spreadsheets/d/1C3CXT74ZlgGe6_JY_1olB1XN4rF0dxEuIIF-xsYjHgg/edit?usp=sharing"",""พรบ!BH21"")"),20)</f>
        <v>20</v>
      </c>
      <c r="J181" s="68">
        <v>0</v>
      </c>
      <c r="K181" s="49">
        <f t="shared" ca="1" si="41"/>
        <v>0</v>
      </c>
      <c r="L181" s="61"/>
      <c r="M181" s="61"/>
      <c r="N181" s="61"/>
    </row>
    <row r="182" spans="1:14" ht="21.75" customHeight="1" x14ac:dyDescent="0.4">
      <c r="A182" s="55"/>
      <c r="B182" s="56"/>
      <c r="C182" s="56"/>
      <c r="D182" s="73"/>
      <c r="E182" s="77"/>
      <c r="F182" s="74" t="s">
        <v>89</v>
      </c>
      <c r="G182" s="76"/>
      <c r="H182" s="60" t="s">
        <v>16</v>
      </c>
      <c r="I182" s="67">
        <f ca="1">IFERROR(__xludf.DUMMYFUNCTION("IMPORTRANGE(""https://docs.google.com/spreadsheets/d/1C3CXT74ZlgGe6_JY_1olB1XN4rF0dxEuIIF-xsYjHgg/edit?usp=sharing"",""พรบ!BI21"")"),1)</f>
        <v>1</v>
      </c>
      <c r="J182" s="68">
        <v>0</v>
      </c>
      <c r="K182" s="49">
        <f t="shared" ca="1" si="41"/>
        <v>0</v>
      </c>
      <c r="L182" s="61"/>
      <c r="M182" s="61"/>
      <c r="N182" s="61"/>
    </row>
    <row r="183" spans="1:14" ht="21.75" customHeight="1" x14ac:dyDescent="0.4">
      <c r="A183" s="55"/>
      <c r="B183" s="56"/>
      <c r="C183" s="56"/>
      <c r="D183" s="73"/>
      <c r="E183" s="74" t="s">
        <v>35</v>
      </c>
      <c r="F183" s="75"/>
      <c r="G183" s="76"/>
      <c r="H183" s="66"/>
      <c r="I183" s="67"/>
      <c r="J183" s="68">
        <v>0</v>
      </c>
      <c r="K183" s="49"/>
      <c r="L183" s="61"/>
      <c r="M183" s="61"/>
      <c r="N183" s="61"/>
    </row>
    <row r="184" spans="1:14" ht="21.75" customHeight="1" x14ac:dyDescent="0.4">
      <c r="A184" s="105"/>
      <c r="B184" s="106"/>
      <c r="C184" s="106"/>
      <c r="D184" s="107">
        <v>3</v>
      </c>
      <c r="E184" s="108" t="s">
        <v>36</v>
      </c>
      <c r="F184" s="109"/>
      <c r="G184" s="110"/>
      <c r="H184" s="111"/>
      <c r="I184" s="112"/>
      <c r="J184" s="113">
        <v>0</v>
      </c>
      <c r="K184" s="114"/>
      <c r="L184" s="115"/>
      <c r="M184" s="115"/>
      <c r="N184" s="115"/>
    </row>
    <row r="185" spans="1:14" ht="21.75" customHeight="1" x14ac:dyDescent="0.4">
      <c r="A185" s="174"/>
      <c r="B185" s="175" t="s">
        <v>90</v>
      </c>
      <c r="C185" s="175"/>
      <c r="D185" s="175"/>
      <c r="E185" s="175"/>
      <c r="F185" s="175"/>
      <c r="G185" s="176"/>
      <c r="H185" s="177" t="s">
        <v>16</v>
      </c>
      <c r="I185" s="178">
        <f ca="1">I195</f>
        <v>15</v>
      </c>
      <c r="J185" s="178">
        <f>+J195</f>
        <v>0</v>
      </c>
      <c r="K185" s="179">
        <f ca="1">IF(I185&gt;0,J185*100/I185,0)</f>
        <v>0</v>
      </c>
      <c r="L185" s="180">
        <f ca="1">L186+L187</f>
        <v>105700</v>
      </c>
      <c r="M185" s="180">
        <f>SUM(M186:M187)</f>
        <v>0</v>
      </c>
      <c r="N185" s="179">
        <f ca="1">IF(L185&gt;0,M185*100/L185,0)</f>
        <v>0</v>
      </c>
    </row>
    <row r="186" spans="1:14" ht="21.75" customHeight="1" x14ac:dyDescent="0.4">
      <c r="A186" s="42"/>
      <c r="B186" s="43"/>
      <c r="C186" s="43" t="s">
        <v>17</v>
      </c>
      <c r="D186" s="44" t="s">
        <v>18</v>
      </c>
      <c r="E186" s="45"/>
      <c r="F186" s="45"/>
      <c r="G186" s="46" t="s">
        <v>19</v>
      </c>
      <c r="H186" s="47" t="s">
        <v>20</v>
      </c>
      <c r="I186" s="48" t="s">
        <v>21</v>
      </c>
      <c r="J186" s="48"/>
      <c r="K186" s="49"/>
      <c r="L186" s="50">
        <v>0</v>
      </c>
      <c r="M186" s="50">
        <v>0</v>
      </c>
      <c r="N186" s="50">
        <f t="shared" ref="N186:N189" si="42">+IF(L186&gt;0,M186*100/L186,0)</f>
        <v>0</v>
      </c>
    </row>
    <row r="187" spans="1:14" ht="21.75" customHeight="1" x14ac:dyDescent="0.4">
      <c r="A187" s="42"/>
      <c r="B187" s="43"/>
      <c r="C187" s="43"/>
      <c r="D187" s="51"/>
      <c r="E187" s="45"/>
      <c r="F187" s="45" t="s">
        <v>21</v>
      </c>
      <c r="G187" s="46" t="s">
        <v>22</v>
      </c>
      <c r="H187" s="47" t="s">
        <v>20</v>
      </c>
      <c r="I187" s="48"/>
      <c r="J187" s="48"/>
      <c r="K187" s="49"/>
      <c r="L187" s="50">
        <f t="shared" ref="L187:M187" ca="1" si="43">SUM(L188:L189)</f>
        <v>105700</v>
      </c>
      <c r="M187" s="50">
        <f t="shared" si="43"/>
        <v>0</v>
      </c>
      <c r="N187" s="50">
        <f t="shared" ca="1" si="42"/>
        <v>0</v>
      </c>
    </row>
    <row r="188" spans="1:14" ht="21.75" customHeight="1" x14ac:dyDescent="0.4">
      <c r="A188" s="42"/>
      <c r="B188" s="43"/>
      <c r="C188" s="43"/>
      <c r="D188" s="51"/>
      <c r="E188" s="45"/>
      <c r="F188" s="45"/>
      <c r="G188" s="52" t="s">
        <v>23</v>
      </c>
      <c r="H188" s="47" t="s">
        <v>20</v>
      </c>
      <c r="I188" s="48"/>
      <c r="J188" s="48"/>
      <c r="K188" s="49"/>
      <c r="L188" s="53">
        <f ca="1">IFERROR(__xludf.DUMMYFUNCTION("IMPORTRANGE(""https://docs.google.com/spreadsheets/d/1C3CXT74ZlgGe6_JY_1olB1XN4rF0dxEuIIF-xsYjHgg/edit?usp=sharing"",""พรบ!BK21"")"),0)</f>
        <v>0</v>
      </c>
      <c r="M188" s="53">
        <v>0</v>
      </c>
      <c r="N188" s="53">
        <f t="shared" ca="1" si="42"/>
        <v>0</v>
      </c>
    </row>
    <row r="189" spans="1:14" ht="21.75" customHeight="1" x14ac:dyDescent="0.4">
      <c r="A189" s="42"/>
      <c r="B189" s="43"/>
      <c r="C189" s="43"/>
      <c r="D189" s="51"/>
      <c r="E189" s="45"/>
      <c r="F189" s="45"/>
      <c r="G189" s="52" t="s">
        <v>24</v>
      </c>
      <c r="H189" s="47" t="s">
        <v>20</v>
      </c>
      <c r="I189" s="48"/>
      <c r="J189" s="48"/>
      <c r="K189" s="49"/>
      <c r="L189" s="53">
        <f ca="1">IFERROR(__xludf.DUMMYFUNCTION("IMPORTRANGE(""https://docs.google.com/spreadsheets/d/1C3CXT74ZlgGe6_JY_1olB1XN4rF0dxEuIIF-xsYjHgg/edit?usp=sharing"",""พรบ!BL21"")"),105700)</f>
        <v>105700</v>
      </c>
      <c r="M189" s="54">
        <v>0</v>
      </c>
      <c r="N189" s="53">
        <f t="shared" ca="1" si="42"/>
        <v>0</v>
      </c>
    </row>
    <row r="190" spans="1:14" ht="21.75" customHeight="1" x14ac:dyDescent="0.4">
      <c r="A190" s="55"/>
      <c r="B190" s="56"/>
      <c r="C190" s="43" t="s">
        <v>17</v>
      </c>
      <c r="D190" s="57" t="s">
        <v>25</v>
      </c>
      <c r="E190" s="58"/>
      <c r="F190" s="58"/>
      <c r="G190" s="59"/>
      <c r="H190" s="60"/>
      <c r="I190" s="48"/>
      <c r="J190" s="48"/>
      <c r="K190" s="49"/>
      <c r="L190" s="61"/>
      <c r="M190" s="61"/>
      <c r="N190" s="61"/>
    </row>
    <row r="191" spans="1:14" ht="21.75" customHeight="1" x14ac:dyDescent="0.4">
      <c r="A191" s="55"/>
      <c r="B191" s="56"/>
      <c r="C191" s="56"/>
      <c r="D191" s="62">
        <v>1</v>
      </c>
      <c r="E191" s="63" t="s">
        <v>26</v>
      </c>
      <c r="F191" s="64"/>
      <c r="G191" s="65"/>
      <c r="H191" s="66"/>
      <c r="I191" s="67"/>
      <c r="J191" s="68">
        <v>0</v>
      </c>
      <c r="K191" s="49"/>
      <c r="L191" s="61"/>
      <c r="M191" s="61"/>
      <c r="N191" s="61"/>
    </row>
    <row r="192" spans="1:14" ht="21.75" customHeight="1" x14ac:dyDescent="0.4">
      <c r="A192" s="55"/>
      <c r="B192" s="56"/>
      <c r="C192" s="56"/>
      <c r="D192" s="69">
        <v>2</v>
      </c>
      <c r="E192" s="70" t="s">
        <v>27</v>
      </c>
      <c r="F192" s="71"/>
      <c r="G192" s="72"/>
      <c r="H192" s="66"/>
      <c r="I192" s="67"/>
      <c r="J192" s="68">
        <v>1</v>
      </c>
      <c r="K192" s="49"/>
      <c r="L192" s="61"/>
      <c r="M192" s="61"/>
      <c r="N192" s="61"/>
    </row>
    <row r="193" spans="1:14" ht="21.75" customHeight="1" x14ac:dyDescent="0.4">
      <c r="A193" s="55"/>
      <c r="B193" s="56"/>
      <c r="C193" s="56"/>
      <c r="D193" s="73"/>
      <c r="E193" s="74" t="s">
        <v>28</v>
      </c>
      <c r="F193" s="75"/>
      <c r="G193" s="76"/>
      <c r="H193" s="66"/>
      <c r="I193" s="67"/>
      <c r="J193" s="68">
        <v>1</v>
      </c>
      <c r="K193" s="49"/>
      <c r="L193" s="61"/>
      <c r="M193" s="61"/>
      <c r="N193" s="61"/>
    </row>
    <row r="194" spans="1:14" ht="21.75" customHeight="1" x14ac:dyDescent="0.4">
      <c r="A194" s="55"/>
      <c r="B194" s="56"/>
      <c r="C194" s="56"/>
      <c r="D194" s="73"/>
      <c r="E194" s="74" t="s">
        <v>29</v>
      </c>
      <c r="F194" s="75"/>
      <c r="G194" s="76"/>
      <c r="H194" s="66"/>
      <c r="I194" s="67"/>
      <c r="J194" s="68">
        <v>0</v>
      </c>
      <c r="K194" s="49"/>
      <c r="L194" s="61"/>
      <c r="M194" s="61"/>
      <c r="N194" s="61"/>
    </row>
    <row r="195" spans="1:14" ht="21.75" customHeight="1" x14ac:dyDescent="0.4">
      <c r="A195" s="55"/>
      <c r="B195" s="56"/>
      <c r="C195" s="56"/>
      <c r="D195" s="73"/>
      <c r="E195" s="75"/>
      <c r="F195" s="74" t="s">
        <v>91</v>
      </c>
      <c r="G195" s="76"/>
      <c r="H195" s="66" t="s">
        <v>16</v>
      </c>
      <c r="I195" s="67">
        <f ca="1">IFERROR(__xludf.DUMMYFUNCTION("IMPORTRANGE(""https://docs.google.com/spreadsheets/d/1C3CXT74ZlgGe6_JY_1olB1XN4rF0dxEuIIF-xsYjHgg/edit?usp=sharing"",""พรบ!BM21"")"),15)</f>
        <v>15</v>
      </c>
      <c r="J195" s="68">
        <v>0</v>
      </c>
      <c r="K195" s="49">
        <f ca="1">IF(I195&gt;0,J195*100/I195,0)</f>
        <v>0</v>
      </c>
      <c r="L195" s="61"/>
      <c r="M195" s="61"/>
      <c r="N195" s="61"/>
    </row>
    <row r="196" spans="1:14" ht="21.75" customHeight="1" x14ac:dyDescent="0.4">
      <c r="A196" s="55"/>
      <c r="B196" s="56"/>
      <c r="C196" s="56"/>
      <c r="D196" s="73"/>
      <c r="E196" s="74" t="s">
        <v>35</v>
      </c>
      <c r="F196" s="75"/>
      <c r="G196" s="76"/>
      <c r="H196" s="66"/>
      <c r="I196" s="67"/>
      <c r="J196" s="68">
        <v>0</v>
      </c>
      <c r="K196" s="49"/>
      <c r="L196" s="61"/>
      <c r="M196" s="61"/>
      <c r="N196" s="61"/>
    </row>
    <row r="197" spans="1:14" ht="21.75" customHeight="1" x14ac:dyDescent="0.4">
      <c r="A197" s="55"/>
      <c r="B197" s="56"/>
      <c r="C197" s="56"/>
      <c r="D197" s="81">
        <v>3</v>
      </c>
      <c r="E197" s="82" t="s">
        <v>36</v>
      </c>
      <c r="F197" s="83"/>
      <c r="G197" s="84"/>
      <c r="H197" s="66"/>
      <c r="I197" s="67"/>
      <c r="J197" s="85">
        <v>0</v>
      </c>
      <c r="K197" s="49"/>
      <c r="L197" s="61"/>
      <c r="M197" s="61"/>
      <c r="N197" s="61"/>
    </row>
    <row r="198" spans="1:14" ht="21.75" customHeight="1" x14ac:dyDescent="0.4">
      <c r="A198" s="166" t="s">
        <v>92</v>
      </c>
      <c r="B198" s="167"/>
      <c r="C198" s="167"/>
      <c r="D198" s="168"/>
      <c r="E198" s="167"/>
      <c r="F198" s="167"/>
      <c r="G198" s="181"/>
      <c r="H198" s="182"/>
      <c r="I198" s="183"/>
      <c r="J198" s="183"/>
      <c r="K198" s="184"/>
      <c r="L198" s="184"/>
      <c r="M198" s="184"/>
      <c r="N198" s="173"/>
    </row>
    <row r="199" spans="1:14" ht="21.75" customHeight="1" x14ac:dyDescent="0.4">
      <c r="A199" s="185"/>
      <c r="B199" s="175" t="s">
        <v>93</v>
      </c>
      <c r="C199" s="186"/>
      <c r="D199" s="187"/>
      <c r="E199" s="175"/>
      <c r="F199" s="175"/>
      <c r="G199" s="176"/>
      <c r="H199" s="177" t="s">
        <v>16</v>
      </c>
      <c r="I199" s="178">
        <f t="shared" ref="I199:J199" ca="1" si="44">I209</f>
        <v>0</v>
      </c>
      <c r="J199" s="178">
        <f t="shared" si="44"/>
        <v>0</v>
      </c>
      <c r="K199" s="179">
        <f ca="1">IF(I199&gt;0,J199*100/I199,0)</f>
        <v>0</v>
      </c>
      <c r="L199" s="180">
        <f ca="1">L200+L201</f>
        <v>0</v>
      </c>
      <c r="M199" s="180">
        <f>SUM(M200:M201)</f>
        <v>0</v>
      </c>
      <c r="N199" s="179">
        <f ca="1">IF(L199&gt;0,M199*100/L199,0)</f>
        <v>0</v>
      </c>
    </row>
    <row r="200" spans="1:14" ht="21.75" customHeight="1" x14ac:dyDescent="0.4">
      <c r="A200" s="42"/>
      <c r="B200" s="43"/>
      <c r="C200" s="43" t="s">
        <v>17</v>
      </c>
      <c r="D200" s="44" t="s">
        <v>18</v>
      </c>
      <c r="E200" s="45"/>
      <c r="F200" s="45"/>
      <c r="G200" s="46" t="s">
        <v>19</v>
      </c>
      <c r="H200" s="47" t="s">
        <v>20</v>
      </c>
      <c r="I200" s="48" t="s">
        <v>21</v>
      </c>
      <c r="J200" s="48"/>
      <c r="K200" s="49"/>
      <c r="L200" s="50">
        <v>0</v>
      </c>
      <c r="M200" s="50">
        <v>0</v>
      </c>
      <c r="N200" s="50">
        <f t="shared" ref="N200:N203" si="45">+IF(L200&gt;0,M200*100/L200,0)</f>
        <v>0</v>
      </c>
    </row>
    <row r="201" spans="1:14" ht="21.75" customHeight="1" x14ac:dyDescent="0.4">
      <c r="A201" s="42"/>
      <c r="B201" s="43"/>
      <c r="C201" s="43"/>
      <c r="D201" s="51"/>
      <c r="E201" s="45"/>
      <c r="F201" s="45" t="s">
        <v>21</v>
      </c>
      <c r="G201" s="46" t="s">
        <v>22</v>
      </c>
      <c r="H201" s="47" t="s">
        <v>20</v>
      </c>
      <c r="I201" s="48"/>
      <c r="J201" s="48"/>
      <c r="K201" s="49"/>
      <c r="L201" s="50">
        <f t="shared" ref="L201:M201" ca="1" si="46">SUM(L202:L203)</f>
        <v>0</v>
      </c>
      <c r="M201" s="50">
        <f t="shared" si="46"/>
        <v>0</v>
      </c>
      <c r="N201" s="50">
        <f t="shared" ca="1" si="45"/>
        <v>0</v>
      </c>
    </row>
    <row r="202" spans="1:14" ht="21.75" customHeight="1" x14ac:dyDescent="0.4">
      <c r="A202" s="42"/>
      <c r="B202" s="43"/>
      <c r="C202" s="43"/>
      <c r="D202" s="51"/>
      <c r="E202" s="45"/>
      <c r="F202" s="45"/>
      <c r="G202" s="52" t="s">
        <v>23</v>
      </c>
      <c r="H202" s="47" t="s">
        <v>20</v>
      </c>
      <c r="I202" s="48"/>
      <c r="J202" s="48"/>
      <c r="K202" s="49"/>
      <c r="L202" s="53">
        <f ca="1">IFERROR(__xludf.DUMMYFUNCTION("IMPORTRANGE(""https://docs.google.com/spreadsheets/d/1C3CXT74ZlgGe6_JY_1olB1XN4rF0dxEuIIF-xsYjHgg/edit?usp=sharing"",""พรบ!Bo21"")"),0)</f>
        <v>0</v>
      </c>
      <c r="M202" s="53">
        <v>0</v>
      </c>
      <c r="N202" s="53">
        <f t="shared" ca="1" si="45"/>
        <v>0</v>
      </c>
    </row>
    <row r="203" spans="1:14" ht="21.75" customHeight="1" x14ac:dyDescent="0.4">
      <c r="A203" s="42"/>
      <c r="B203" s="43"/>
      <c r="C203" s="43"/>
      <c r="D203" s="51"/>
      <c r="E203" s="45"/>
      <c r="F203" s="45"/>
      <c r="G203" s="52" t="s">
        <v>24</v>
      </c>
      <c r="H203" s="47" t="s">
        <v>20</v>
      </c>
      <c r="I203" s="48"/>
      <c r="J203" s="67"/>
      <c r="K203" s="233"/>
      <c r="L203" s="53">
        <f ca="1">IFERROR(__xludf.DUMMYFUNCTION("IMPORTRANGE(""https://docs.google.com/spreadsheets/d/1C3CXT74ZlgGe6_JY_1olB1XN4rF0dxEuIIF-xsYjHgg/edit?usp=sharing"",""พรบ!BP21"")"),0)</f>
        <v>0</v>
      </c>
      <c r="M203" s="53">
        <v>0</v>
      </c>
      <c r="N203" s="53">
        <f t="shared" ca="1" si="45"/>
        <v>0</v>
      </c>
    </row>
    <row r="204" spans="1:14" ht="21.75" customHeight="1" x14ac:dyDescent="0.4">
      <c r="A204" s="55"/>
      <c r="B204" s="56"/>
      <c r="C204" s="43" t="s">
        <v>17</v>
      </c>
      <c r="D204" s="57" t="s">
        <v>25</v>
      </c>
      <c r="E204" s="58"/>
      <c r="F204" s="58"/>
      <c r="G204" s="59"/>
      <c r="H204" s="60"/>
      <c r="I204" s="48"/>
      <c r="J204" s="67"/>
      <c r="K204" s="233"/>
      <c r="L204" s="53"/>
      <c r="M204" s="53"/>
      <c r="N204" s="61"/>
    </row>
    <row r="205" spans="1:14" ht="21.75" customHeight="1" x14ac:dyDescent="0.4">
      <c r="A205" s="55"/>
      <c r="B205" s="56"/>
      <c r="C205" s="56"/>
      <c r="D205" s="62">
        <v>1</v>
      </c>
      <c r="E205" s="63" t="s">
        <v>26</v>
      </c>
      <c r="F205" s="64"/>
      <c r="G205" s="65"/>
      <c r="H205" s="66"/>
      <c r="I205" s="67"/>
      <c r="J205" s="67">
        <v>0</v>
      </c>
      <c r="K205" s="233"/>
      <c r="L205" s="53"/>
      <c r="M205" s="53"/>
      <c r="N205" s="61"/>
    </row>
    <row r="206" spans="1:14" ht="21.75" customHeight="1" x14ac:dyDescent="0.4">
      <c r="A206" s="55"/>
      <c r="B206" s="56"/>
      <c r="C206" s="56"/>
      <c r="D206" s="69">
        <v>2</v>
      </c>
      <c r="E206" s="70" t="s">
        <v>27</v>
      </c>
      <c r="F206" s="71"/>
      <c r="G206" s="72"/>
      <c r="H206" s="66"/>
      <c r="I206" s="67"/>
      <c r="J206" s="67">
        <v>0</v>
      </c>
      <c r="K206" s="233"/>
      <c r="L206" s="53" t="s">
        <v>21</v>
      </c>
      <c r="M206" s="53" t="s">
        <v>21</v>
      </c>
      <c r="N206" s="61"/>
    </row>
    <row r="207" spans="1:14" ht="21.75" customHeight="1" x14ac:dyDescent="0.4">
      <c r="A207" s="55"/>
      <c r="B207" s="56"/>
      <c r="C207" s="56"/>
      <c r="D207" s="73"/>
      <c r="E207" s="74" t="s">
        <v>28</v>
      </c>
      <c r="F207" s="75"/>
      <c r="G207" s="76"/>
      <c r="H207" s="66"/>
      <c r="I207" s="67"/>
      <c r="J207" s="67">
        <v>0</v>
      </c>
      <c r="K207" s="233"/>
      <c r="L207" s="53"/>
      <c r="M207" s="53"/>
      <c r="N207" s="61"/>
    </row>
    <row r="208" spans="1:14" ht="21.75" customHeight="1" x14ac:dyDescent="0.4">
      <c r="A208" s="55"/>
      <c r="B208" s="56"/>
      <c r="C208" s="56"/>
      <c r="D208" s="73"/>
      <c r="E208" s="74" t="s">
        <v>29</v>
      </c>
      <c r="F208" s="75"/>
      <c r="G208" s="76"/>
      <c r="H208" s="66"/>
      <c r="I208" s="67"/>
      <c r="J208" s="67">
        <v>0</v>
      </c>
      <c r="K208" s="233"/>
      <c r="L208" s="53"/>
      <c r="M208" s="53"/>
      <c r="N208" s="61"/>
    </row>
    <row r="209" spans="1:14" ht="21.75" customHeight="1" x14ac:dyDescent="0.4">
      <c r="A209" s="55"/>
      <c r="B209" s="56"/>
      <c r="C209" s="56"/>
      <c r="D209" s="73"/>
      <c r="E209" s="77"/>
      <c r="F209" s="74" t="s">
        <v>94</v>
      </c>
      <c r="G209" s="76"/>
      <c r="H209" s="60" t="s">
        <v>16</v>
      </c>
      <c r="I209" s="67">
        <f ca="1">IFERROR(__xludf.DUMMYFUNCTION("IMPORTRANGE(""https://docs.google.com/spreadsheets/d/1C3CXT74ZlgGe6_JY_1olB1XN4rF0dxEuIIF-xsYjHgg/edit?usp=sharing"",""พรบ!BQ21"")"),0)</f>
        <v>0</v>
      </c>
      <c r="J209" s="67">
        <v>0</v>
      </c>
      <c r="K209" s="233">
        <f ca="1">IF(I209&gt;0,J209*100/I209,0)</f>
        <v>0</v>
      </c>
      <c r="L209" s="53"/>
      <c r="M209" s="53"/>
      <c r="N209" s="61"/>
    </row>
    <row r="210" spans="1:14" ht="21.75" customHeight="1" x14ac:dyDescent="0.4">
      <c r="A210" s="55"/>
      <c r="B210" s="56"/>
      <c r="C210" s="56"/>
      <c r="D210" s="73"/>
      <c r="E210" s="77"/>
      <c r="F210" s="74" t="s">
        <v>95</v>
      </c>
      <c r="G210" s="76"/>
      <c r="H210" s="60"/>
      <c r="I210" s="67"/>
      <c r="J210" s="67"/>
      <c r="K210" s="233"/>
      <c r="L210" s="53"/>
      <c r="M210" s="53"/>
      <c r="N210" s="61"/>
    </row>
    <row r="211" spans="1:14" ht="21.75" customHeight="1" x14ac:dyDescent="0.4">
      <c r="A211" s="55"/>
      <c r="B211" s="56"/>
      <c r="C211" s="56"/>
      <c r="D211" s="73"/>
      <c r="E211" s="77"/>
      <c r="F211" s="75" t="s">
        <v>34</v>
      </c>
      <c r="G211" s="76"/>
      <c r="H211" s="60" t="s">
        <v>16</v>
      </c>
      <c r="I211" s="67">
        <f ca="1">IFERROR(__xludf.DUMMYFUNCTION("IMPORTRANGE(""https://docs.google.com/spreadsheets/d/1C3CXT74ZlgGe6_JY_1olB1XN4rF0dxEuIIF-xsYjHgg/edit?usp=sharing"",""พรบ!BR21"")"),0)</f>
        <v>0</v>
      </c>
      <c r="J211" s="67">
        <v>0</v>
      </c>
      <c r="K211" s="233">
        <f ca="1">IF(I211&gt;0,J211*100/I211,0)</f>
        <v>0</v>
      </c>
      <c r="L211" s="53"/>
      <c r="M211" s="53"/>
      <c r="N211" s="61"/>
    </row>
    <row r="212" spans="1:14" ht="21.75" customHeight="1" x14ac:dyDescent="0.4">
      <c r="A212" s="55"/>
      <c r="B212" s="56"/>
      <c r="C212" s="56"/>
      <c r="D212" s="73"/>
      <c r="E212" s="74" t="s">
        <v>35</v>
      </c>
      <c r="F212" s="75"/>
      <c r="G212" s="76"/>
      <c r="H212" s="66"/>
      <c r="I212" s="67"/>
      <c r="J212" s="67">
        <v>0</v>
      </c>
      <c r="K212" s="233"/>
      <c r="L212" s="53"/>
      <c r="M212" s="53"/>
      <c r="N212" s="61"/>
    </row>
    <row r="213" spans="1:14" ht="21.75" customHeight="1" x14ac:dyDescent="0.4">
      <c r="A213" s="55"/>
      <c r="B213" s="56"/>
      <c r="C213" s="56"/>
      <c r="D213" s="81">
        <v>3</v>
      </c>
      <c r="E213" s="82" t="s">
        <v>36</v>
      </c>
      <c r="F213" s="83"/>
      <c r="G213" s="84"/>
      <c r="H213" s="66"/>
      <c r="I213" s="67"/>
      <c r="J213" s="385">
        <v>0</v>
      </c>
      <c r="K213" s="233"/>
      <c r="L213" s="53"/>
      <c r="M213" s="53"/>
      <c r="N213" s="61"/>
    </row>
    <row r="214" spans="1:14" ht="21.75" customHeight="1" x14ac:dyDescent="0.4">
      <c r="A214" s="189"/>
      <c r="B214" s="190" t="s">
        <v>96</v>
      </c>
      <c r="C214" s="191"/>
      <c r="D214" s="192"/>
      <c r="E214" s="190"/>
      <c r="F214" s="190"/>
      <c r="G214" s="193"/>
      <c r="H214" s="194" t="s">
        <v>97</v>
      </c>
      <c r="I214" s="195">
        <f t="shared" ref="I214:J214" ca="1" si="47">I224</f>
        <v>0</v>
      </c>
      <c r="J214" s="195">
        <f t="shared" si="47"/>
        <v>0</v>
      </c>
      <c r="K214" s="196">
        <f ca="1">IF(I214&gt;0,J214*100/I214,0)</f>
        <v>0</v>
      </c>
      <c r="L214" s="197">
        <f ca="1">L215+L216</f>
        <v>0</v>
      </c>
      <c r="M214" s="197">
        <f>SUM(M215:M216)</f>
        <v>0</v>
      </c>
      <c r="N214" s="196">
        <f ca="1">IF(L214&gt;0,M214*100/L214,0)</f>
        <v>0</v>
      </c>
    </row>
    <row r="215" spans="1:14" ht="21.75" customHeight="1" x14ac:dyDescent="0.4">
      <c r="A215" s="42"/>
      <c r="B215" s="43"/>
      <c r="C215" s="43" t="s">
        <v>17</v>
      </c>
      <c r="D215" s="44" t="s">
        <v>18</v>
      </c>
      <c r="E215" s="45"/>
      <c r="F215" s="45"/>
      <c r="G215" s="46" t="s">
        <v>19</v>
      </c>
      <c r="H215" s="47" t="s">
        <v>20</v>
      </c>
      <c r="I215" s="48" t="s">
        <v>21</v>
      </c>
      <c r="J215" s="48"/>
      <c r="K215" s="49"/>
      <c r="L215" s="50">
        <v>0</v>
      </c>
      <c r="M215" s="53">
        <v>0</v>
      </c>
      <c r="N215" s="53">
        <f t="shared" ref="N215:N218" si="48">+IF(L215&gt;0,M215*100/L215,0)</f>
        <v>0</v>
      </c>
    </row>
    <row r="216" spans="1:14" ht="21.75" customHeight="1" x14ac:dyDescent="0.4">
      <c r="A216" s="42"/>
      <c r="B216" s="43"/>
      <c r="C216" s="43"/>
      <c r="D216" s="51"/>
      <c r="E216" s="45"/>
      <c r="F216" s="45" t="s">
        <v>21</v>
      </c>
      <c r="G216" s="46" t="s">
        <v>22</v>
      </c>
      <c r="H216" s="47" t="s">
        <v>20</v>
      </c>
      <c r="I216" s="48"/>
      <c r="J216" s="48"/>
      <c r="K216" s="49"/>
      <c r="L216" s="50">
        <f t="shared" ref="L216:M216" ca="1" si="49">SUM(L217:L218)</f>
        <v>0</v>
      </c>
      <c r="M216" s="53">
        <f t="shared" si="49"/>
        <v>0</v>
      </c>
      <c r="N216" s="53">
        <f t="shared" ca="1" si="48"/>
        <v>0</v>
      </c>
    </row>
    <row r="217" spans="1:14" ht="21.75" customHeight="1" x14ac:dyDescent="0.4">
      <c r="A217" s="42"/>
      <c r="B217" s="43"/>
      <c r="C217" s="43"/>
      <c r="D217" s="51"/>
      <c r="E217" s="45"/>
      <c r="F217" s="45"/>
      <c r="G217" s="52" t="s">
        <v>23</v>
      </c>
      <c r="H217" s="47" t="s">
        <v>20</v>
      </c>
      <c r="I217" s="48"/>
      <c r="J217" s="48"/>
      <c r="K217" s="49"/>
      <c r="L217" s="53">
        <f ca="1">IFERROR(__xludf.DUMMYFUNCTION("IMPORTRANGE(""https://docs.google.com/spreadsheets/d/1C3CXT74ZlgGe6_JY_1olB1XN4rF0dxEuIIF-xsYjHgg/edit?usp=sharing"",""พรบ!Bt21"")"),0)</f>
        <v>0</v>
      </c>
      <c r="M217" s="53">
        <v>0</v>
      </c>
      <c r="N217" s="53">
        <f t="shared" ca="1" si="48"/>
        <v>0</v>
      </c>
    </row>
    <row r="218" spans="1:14" ht="21.75" customHeight="1" x14ac:dyDescent="0.4">
      <c r="A218" s="42"/>
      <c r="B218" s="43"/>
      <c r="C218" s="43"/>
      <c r="D218" s="51"/>
      <c r="E218" s="45"/>
      <c r="F218" s="45"/>
      <c r="G218" s="52" t="s">
        <v>24</v>
      </c>
      <c r="H218" s="47" t="s">
        <v>20</v>
      </c>
      <c r="I218" s="48"/>
      <c r="J218" s="67"/>
      <c r="K218" s="233"/>
      <c r="L218" s="53">
        <f ca="1">IFERROR(__xludf.DUMMYFUNCTION("IMPORTRANGE(""https://docs.google.com/spreadsheets/d/1C3CXT74ZlgGe6_JY_1olB1XN4rF0dxEuIIF-xsYjHgg/edit?usp=sharing"",""พรบ!BU21"")"),0)</f>
        <v>0</v>
      </c>
      <c r="M218" s="53">
        <v>0</v>
      </c>
      <c r="N218" s="53">
        <f t="shared" ca="1" si="48"/>
        <v>0</v>
      </c>
    </row>
    <row r="219" spans="1:14" ht="21.75" customHeight="1" x14ac:dyDescent="0.4">
      <c r="A219" s="55"/>
      <c r="B219" s="56"/>
      <c r="C219" s="43" t="s">
        <v>17</v>
      </c>
      <c r="D219" s="57" t="s">
        <v>25</v>
      </c>
      <c r="E219" s="58"/>
      <c r="F219" s="58"/>
      <c r="G219" s="59"/>
      <c r="H219" s="60"/>
      <c r="I219" s="48"/>
      <c r="J219" s="67"/>
      <c r="K219" s="233"/>
      <c r="L219" s="53"/>
      <c r="M219" s="53"/>
      <c r="N219" s="61"/>
    </row>
    <row r="220" spans="1:14" ht="21.75" customHeight="1" x14ac:dyDescent="0.4">
      <c r="A220" s="55"/>
      <c r="B220" s="56"/>
      <c r="C220" s="56"/>
      <c r="D220" s="62">
        <v>1</v>
      </c>
      <c r="E220" s="63" t="s">
        <v>26</v>
      </c>
      <c r="F220" s="64"/>
      <c r="G220" s="65"/>
      <c r="H220" s="66"/>
      <c r="I220" s="67"/>
      <c r="J220" s="67">
        <v>0</v>
      </c>
      <c r="K220" s="233"/>
      <c r="L220" s="53"/>
      <c r="M220" s="53"/>
      <c r="N220" s="61"/>
    </row>
    <row r="221" spans="1:14" ht="21.75" customHeight="1" x14ac:dyDescent="0.4">
      <c r="A221" s="55"/>
      <c r="B221" s="56"/>
      <c r="C221" s="56"/>
      <c r="D221" s="69">
        <v>2</v>
      </c>
      <c r="E221" s="70" t="s">
        <v>27</v>
      </c>
      <c r="F221" s="71"/>
      <c r="G221" s="72"/>
      <c r="H221" s="66"/>
      <c r="I221" s="67"/>
      <c r="J221" s="67">
        <v>0</v>
      </c>
      <c r="K221" s="233"/>
      <c r="L221" s="53" t="s">
        <v>21</v>
      </c>
      <c r="M221" s="53" t="s">
        <v>21</v>
      </c>
      <c r="N221" s="61"/>
    </row>
    <row r="222" spans="1:14" ht="21.75" customHeight="1" x14ac:dyDescent="0.4">
      <c r="A222" s="55"/>
      <c r="B222" s="56"/>
      <c r="C222" s="56"/>
      <c r="D222" s="73"/>
      <c r="E222" s="74" t="s">
        <v>28</v>
      </c>
      <c r="F222" s="75"/>
      <c r="G222" s="76"/>
      <c r="H222" s="66"/>
      <c r="I222" s="67"/>
      <c r="J222" s="67">
        <v>0</v>
      </c>
      <c r="K222" s="233"/>
      <c r="L222" s="53"/>
      <c r="M222" s="53"/>
      <c r="N222" s="61"/>
    </row>
    <row r="223" spans="1:14" ht="21.75" customHeight="1" x14ac:dyDescent="0.4">
      <c r="A223" s="55"/>
      <c r="B223" s="56"/>
      <c r="C223" s="56"/>
      <c r="D223" s="73"/>
      <c r="E223" s="74" t="s">
        <v>29</v>
      </c>
      <c r="F223" s="75"/>
      <c r="G223" s="76"/>
      <c r="H223" s="66"/>
      <c r="I223" s="67"/>
      <c r="J223" s="67">
        <v>0</v>
      </c>
      <c r="K223" s="233"/>
      <c r="L223" s="53"/>
      <c r="M223" s="53"/>
      <c r="N223" s="61"/>
    </row>
    <row r="224" spans="1:14" ht="21.75" customHeight="1" x14ac:dyDescent="0.4">
      <c r="A224" s="55"/>
      <c r="B224" s="56"/>
      <c r="C224" s="56"/>
      <c r="D224" s="73"/>
      <c r="E224" s="77"/>
      <c r="F224" s="74" t="s">
        <v>98</v>
      </c>
      <c r="G224" s="76"/>
      <c r="H224" s="66" t="s">
        <v>97</v>
      </c>
      <c r="I224" s="67">
        <f ca="1">IFERROR(__xludf.DUMMYFUNCTION("IMPORTRANGE(""https://docs.google.com/spreadsheets/d/1C3CXT74ZlgGe6_JY_1olB1XN4rF0dxEuIIF-xsYjHgg/edit?usp=sharing"",""พรบ!BV21"")"),0)</f>
        <v>0</v>
      </c>
      <c r="J224" s="67">
        <v>0</v>
      </c>
      <c r="K224" s="233">
        <f ca="1">IF(I224&gt;0,J224*100/I224,0)</f>
        <v>0</v>
      </c>
      <c r="L224" s="53"/>
      <c r="M224" s="53"/>
      <c r="N224" s="61"/>
    </row>
    <row r="225" spans="1:14" ht="21.75" customHeight="1" x14ac:dyDescent="0.4">
      <c r="A225" s="55"/>
      <c r="B225" s="56"/>
      <c r="C225" s="56"/>
      <c r="D225" s="73"/>
      <c r="E225" s="74" t="s">
        <v>35</v>
      </c>
      <c r="F225" s="75"/>
      <c r="G225" s="76"/>
      <c r="H225" s="66"/>
      <c r="I225" s="67"/>
      <c r="J225" s="67">
        <v>0</v>
      </c>
      <c r="K225" s="233"/>
      <c r="L225" s="53"/>
      <c r="M225" s="53"/>
      <c r="N225" s="61"/>
    </row>
    <row r="226" spans="1:14" ht="21.75" customHeight="1" x14ac:dyDescent="0.4">
      <c r="A226" s="55"/>
      <c r="B226" s="56"/>
      <c r="C226" s="56"/>
      <c r="D226" s="81">
        <v>3</v>
      </c>
      <c r="E226" s="82" t="s">
        <v>36</v>
      </c>
      <c r="F226" s="83"/>
      <c r="G226" s="84"/>
      <c r="H226" s="66"/>
      <c r="I226" s="67"/>
      <c r="J226" s="360">
        <v>0</v>
      </c>
      <c r="K226" s="233"/>
      <c r="L226" s="53"/>
      <c r="M226" s="53"/>
      <c r="N226" s="61"/>
    </row>
    <row r="227" spans="1:14" ht="21.75" customHeight="1" x14ac:dyDescent="0.4">
      <c r="A227" s="166" t="s">
        <v>99</v>
      </c>
      <c r="B227" s="167"/>
      <c r="C227" s="167"/>
      <c r="D227" s="168"/>
      <c r="E227" s="167"/>
      <c r="F227" s="167"/>
      <c r="G227" s="181"/>
      <c r="H227" s="170"/>
      <c r="I227" s="171"/>
      <c r="J227" s="171"/>
      <c r="K227" s="172"/>
      <c r="L227" s="172"/>
      <c r="M227" s="172"/>
      <c r="N227" s="173"/>
    </row>
    <row r="228" spans="1:14" ht="21.75" customHeight="1" x14ac:dyDescent="0.4">
      <c r="A228" s="174"/>
      <c r="B228" s="175" t="s">
        <v>100</v>
      </c>
      <c r="C228" s="187"/>
      <c r="D228" s="175"/>
      <c r="E228" s="175"/>
      <c r="F228" s="175"/>
      <c r="G228" s="176"/>
      <c r="H228" s="177" t="s">
        <v>16</v>
      </c>
      <c r="I228" s="198">
        <f ca="1">I236</f>
        <v>680</v>
      </c>
      <c r="J228" s="198">
        <f ca="1">J240</f>
        <v>0</v>
      </c>
      <c r="K228" s="179">
        <f ca="1">IF(I228&gt;0,J228*100/I228,0)</f>
        <v>0</v>
      </c>
      <c r="L228" s="180">
        <f ca="1">L229+L230</f>
        <v>1538870</v>
      </c>
      <c r="M228" s="180">
        <f>SUM(M229:M230)</f>
        <v>0</v>
      </c>
      <c r="N228" s="179">
        <f ca="1">IF(L228&gt;0,M228*100/L228,0)</f>
        <v>0</v>
      </c>
    </row>
    <row r="229" spans="1:14" ht="21.75" customHeight="1" x14ac:dyDescent="0.4">
      <c r="A229" s="42"/>
      <c r="B229" s="43"/>
      <c r="C229" s="43" t="s">
        <v>17</v>
      </c>
      <c r="D229" s="44" t="s">
        <v>18</v>
      </c>
      <c r="E229" s="45"/>
      <c r="F229" s="45"/>
      <c r="G229" s="46" t="s">
        <v>19</v>
      </c>
      <c r="H229" s="47" t="s">
        <v>20</v>
      </c>
      <c r="I229" s="48" t="s">
        <v>21</v>
      </c>
      <c r="J229" s="48"/>
      <c r="K229" s="49"/>
      <c r="L229" s="50">
        <v>0</v>
      </c>
      <c r="M229" s="53">
        <v>0</v>
      </c>
      <c r="N229" s="53">
        <f t="shared" ref="N229:N232" si="50">+IF(L229&gt;0,M229*100/L229,0)</f>
        <v>0</v>
      </c>
    </row>
    <row r="230" spans="1:14" ht="21.75" customHeight="1" x14ac:dyDescent="0.4">
      <c r="A230" s="42"/>
      <c r="B230" s="43"/>
      <c r="C230" s="43"/>
      <c r="D230" s="51"/>
      <c r="E230" s="45"/>
      <c r="F230" s="45" t="s">
        <v>21</v>
      </c>
      <c r="G230" s="46" t="s">
        <v>22</v>
      </c>
      <c r="H230" s="47" t="s">
        <v>20</v>
      </c>
      <c r="I230" s="48"/>
      <c r="J230" s="48"/>
      <c r="K230" s="49"/>
      <c r="L230" s="50">
        <f t="shared" ref="L230:M230" ca="1" si="51">SUM(L231:L232)</f>
        <v>1538870</v>
      </c>
      <c r="M230" s="53">
        <f t="shared" si="51"/>
        <v>0</v>
      </c>
      <c r="N230" s="53">
        <f t="shared" ca="1" si="50"/>
        <v>0</v>
      </c>
    </row>
    <row r="231" spans="1:14" ht="21.75" customHeight="1" x14ac:dyDescent="0.4">
      <c r="A231" s="42"/>
      <c r="B231" s="43"/>
      <c r="C231" s="43"/>
      <c r="D231" s="51"/>
      <c r="E231" s="45"/>
      <c r="F231" s="45"/>
      <c r="G231" s="52" t="s">
        <v>23</v>
      </c>
      <c r="H231" s="47" t="s">
        <v>20</v>
      </c>
      <c r="I231" s="48"/>
      <c r="J231" s="48"/>
      <c r="K231" s="49"/>
      <c r="L231" s="53">
        <f ca="1">IFERROR(__xludf.DUMMYFUNCTION("IMPORTRANGE(""https://docs.google.com/spreadsheets/d/1C3CXT74ZlgGe6_JY_1olB1XN4rF0dxEuIIF-xsYjHgg/edit?usp=sharing"",""พรบ!BX21"")"),831600)</f>
        <v>831600</v>
      </c>
      <c r="M231" s="54">
        <v>0</v>
      </c>
      <c r="N231" s="53">
        <f t="shared" ca="1" si="50"/>
        <v>0</v>
      </c>
    </row>
    <row r="232" spans="1:14" ht="21.75" customHeight="1" x14ac:dyDescent="0.4">
      <c r="A232" s="42"/>
      <c r="B232" s="43"/>
      <c r="C232" s="43"/>
      <c r="D232" s="51"/>
      <c r="E232" s="45"/>
      <c r="F232" s="45"/>
      <c r="G232" s="52" t="s">
        <v>24</v>
      </c>
      <c r="H232" s="47" t="s">
        <v>20</v>
      </c>
      <c r="I232" s="48"/>
      <c r="J232" s="48"/>
      <c r="K232" s="49"/>
      <c r="L232" s="53">
        <f ca="1">IFERROR(__xludf.DUMMYFUNCTION("IMPORTRANGE(""https://docs.google.com/spreadsheets/d/1C3CXT74ZlgGe6_JY_1olB1XN4rF0dxEuIIF-xsYjHgg/edit?usp=sharing"",""พรบ!BY21"")"),707270)</f>
        <v>707270</v>
      </c>
      <c r="M232" s="54">
        <v>0</v>
      </c>
      <c r="N232" s="53">
        <f t="shared" ca="1" si="50"/>
        <v>0</v>
      </c>
    </row>
    <row r="233" spans="1:14" ht="21.75" customHeight="1" x14ac:dyDescent="0.4">
      <c r="A233" s="55"/>
      <c r="B233" s="155"/>
      <c r="C233" s="199" t="s">
        <v>101</v>
      </c>
      <c r="D233" s="75"/>
      <c r="E233" s="75"/>
      <c r="F233" s="75"/>
      <c r="G233" s="76"/>
      <c r="H233" s="60"/>
      <c r="I233" s="200"/>
      <c r="J233" s="200"/>
      <c r="K233" s="201"/>
      <c r="L233" s="61"/>
      <c r="M233" s="61"/>
      <c r="N233" s="202"/>
    </row>
    <row r="234" spans="1:14" ht="21.75" customHeight="1" x14ac:dyDescent="0.4">
      <c r="A234" s="55"/>
      <c r="B234" s="155"/>
      <c r="C234" s="56"/>
      <c r="D234" s="75"/>
      <c r="E234" s="74" t="s">
        <v>102</v>
      </c>
      <c r="F234" s="75"/>
      <c r="G234" s="76"/>
      <c r="H234" s="60" t="s">
        <v>16</v>
      </c>
      <c r="I234" s="67">
        <v>0</v>
      </c>
      <c r="J234" s="67">
        <f ca="1">IFERROR(__xludf.DUMMYFUNCTION("IMPORTRANGE(""https://docs.google.com/spreadsheets/d/1AGHcLOeeYFL3K4b9R1dSzyJy00PE_ra89DNTVfnxSWM/edit?usp=sharing"",""รวมที่ทำกิน!J10"")"),12)</f>
        <v>12</v>
      </c>
      <c r="K234" s="201">
        <f t="shared" ref="K234:K241" si="52">IF(I234&gt;0,J234*100/I234,0)</f>
        <v>0</v>
      </c>
      <c r="L234" s="61"/>
      <c r="M234" s="61"/>
      <c r="N234" s="202"/>
    </row>
    <row r="235" spans="1:14" ht="21.75" customHeight="1" x14ac:dyDescent="0.4">
      <c r="A235" s="55"/>
      <c r="B235" s="155"/>
      <c r="C235" s="56"/>
      <c r="D235" s="75"/>
      <c r="E235" s="75"/>
      <c r="F235" s="75"/>
      <c r="G235" s="76"/>
      <c r="H235" s="60" t="s">
        <v>103</v>
      </c>
      <c r="I235" s="67">
        <f ca="1">IFERROR(__xludf.DUMMYFUNCTION("IMPORTRANGE(""https://docs.google.com/spreadsheets/d/1C3CXT74ZlgGe6_JY_1olB1XN4rF0dxEuIIF-xsYjHgg/edit?usp=sharing"",""พรบ!BZ21"")"),3400)</f>
        <v>3400</v>
      </c>
      <c r="J235" s="67">
        <f ca="1">IFERROR(__xludf.DUMMYFUNCTION("IMPORTRANGE(""https://docs.google.com/spreadsheets/d/1AGHcLOeeYFL3K4b9R1dSzyJy00PE_ra89DNTVfnxSWM/edit?usp=sharing"",""รวมที่ทำกิน!L10"")"),44.86)</f>
        <v>44.86</v>
      </c>
      <c r="K235" s="201">
        <f t="shared" ca="1" si="52"/>
        <v>1.3194117647058823</v>
      </c>
      <c r="L235" s="61"/>
      <c r="M235" s="61"/>
      <c r="N235" s="202"/>
    </row>
    <row r="236" spans="1:14" ht="21.75" customHeight="1" x14ac:dyDescent="0.4">
      <c r="A236" s="55"/>
      <c r="B236" s="155"/>
      <c r="C236" s="56"/>
      <c r="D236" s="75"/>
      <c r="E236" s="74" t="s">
        <v>104</v>
      </c>
      <c r="F236" s="75"/>
      <c r="G236" s="76"/>
      <c r="H236" s="60" t="s">
        <v>16</v>
      </c>
      <c r="I236" s="67">
        <f ca="1">IFERROR(__xludf.DUMMYFUNCTION("IMPORTRANGE(""https://docs.google.com/spreadsheets/d/1C3CXT74ZlgGe6_JY_1olB1XN4rF0dxEuIIF-xsYjHgg/edit?usp=sharing"",""พรบ!CA21"")"),680)</f>
        <v>680</v>
      </c>
      <c r="J236" s="67">
        <f ca="1">IFERROR(__xludf.DUMMYFUNCTION("IMPORTRANGE(""https://docs.google.com/spreadsheets/d/1AGHcLOeeYFL3K4b9R1dSzyJy00PE_ra89DNTVfnxSWM/edit?usp=sharing"",""รวมที่ทำกิน!O10"")"),53)</f>
        <v>53</v>
      </c>
      <c r="K236" s="201">
        <f t="shared" ca="1" si="52"/>
        <v>7.7941176470588234</v>
      </c>
      <c r="L236" s="61"/>
      <c r="M236" s="61"/>
      <c r="N236" s="202"/>
    </row>
    <row r="237" spans="1:14" ht="21.75" customHeight="1" x14ac:dyDescent="0.4">
      <c r="A237" s="55"/>
      <c r="B237" s="155"/>
      <c r="C237" s="56"/>
      <c r="D237" s="75"/>
      <c r="E237" s="75"/>
      <c r="F237" s="75"/>
      <c r="G237" s="76"/>
      <c r="H237" s="60" t="s">
        <v>103</v>
      </c>
      <c r="I237" s="200">
        <v>0</v>
      </c>
      <c r="J237" s="67">
        <f ca="1">IFERROR(__xludf.DUMMYFUNCTION("IMPORTRANGE(""https://docs.google.com/spreadsheets/d/1AGHcLOeeYFL3K4b9R1dSzyJy00PE_ra89DNTVfnxSWM/edit?usp=sharing"",""รวมที่ทำกิน!Q10"")"),370.23)</f>
        <v>370.23</v>
      </c>
      <c r="K237" s="201">
        <f t="shared" si="52"/>
        <v>0</v>
      </c>
      <c r="L237" s="61"/>
      <c r="M237" s="61"/>
      <c r="N237" s="202"/>
    </row>
    <row r="238" spans="1:14" ht="21.75" customHeight="1" x14ac:dyDescent="0.4">
      <c r="A238" s="55"/>
      <c r="B238" s="155"/>
      <c r="C238" s="56"/>
      <c r="D238" s="75"/>
      <c r="E238" s="74" t="s">
        <v>105</v>
      </c>
      <c r="F238" s="75"/>
      <c r="G238" s="76"/>
      <c r="H238" s="60" t="s">
        <v>16</v>
      </c>
      <c r="I238" s="67">
        <f ca="1">IFERROR(__xludf.DUMMYFUNCTION("IMPORTRANGE(""https://docs.google.com/spreadsheets/d/1C3CXT74ZlgGe6_JY_1olB1XN4rF0dxEuIIF-xsYjHgg/edit?usp=sharing"",""พรบ!CB21"")"),680)</f>
        <v>680</v>
      </c>
      <c r="J238" s="67">
        <f ca="1">IFERROR(__xludf.DUMMYFUNCTION("IMPORTRANGE(""https://docs.google.com/spreadsheets/d/1AGHcLOeeYFL3K4b9R1dSzyJy00PE_ra89DNTVfnxSWM/edit?usp=sharing"",""รวมที่ทำกิน!S10"")"),1)</f>
        <v>1</v>
      </c>
      <c r="K238" s="201">
        <f t="shared" ca="1" si="52"/>
        <v>0.14705882352941177</v>
      </c>
      <c r="L238" s="61"/>
      <c r="M238" s="61"/>
      <c r="N238" s="202"/>
    </row>
    <row r="239" spans="1:14" ht="21.75" customHeight="1" x14ac:dyDescent="0.4">
      <c r="A239" s="55"/>
      <c r="B239" s="155"/>
      <c r="C239" s="56"/>
      <c r="D239" s="75"/>
      <c r="E239" s="75"/>
      <c r="F239" s="75"/>
      <c r="G239" s="76"/>
      <c r="H239" s="60" t="s">
        <v>103</v>
      </c>
      <c r="I239" s="200">
        <v>0</v>
      </c>
      <c r="J239" s="67">
        <f ca="1">IFERROR(__xludf.DUMMYFUNCTION("IMPORTRANGE(""https://docs.google.com/spreadsheets/d/1AGHcLOeeYFL3K4b9R1dSzyJy00PE_ra89DNTVfnxSWM/edit?usp=sharing"",""รวมที่ทำกิน!U10"")"),5.78)</f>
        <v>5.78</v>
      </c>
      <c r="K239" s="201">
        <f t="shared" si="52"/>
        <v>0</v>
      </c>
      <c r="L239" s="61"/>
      <c r="M239" s="61"/>
      <c r="N239" s="202"/>
    </row>
    <row r="240" spans="1:14" ht="21.75" customHeight="1" x14ac:dyDescent="0.4">
      <c r="A240" s="55"/>
      <c r="B240" s="155"/>
      <c r="C240" s="56"/>
      <c r="D240" s="75"/>
      <c r="E240" s="74" t="s">
        <v>106</v>
      </c>
      <c r="F240" s="75"/>
      <c r="G240" s="76"/>
      <c r="H240" s="60" t="s">
        <v>16</v>
      </c>
      <c r="I240" s="67">
        <f ca="1">IFERROR(__xludf.DUMMYFUNCTION("IMPORTRANGE(""https://docs.google.com/spreadsheets/d/1C3CXT74ZlgGe6_JY_1olB1XN4rF0dxEuIIF-xsYjHgg/edit?usp=sharing"",""พรบ!CC21"")"),680)</f>
        <v>680</v>
      </c>
      <c r="J240" s="67">
        <f ca="1">IFERROR(__xludf.DUMMYFUNCTION("IMPORTRANGE(""https://docs.google.com/spreadsheets/d/1AGHcLOeeYFL3K4b9R1dSzyJy00PE_ra89DNTVfnxSWM/edit?usp=sharing"",""รวมที่ทำกิน!W10"")"),0)</f>
        <v>0</v>
      </c>
      <c r="K240" s="201">
        <f t="shared" ca="1" si="52"/>
        <v>0</v>
      </c>
      <c r="L240" s="61"/>
      <c r="M240" s="61"/>
      <c r="N240" s="202"/>
    </row>
    <row r="241" spans="1:14" ht="21.75" customHeight="1" x14ac:dyDescent="0.4">
      <c r="A241" s="105"/>
      <c r="B241" s="203"/>
      <c r="C241" s="106"/>
      <c r="D241" s="203"/>
      <c r="E241" s="204"/>
      <c r="F241" s="204"/>
      <c r="G241" s="205"/>
      <c r="H241" s="206" t="s">
        <v>103</v>
      </c>
      <c r="I241" s="207">
        <v>0</v>
      </c>
      <c r="J241" s="67">
        <f ca="1">IFERROR(__xludf.DUMMYFUNCTION("IMPORTRANGE(""https://docs.google.com/spreadsheets/d/1AGHcLOeeYFL3K4b9R1dSzyJy00PE_ra89DNTVfnxSWM/edit?usp=sharing"",""รวมที่ทำกิน!Y10"")"),0)</f>
        <v>0</v>
      </c>
      <c r="K241" s="201">
        <f t="shared" si="52"/>
        <v>0</v>
      </c>
      <c r="L241" s="115"/>
      <c r="M241" s="115"/>
      <c r="N241" s="208"/>
    </row>
    <row r="242" spans="1:14" ht="21.75" customHeight="1" x14ac:dyDescent="0.4">
      <c r="A242" s="209" t="s">
        <v>107</v>
      </c>
      <c r="B242" s="210"/>
      <c r="C242" s="210"/>
      <c r="D242" s="210"/>
      <c r="E242" s="210"/>
      <c r="F242" s="210"/>
      <c r="G242" s="211"/>
      <c r="H242" s="212"/>
      <c r="I242" s="213"/>
      <c r="J242" s="213"/>
      <c r="K242" s="214"/>
      <c r="L242" s="214">
        <f t="shared" ref="L242:M242" ca="1" si="53">SUM(L244,L275,L296,L330,L350,L426,L444,L457,L473,L490)</f>
        <v>2434919</v>
      </c>
      <c r="M242" s="214">
        <f t="shared" si="53"/>
        <v>0</v>
      </c>
      <c r="N242" s="214">
        <f ca="1">+IF(L242&gt;0,M242*100/L242,0)</f>
        <v>0</v>
      </c>
    </row>
    <row r="243" spans="1:14" ht="21.75" customHeight="1" x14ac:dyDescent="0.4">
      <c r="A243" s="215" t="s">
        <v>108</v>
      </c>
      <c r="B243" s="216"/>
      <c r="C243" s="216"/>
      <c r="D243" s="216"/>
      <c r="E243" s="216"/>
      <c r="F243" s="216"/>
      <c r="G243" s="217"/>
      <c r="H243" s="218"/>
      <c r="I243" s="219"/>
      <c r="J243" s="219"/>
      <c r="K243" s="220"/>
      <c r="L243" s="220"/>
      <c r="M243" s="220"/>
      <c r="N243" s="221"/>
    </row>
    <row r="244" spans="1:14" ht="21.75" customHeight="1" x14ac:dyDescent="0.4">
      <c r="A244" s="222"/>
      <c r="B244" s="223">
        <v>1</v>
      </c>
      <c r="C244" s="224" t="s">
        <v>109</v>
      </c>
      <c r="D244" s="224"/>
      <c r="E244" s="224"/>
      <c r="F244" s="224"/>
      <c r="G244" s="225"/>
      <c r="H244" s="226" t="s">
        <v>103</v>
      </c>
      <c r="I244" s="227">
        <f t="shared" ref="I244:J244" ca="1" si="54">I270</f>
        <v>200</v>
      </c>
      <c r="J244" s="227">
        <f t="shared" si="54"/>
        <v>0</v>
      </c>
      <c r="K244" s="228">
        <f t="shared" ref="K244:K245" ca="1" si="55">IF(I244&gt;0,J244*100/I244,0)</f>
        <v>0</v>
      </c>
      <c r="L244" s="229">
        <f t="shared" ref="L244:M244" ca="1" si="56">SUM(L246:L247)</f>
        <v>532200</v>
      </c>
      <c r="M244" s="229">
        <f t="shared" si="56"/>
        <v>0</v>
      </c>
      <c r="N244" s="229">
        <f ca="1">+IF(L244&gt;0,M244*100/L244,0)</f>
        <v>0</v>
      </c>
    </row>
    <row r="245" spans="1:14" ht="21.75" customHeight="1" x14ac:dyDescent="0.4">
      <c r="A245" s="222"/>
      <c r="B245" s="223"/>
      <c r="C245" s="224"/>
      <c r="D245" s="224"/>
      <c r="E245" s="224"/>
      <c r="F245" s="224"/>
      <c r="G245" s="225"/>
      <c r="H245" s="226" t="s">
        <v>16</v>
      </c>
      <c r="I245" s="227">
        <f ca="1">I263</f>
        <v>100</v>
      </c>
      <c r="J245" s="227">
        <f>+J263</f>
        <v>0</v>
      </c>
      <c r="K245" s="228">
        <f t="shared" ca="1" si="55"/>
        <v>0</v>
      </c>
      <c r="L245" s="229"/>
      <c r="M245" s="229"/>
      <c r="N245" s="229"/>
    </row>
    <row r="246" spans="1:14" ht="21.75" customHeight="1" x14ac:dyDescent="0.4">
      <c r="A246" s="42"/>
      <c r="B246" s="43"/>
      <c r="C246" s="43" t="s">
        <v>17</v>
      </c>
      <c r="D246" s="44" t="s">
        <v>18</v>
      </c>
      <c r="E246" s="45"/>
      <c r="F246" s="45"/>
      <c r="G246" s="46" t="s">
        <v>19</v>
      </c>
      <c r="H246" s="47" t="s">
        <v>20</v>
      </c>
      <c r="I246" s="48" t="s">
        <v>21</v>
      </c>
      <c r="J246" s="48"/>
      <c r="K246" s="49"/>
      <c r="L246" s="50">
        <v>0</v>
      </c>
      <c r="M246" s="50">
        <v>0</v>
      </c>
      <c r="N246" s="50">
        <f t="shared" ref="N246:N249" si="57">+IF(L246&gt;0,M246*100/L246,0)</f>
        <v>0</v>
      </c>
    </row>
    <row r="247" spans="1:14" ht="21.75" customHeight="1" x14ac:dyDescent="0.4">
      <c r="A247" s="42"/>
      <c r="B247" s="43"/>
      <c r="C247" s="43"/>
      <c r="D247" s="51"/>
      <c r="E247" s="45"/>
      <c r="F247" s="45" t="s">
        <v>21</v>
      </c>
      <c r="G247" s="46" t="s">
        <v>22</v>
      </c>
      <c r="H247" s="47" t="s">
        <v>20</v>
      </c>
      <c r="I247" s="48"/>
      <c r="J247" s="48"/>
      <c r="K247" s="49"/>
      <c r="L247" s="50">
        <f t="shared" ref="L247:M247" ca="1" si="58">SUM(L248:L249)</f>
        <v>532200</v>
      </c>
      <c r="M247" s="50">
        <f t="shared" si="58"/>
        <v>0</v>
      </c>
      <c r="N247" s="50">
        <f t="shared" ca="1" si="57"/>
        <v>0</v>
      </c>
    </row>
    <row r="248" spans="1:14" ht="21.75" customHeight="1" x14ac:dyDescent="0.4">
      <c r="A248" s="42"/>
      <c r="B248" s="43"/>
      <c r="C248" s="43"/>
      <c r="D248" s="51"/>
      <c r="E248" s="45"/>
      <c r="F248" s="45"/>
      <c r="G248" s="52" t="s">
        <v>110</v>
      </c>
      <c r="H248" s="47" t="s">
        <v>20</v>
      </c>
      <c r="I248" s="48"/>
      <c r="J248" s="48"/>
      <c r="K248" s="49"/>
      <c r="L248" s="53">
        <f ca="1">IFERROR(__xludf.DUMMYFUNCTION("IMPORTRANGE(""https://docs.google.com/spreadsheets/d/1C3CXT74ZlgGe6_JY_1olB1XN4rF0dxEuIIF-xsYjHgg/edit?usp=sharing"",""งบกองทุน!d21"")"),0)</f>
        <v>0</v>
      </c>
      <c r="M248" s="53">
        <v>0</v>
      </c>
      <c r="N248" s="53">
        <f t="shared" ca="1" si="57"/>
        <v>0</v>
      </c>
    </row>
    <row r="249" spans="1:14" ht="21.75" customHeight="1" x14ac:dyDescent="0.4">
      <c r="A249" s="42"/>
      <c r="B249" s="43"/>
      <c r="C249" s="43"/>
      <c r="D249" s="51"/>
      <c r="E249" s="45"/>
      <c r="F249" s="45"/>
      <c r="G249" s="52" t="s">
        <v>111</v>
      </c>
      <c r="H249" s="47" t="s">
        <v>20</v>
      </c>
      <c r="I249" s="48"/>
      <c r="J249" s="48"/>
      <c r="K249" s="49"/>
      <c r="L249" s="53">
        <f ca="1">IFERROR(__xludf.DUMMYFUNCTION("IMPORTRANGE(""https://docs.google.com/spreadsheets/d/1C3CXT74ZlgGe6_JY_1olB1XN4rF0dxEuIIF-xsYjHgg/edit?usp=sharing"",""งบกองทุน!e21"")"),532200)</f>
        <v>532200</v>
      </c>
      <c r="M249" s="53">
        <f>SUM(M250:M253)</f>
        <v>0</v>
      </c>
      <c r="N249" s="53">
        <f t="shared" ca="1" si="57"/>
        <v>0</v>
      </c>
    </row>
    <row r="250" spans="1:14" ht="21.75" customHeight="1" x14ac:dyDescent="0.4">
      <c r="A250" s="230"/>
      <c r="B250" s="231"/>
      <c r="C250" s="43"/>
      <c r="D250" s="232"/>
      <c r="E250" s="45"/>
      <c r="F250" s="45"/>
      <c r="G250" s="46" t="s">
        <v>112</v>
      </c>
      <c r="H250" s="47" t="s">
        <v>20</v>
      </c>
      <c r="I250" s="67"/>
      <c r="J250" s="67"/>
      <c r="K250" s="233"/>
      <c r="L250" s="53"/>
      <c r="M250" s="54">
        <v>0</v>
      </c>
      <c r="N250" s="53"/>
    </row>
    <row r="251" spans="1:14" ht="21.75" customHeight="1" x14ac:dyDescent="0.4">
      <c r="A251" s="230"/>
      <c r="B251" s="231"/>
      <c r="C251" s="43"/>
      <c r="D251" s="232"/>
      <c r="E251" s="45"/>
      <c r="F251" s="45"/>
      <c r="G251" s="46" t="s">
        <v>113</v>
      </c>
      <c r="H251" s="47" t="s">
        <v>20</v>
      </c>
      <c r="I251" s="67"/>
      <c r="J251" s="67"/>
      <c r="K251" s="233"/>
      <c r="L251" s="53"/>
      <c r="M251" s="54">
        <v>0</v>
      </c>
      <c r="N251" s="53"/>
    </row>
    <row r="252" spans="1:14" ht="21.75" customHeight="1" x14ac:dyDescent="0.4">
      <c r="A252" s="230"/>
      <c r="B252" s="231"/>
      <c r="C252" s="43"/>
      <c r="D252" s="232"/>
      <c r="E252" s="45"/>
      <c r="F252" s="45"/>
      <c r="G252" s="46" t="s">
        <v>114</v>
      </c>
      <c r="H252" s="47" t="s">
        <v>20</v>
      </c>
      <c r="I252" s="67"/>
      <c r="J252" s="67"/>
      <c r="K252" s="233"/>
      <c r="L252" s="53"/>
      <c r="M252" s="54">
        <v>0</v>
      </c>
      <c r="N252" s="53"/>
    </row>
    <row r="253" spans="1:14" ht="21.75" customHeight="1" x14ac:dyDescent="0.4">
      <c r="A253" s="230"/>
      <c r="B253" s="231"/>
      <c r="C253" s="43"/>
      <c r="D253" s="232"/>
      <c r="E253" s="45"/>
      <c r="F253" s="45"/>
      <c r="G253" s="46" t="s">
        <v>115</v>
      </c>
      <c r="H253" s="47" t="s">
        <v>20</v>
      </c>
      <c r="I253" s="67"/>
      <c r="J253" s="67"/>
      <c r="K253" s="233"/>
      <c r="L253" s="53"/>
      <c r="M253" s="54">
        <v>0</v>
      </c>
      <c r="N253" s="53"/>
    </row>
    <row r="254" spans="1:14" ht="21.75" customHeight="1" x14ac:dyDescent="0.4">
      <c r="A254" s="55"/>
      <c r="B254" s="56"/>
      <c r="C254" s="43" t="s">
        <v>17</v>
      </c>
      <c r="D254" s="57" t="s">
        <v>25</v>
      </c>
      <c r="E254" s="58"/>
      <c r="F254" s="58"/>
      <c r="G254" s="59"/>
      <c r="H254" s="60"/>
      <c r="I254" s="48"/>
      <c r="J254" s="48"/>
      <c r="K254" s="49"/>
      <c r="L254" s="61"/>
      <c r="M254" s="61"/>
      <c r="N254" s="61"/>
    </row>
    <row r="255" spans="1:14" ht="21.75" customHeight="1" x14ac:dyDescent="0.4">
      <c r="A255" s="55"/>
      <c r="B255" s="56"/>
      <c r="C255" s="56"/>
      <c r="D255" s="62">
        <v>1</v>
      </c>
      <c r="E255" s="63" t="s">
        <v>26</v>
      </c>
      <c r="F255" s="64"/>
      <c r="G255" s="65"/>
      <c r="H255" s="66"/>
      <c r="I255" s="67"/>
      <c r="J255" s="68">
        <v>0</v>
      </c>
      <c r="K255" s="49"/>
      <c r="L255" s="61"/>
      <c r="M255" s="61"/>
      <c r="N255" s="61"/>
    </row>
    <row r="256" spans="1:14" ht="21.75" customHeight="1" x14ac:dyDescent="0.4">
      <c r="A256" s="55"/>
      <c r="B256" s="56"/>
      <c r="C256" s="56"/>
      <c r="D256" s="69">
        <v>2</v>
      </c>
      <c r="E256" s="70" t="s">
        <v>27</v>
      </c>
      <c r="F256" s="71"/>
      <c r="G256" s="72"/>
      <c r="H256" s="66"/>
      <c r="I256" s="67"/>
      <c r="J256" s="68">
        <v>1</v>
      </c>
      <c r="K256" s="49"/>
      <c r="L256" s="61" t="s">
        <v>21</v>
      </c>
      <c r="M256" s="61" t="s">
        <v>21</v>
      </c>
      <c r="N256" s="61"/>
    </row>
    <row r="257" spans="1:14" ht="21.75" customHeight="1" x14ac:dyDescent="0.4">
      <c r="A257" s="55"/>
      <c r="B257" s="56"/>
      <c r="C257" s="56"/>
      <c r="D257" s="73"/>
      <c r="E257" s="74" t="s">
        <v>28</v>
      </c>
      <c r="F257" s="75"/>
      <c r="G257" s="76"/>
      <c r="H257" s="66"/>
      <c r="I257" s="67"/>
      <c r="J257" s="68">
        <v>1</v>
      </c>
      <c r="K257" s="49"/>
      <c r="L257" s="61"/>
      <c r="M257" s="61"/>
      <c r="N257" s="61"/>
    </row>
    <row r="258" spans="1:14" ht="21.75" customHeight="1" x14ac:dyDescent="0.4">
      <c r="A258" s="55"/>
      <c r="B258" s="56"/>
      <c r="C258" s="56"/>
      <c r="D258" s="73"/>
      <c r="E258" s="74" t="s">
        <v>29</v>
      </c>
      <c r="F258" s="75"/>
      <c r="G258" s="76"/>
      <c r="H258" s="66"/>
      <c r="I258" s="67"/>
      <c r="J258" s="68">
        <v>0</v>
      </c>
      <c r="K258" s="49"/>
      <c r="L258" s="61"/>
      <c r="M258" s="61"/>
      <c r="N258" s="61"/>
    </row>
    <row r="259" spans="1:14" ht="21.75" hidden="1" customHeight="1" x14ac:dyDescent="0.4">
      <c r="A259" s="55"/>
      <c r="B259" s="56"/>
      <c r="C259" s="56"/>
      <c r="D259" s="73"/>
      <c r="E259" s="77"/>
      <c r="F259" s="74" t="s">
        <v>50</v>
      </c>
      <c r="G259" s="76"/>
      <c r="H259" s="60"/>
      <c r="I259" s="67"/>
      <c r="J259" s="67">
        <f>+J260+J263+J268</f>
        <v>0</v>
      </c>
      <c r="K259" s="49"/>
      <c r="L259" s="61"/>
      <c r="M259" s="61"/>
      <c r="N259" s="61"/>
    </row>
    <row r="260" spans="1:14" ht="21.75" hidden="1" customHeight="1" x14ac:dyDescent="0.4">
      <c r="A260" s="55"/>
      <c r="B260" s="56"/>
      <c r="C260" s="56"/>
      <c r="D260" s="73"/>
      <c r="E260" s="77"/>
      <c r="F260" s="75"/>
      <c r="G260" s="99" t="s">
        <v>116</v>
      </c>
      <c r="H260" s="60" t="s">
        <v>16</v>
      </c>
      <c r="I260" s="67">
        <f ca="1">IFERROR(__xludf.DUMMYFUNCTION("IMPORTRANGE(""https://docs.google.com/spreadsheets/d/1C3CXT74ZlgGe6_JY_1olB1XN4rF0dxEuIIF-xsYjHgg/edit?usp=sharing"",""งบกองทุน!f21"")"),0)</f>
        <v>0</v>
      </c>
      <c r="J260" s="67">
        <v>0</v>
      </c>
      <c r="K260" s="49">
        <f ca="1">IF(I260&gt;0,J260*100/I260,0)</f>
        <v>0</v>
      </c>
      <c r="L260" s="61"/>
      <c r="M260" s="61"/>
      <c r="N260" s="61"/>
    </row>
    <row r="261" spans="1:14" ht="21.75" hidden="1" customHeight="1" x14ac:dyDescent="0.4">
      <c r="A261" s="55"/>
      <c r="B261" s="56"/>
      <c r="C261" s="56"/>
      <c r="D261" s="73"/>
      <c r="E261" s="77"/>
      <c r="F261" s="75"/>
      <c r="G261" s="76" t="s">
        <v>117</v>
      </c>
      <c r="H261" s="60"/>
      <c r="I261" s="48"/>
      <c r="J261" s="67"/>
      <c r="K261" s="49"/>
      <c r="L261" s="61"/>
      <c r="M261" s="61"/>
      <c r="N261" s="61"/>
    </row>
    <row r="262" spans="1:14" ht="21.75" hidden="1" customHeight="1" x14ac:dyDescent="0.4">
      <c r="A262" s="55"/>
      <c r="B262" s="56"/>
      <c r="C262" s="56"/>
      <c r="D262" s="73"/>
      <c r="E262" s="77"/>
      <c r="F262" s="75"/>
      <c r="G262" s="99" t="s">
        <v>118</v>
      </c>
      <c r="H262" s="66" t="s">
        <v>103</v>
      </c>
      <c r="I262" s="67">
        <f t="shared" ref="I262:J262" ca="1" si="59">SUM(I264,I266)</f>
        <v>200</v>
      </c>
      <c r="J262" s="67">
        <f t="shared" si="59"/>
        <v>0</v>
      </c>
      <c r="K262" s="49">
        <f t="shared" ref="K262:K268" ca="1" si="60">IF(I262&gt;0,J262*100/I262,0)</f>
        <v>0</v>
      </c>
      <c r="L262" s="61"/>
      <c r="M262" s="61"/>
      <c r="N262" s="61"/>
    </row>
    <row r="263" spans="1:14" ht="21.75" customHeight="1" x14ac:dyDescent="0.4">
      <c r="A263" s="55"/>
      <c r="B263" s="56"/>
      <c r="C263" s="56"/>
      <c r="D263" s="73"/>
      <c r="E263" s="77"/>
      <c r="F263" s="99" t="s">
        <v>119</v>
      </c>
      <c r="G263" s="76"/>
      <c r="H263" s="66" t="s">
        <v>16</v>
      </c>
      <c r="I263" s="48">
        <f ca="1">IFERROR(__xludf.DUMMYFUNCTION("IMPORTRANGE(""https://docs.google.com/spreadsheets/d/1C3CXT74ZlgGe6_JY_1olB1XN4rF0dxEuIIF-xsYjHgg/edit?usp=sharing"",""งบกองทุน!H21"")"),100)</f>
        <v>100</v>
      </c>
      <c r="J263" s="67">
        <f>J267</f>
        <v>0</v>
      </c>
      <c r="K263" s="49">
        <f t="shared" ca="1" si="60"/>
        <v>0</v>
      </c>
      <c r="L263" s="61"/>
      <c r="M263" s="61"/>
      <c r="N263" s="61"/>
    </row>
    <row r="264" spans="1:14" ht="21.75" hidden="1" customHeight="1" x14ac:dyDescent="0.4">
      <c r="A264" s="55"/>
      <c r="B264" s="56"/>
      <c r="C264" s="56"/>
      <c r="D264" s="73"/>
      <c r="E264" s="77"/>
      <c r="F264" s="75"/>
      <c r="H264" s="60" t="s">
        <v>103</v>
      </c>
      <c r="I264" s="48">
        <f ca="1">IFERROR(__xludf.DUMMYFUNCTION("IMPORTRANGE(""https://docs.google.com/spreadsheets/d/1C3CXT74ZlgGe6_JY_1olB1XN4rF0dxEuIIF-xsYjHgg/edit?usp=sharing"",""งบกองทุน!i21"")"),100)</f>
        <v>100</v>
      </c>
      <c r="J264" s="68">
        <v>0</v>
      </c>
      <c r="K264" s="49">
        <f t="shared" ca="1" si="60"/>
        <v>0</v>
      </c>
      <c r="L264" s="61"/>
      <c r="M264" s="61"/>
      <c r="N264" s="61"/>
    </row>
    <row r="265" spans="1:14" ht="21.75" customHeight="1" x14ac:dyDescent="0.4">
      <c r="A265" s="55"/>
      <c r="B265" s="56"/>
      <c r="C265" s="56"/>
      <c r="D265" s="73"/>
      <c r="E265" s="77"/>
      <c r="F265" s="75"/>
      <c r="G265" s="99" t="s">
        <v>219</v>
      </c>
      <c r="H265" s="60" t="s">
        <v>16</v>
      </c>
      <c r="I265" s="48">
        <f ca="1">I263</f>
        <v>100</v>
      </c>
      <c r="J265" s="68">
        <v>0</v>
      </c>
      <c r="K265" s="49">
        <f t="shared" ca="1" si="60"/>
        <v>0</v>
      </c>
      <c r="L265" s="61"/>
      <c r="M265" s="61"/>
      <c r="N265" s="61"/>
    </row>
    <row r="266" spans="1:14" ht="21.75" hidden="1" customHeight="1" x14ac:dyDescent="0.4">
      <c r="A266" s="55"/>
      <c r="B266" s="56"/>
      <c r="C266" s="56"/>
      <c r="D266" s="73"/>
      <c r="E266" s="77"/>
      <c r="F266" s="75"/>
      <c r="G266" s="76"/>
      <c r="H266" s="60" t="s">
        <v>103</v>
      </c>
      <c r="I266" s="48">
        <f ca="1">IFERROR(__xludf.DUMMYFUNCTION("IMPORTRANGE(""https://docs.google.com/spreadsheets/d/1C3CXT74ZlgGe6_JY_1olB1XN4rF0dxEuIIF-xsYjHgg/edit?usp=sharing"",""งบกองทุน!k21"")"),100)</f>
        <v>100</v>
      </c>
      <c r="J266" s="68">
        <v>0</v>
      </c>
      <c r="K266" s="49">
        <f t="shared" ca="1" si="60"/>
        <v>0</v>
      </c>
      <c r="L266" s="61"/>
      <c r="M266" s="61"/>
      <c r="N266" s="61"/>
    </row>
    <row r="267" spans="1:14" ht="21.75" customHeight="1" x14ac:dyDescent="0.4">
      <c r="A267" s="55"/>
      <c r="B267" s="56"/>
      <c r="C267" s="56"/>
      <c r="D267" s="73"/>
      <c r="E267" s="77"/>
      <c r="F267" s="75"/>
      <c r="G267" s="76" t="s">
        <v>220</v>
      </c>
      <c r="H267" s="60" t="s">
        <v>16</v>
      </c>
      <c r="I267" s="48">
        <f ca="1">I265</f>
        <v>100</v>
      </c>
      <c r="J267" s="68">
        <v>0</v>
      </c>
      <c r="K267" s="49">
        <f t="shared" ca="1" si="60"/>
        <v>0</v>
      </c>
      <c r="L267" s="61"/>
      <c r="M267" s="61"/>
      <c r="N267" s="61"/>
    </row>
    <row r="268" spans="1:14" ht="21.75" hidden="1" customHeight="1" x14ac:dyDescent="0.4">
      <c r="A268" s="55"/>
      <c r="B268" s="56"/>
      <c r="C268" s="56"/>
      <c r="D268" s="73"/>
      <c r="E268" s="77"/>
      <c r="F268" s="75"/>
      <c r="G268" s="99" t="s">
        <v>122</v>
      </c>
      <c r="H268" s="60" t="s">
        <v>16</v>
      </c>
      <c r="I268" s="67">
        <f ca="1">IFERROR(__xludf.DUMMYFUNCTION("IMPORTRANGE(""https://docs.google.com/spreadsheets/d/1C3CXT74ZlgGe6_JY_1olB1XN4rF0dxEuIIF-xsYjHgg/edit?usp=sharing"",""งบกองทุน!m21"")"),0)</f>
        <v>0</v>
      </c>
      <c r="J268" s="67">
        <v>0</v>
      </c>
      <c r="K268" s="49">
        <f t="shared" ca="1" si="60"/>
        <v>0</v>
      </c>
      <c r="L268" s="61"/>
      <c r="M268" s="61"/>
      <c r="N268" s="61"/>
    </row>
    <row r="269" spans="1:14" ht="21.75" hidden="1" customHeight="1" x14ac:dyDescent="0.4">
      <c r="A269" s="55"/>
      <c r="B269" s="56"/>
      <c r="C269" s="56"/>
      <c r="D269" s="73"/>
      <c r="E269" s="77"/>
      <c r="F269" s="75"/>
      <c r="G269" s="76" t="s">
        <v>123</v>
      </c>
      <c r="H269" s="60"/>
      <c r="I269" s="67"/>
      <c r="J269" s="67"/>
      <c r="K269" s="49"/>
      <c r="L269" s="61"/>
      <c r="M269" s="61"/>
      <c r="N269" s="61"/>
    </row>
    <row r="270" spans="1:14" ht="21.75" customHeight="1" x14ac:dyDescent="0.4">
      <c r="A270" s="55"/>
      <c r="B270" s="56"/>
      <c r="C270" s="56"/>
      <c r="D270" s="73"/>
      <c r="E270" s="75"/>
      <c r="F270" s="74" t="s">
        <v>34</v>
      </c>
      <c r="G270" s="76"/>
      <c r="H270" s="66" t="s">
        <v>103</v>
      </c>
      <c r="I270" s="67">
        <f t="shared" ref="I270:J270" ca="1" si="61">SUM(I271:I272)</f>
        <v>200</v>
      </c>
      <c r="J270" s="67">
        <f t="shared" si="61"/>
        <v>0</v>
      </c>
      <c r="K270" s="49">
        <f t="shared" ref="K270:K272" ca="1" si="62">IF(I270&gt;0,J270*100/I270,0)</f>
        <v>0</v>
      </c>
      <c r="L270" s="61"/>
      <c r="M270" s="61"/>
      <c r="N270" s="61"/>
    </row>
    <row r="271" spans="1:14" ht="21.75" customHeight="1" x14ac:dyDescent="0.4">
      <c r="A271" s="55"/>
      <c r="B271" s="56"/>
      <c r="C271" s="56"/>
      <c r="D271" s="73"/>
      <c r="E271" s="75"/>
      <c r="F271" s="75"/>
      <c r="G271" s="76" t="s">
        <v>124</v>
      </c>
      <c r="H271" s="66" t="s">
        <v>103</v>
      </c>
      <c r="I271" s="67">
        <f ca="1">IFERROR(__xludf.DUMMYFUNCTION("IMPORTRANGE(""https://docs.google.com/spreadsheets/d/1C3CXT74ZlgGe6_JY_1olB1XN4rF0dxEuIIF-xsYjHgg/edit?usp=sharing"",""งบกองทุน!o21"")"),100)</f>
        <v>100</v>
      </c>
      <c r="J271" s="68">
        <v>0</v>
      </c>
      <c r="K271" s="49">
        <f t="shared" ca="1" si="62"/>
        <v>0</v>
      </c>
      <c r="L271" s="61"/>
      <c r="M271" s="61"/>
      <c r="N271" s="61"/>
    </row>
    <row r="272" spans="1:14" ht="21.75" customHeight="1" x14ac:dyDescent="0.4">
      <c r="A272" s="55"/>
      <c r="B272" s="56"/>
      <c r="C272" s="56"/>
      <c r="D272" s="73"/>
      <c r="E272" s="75"/>
      <c r="F272" s="75"/>
      <c r="G272" s="76" t="s">
        <v>125</v>
      </c>
      <c r="H272" s="66" t="s">
        <v>103</v>
      </c>
      <c r="I272" s="67">
        <f ca="1">IFERROR(__xludf.DUMMYFUNCTION("IMPORTRANGE(""https://docs.google.com/spreadsheets/d/1C3CXT74ZlgGe6_JY_1olB1XN4rF0dxEuIIF-xsYjHgg/edit?usp=sharing"",""งบกองทุน!p21"")"),100)</f>
        <v>100</v>
      </c>
      <c r="J272" s="68">
        <v>0</v>
      </c>
      <c r="K272" s="49">
        <f t="shared" ca="1" si="62"/>
        <v>0</v>
      </c>
      <c r="L272" s="61"/>
      <c r="M272" s="61"/>
      <c r="N272" s="61"/>
    </row>
    <row r="273" spans="1:14" ht="21.75" customHeight="1" x14ac:dyDescent="0.4">
      <c r="A273" s="55"/>
      <c r="B273" s="56"/>
      <c r="C273" s="56"/>
      <c r="D273" s="73"/>
      <c r="E273" s="74" t="s">
        <v>35</v>
      </c>
      <c r="F273" s="75"/>
      <c r="G273" s="76"/>
      <c r="H273" s="66"/>
      <c r="I273" s="67"/>
      <c r="J273" s="68">
        <v>0</v>
      </c>
      <c r="K273" s="49"/>
      <c r="L273" s="61"/>
      <c r="M273" s="61"/>
      <c r="N273" s="61"/>
    </row>
    <row r="274" spans="1:14" ht="21.75" customHeight="1" x14ac:dyDescent="0.4">
      <c r="A274" s="55"/>
      <c r="B274" s="56"/>
      <c r="C274" s="56"/>
      <c r="D274" s="81">
        <v>3</v>
      </c>
      <c r="E274" s="82" t="s">
        <v>36</v>
      </c>
      <c r="F274" s="83"/>
      <c r="G274" s="84"/>
      <c r="H274" s="66"/>
      <c r="I274" s="67"/>
      <c r="J274" s="85">
        <v>0</v>
      </c>
      <c r="K274" s="49"/>
      <c r="L274" s="61"/>
      <c r="M274" s="61"/>
      <c r="N274" s="61"/>
    </row>
    <row r="275" spans="1:14" ht="21.75" customHeight="1" x14ac:dyDescent="0.4">
      <c r="A275" s="222"/>
      <c r="B275" s="223">
        <v>2</v>
      </c>
      <c r="C275" s="224" t="s">
        <v>126</v>
      </c>
      <c r="D275" s="224"/>
      <c r="E275" s="234"/>
      <c r="F275" s="234"/>
      <c r="G275" s="235"/>
      <c r="H275" s="226" t="s">
        <v>103</v>
      </c>
      <c r="I275" s="227">
        <f ca="1">I292</f>
        <v>500</v>
      </c>
      <c r="J275" s="227">
        <f>+J292</f>
        <v>0</v>
      </c>
      <c r="K275" s="228">
        <f t="shared" ref="K275:K276" ca="1" si="63">IF(I275&gt;0,J275*100/I275,0)</f>
        <v>0</v>
      </c>
      <c r="L275" s="229">
        <f t="shared" ref="L275:M275" ca="1" si="64">SUM(L277:L278)</f>
        <v>460140</v>
      </c>
      <c r="M275" s="229">
        <f t="shared" si="64"/>
        <v>0</v>
      </c>
      <c r="N275" s="229">
        <f ca="1">+IF(L275&gt;0,M275*100/L275,0)</f>
        <v>0</v>
      </c>
    </row>
    <row r="276" spans="1:14" ht="21.75" customHeight="1" x14ac:dyDescent="0.4">
      <c r="A276" s="222"/>
      <c r="B276" s="223"/>
      <c r="C276" s="224"/>
      <c r="D276" s="236"/>
      <c r="E276" s="237"/>
      <c r="F276" s="237"/>
      <c r="G276" s="238"/>
      <c r="H276" s="226" t="s">
        <v>16</v>
      </c>
      <c r="I276" s="227">
        <f ca="1">I291</f>
        <v>50</v>
      </c>
      <c r="J276" s="227">
        <f>+J291</f>
        <v>0</v>
      </c>
      <c r="K276" s="228">
        <f t="shared" ca="1" si="63"/>
        <v>0</v>
      </c>
      <c r="L276" s="229"/>
      <c r="M276" s="229"/>
      <c r="N276" s="229"/>
    </row>
    <row r="277" spans="1:14" ht="21.75" customHeight="1" x14ac:dyDescent="0.4">
      <c r="A277" s="42"/>
      <c r="B277" s="43"/>
      <c r="C277" s="43" t="s">
        <v>17</v>
      </c>
      <c r="D277" s="44" t="s">
        <v>18</v>
      </c>
      <c r="E277" s="45"/>
      <c r="F277" s="45"/>
      <c r="G277" s="46" t="s">
        <v>19</v>
      </c>
      <c r="H277" s="47" t="s">
        <v>20</v>
      </c>
      <c r="I277" s="48" t="s">
        <v>21</v>
      </c>
      <c r="J277" s="48"/>
      <c r="K277" s="49"/>
      <c r="L277" s="50">
        <v>0</v>
      </c>
      <c r="M277" s="50">
        <v>0</v>
      </c>
      <c r="N277" s="50">
        <f t="shared" ref="N277:N280" si="65">+IF(L277&gt;0,M277*100/L277,0)</f>
        <v>0</v>
      </c>
    </row>
    <row r="278" spans="1:14" ht="21.75" customHeight="1" x14ac:dyDescent="0.4">
      <c r="A278" s="42"/>
      <c r="B278" s="43"/>
      <c r="C278" s="43"/>
      <c r="D278" s="51"/>
      <c r="E278" s="45"/>
      <c r="F278" s="45" t="s">
        <v>21</v>
      </c>
      <c r="G278" s="46" t="s">
        <v>22</v>
      </c>
      <c r="H278" s="47" t="s">
        <v>20</v>
      </c>
      <c r="I278" s="48"/>
      <c r="J278" s="48"/>
      <c r="K278" s="49"/>
      <c r="L278" s="50">
        <f t="shared" ref="L278:M278" ca="1" si="66">SUM(L279:L280)</f>
        <v>460140</v>
      </c>
      <c r="M278" s="50">
        <f t="shared" si="66"/>
        <v>0</v>
      </c>
      <c r="N278" s="50">
        <f t="shared" ca="1" si="65"/>
        <v>0</v>
      </c>
    </row>
    <row r="279" spans="1:14" ht="21.75" customHeight="1" x14ac:dyDescent="0.4">
      <c r="A279" s="42"/>
      <c r="B279" s="43"/>
      <c r="C279" s="43"/>
      <c r="D279" s="51"/>
      <c r="E279" s="45"/>
      <c r="F279" s="45"/>
      <c r="G279" s="52" t="s">
        <v>110</v>
      </c>
      <c r="H279" s="47" t="s">
        <v>20</v>
      </c>
      <c r="I279" s="48"/>
      <c r="J279" s="48"/>
      <c r="K279" s="49"/>
      <c r="L279" s="53">
        <f ca="1">IFERROR(__xludf.DUMMYFUNCTION("IMPORTRANGE(""https://docs.google.com/spreadsheets/d/1C3CXT74ZlgGe6_JY_1olB1XN4rF0dxEuIIF-xsYjHgg/edit?usp=sharing"",""งบกองทุน!r21"")"),0)</f>
        <v>0</v>
      </c>
      <c r="M279" s="53">
        <v>0</v>
      </c>
      <c r="N279" s="53">
        <f t="shared" ca="1" si="65"/>
        <v>0</v>
      </c>
    </row>
    <row r="280" spans="1:14" ht="21.75" customHeight="1" x14ac:dyDescent="0.4">
      <c r="A280" s="42"/>
      <c r="B280" s="43"/>
      <c r="C280" s="43"/>
      <c r="D280" s="51"/>
      <c r="E280" s="45"/>
      <c r="F280" s="45"/>
      <c r="G280" s="52" t="s">
        <v>111</v>
      </c>
      <c r="H280" s="47" t="s">
        <v>20</v>
      </c>
      <c r="I280" s="48"/>
      <c r="J280" s="48"/>
      <c r="K280" s="49"/>
      <c r="L280" s="53">
        <f ca="1">IFERROR(__xludf.DUMMYFUNCTION("IMPORTRANGE(""https://docs.google.com/spreadsheets/d/1C3CXT74ZlgGe6_JY_1olB1XN4rF0dxEuIIF-xsYjHgg/edit?usp=sharing"",""งบกองทุน!s21"")"),460140)</f>
        <v>460140</v>
      </c>
      <c r="M280" s="53">
        <f>SUM(M281:M284)</f>
        <v>0</v>
      </c>
      <c r="N280" s="53">
        <f t="shared" ca="1" si="65"/>
        <v>0</v>
      </c>
    </row>
    <row r="281" spans="1:14" ht="21.75" customHeight="1" x14ac:dyDescent="0.4">
      <c r="A281" s="230"/>
      <c r="B281" s="231"/>
      <c r="C281" s="43"/>
      <c r="D281" s="232"/>
      <c r="E281" s="45"/>
      <c r="F281" s="45"/>
      <c r="G281" s="46" t="s">
        <v>112</v>
      </c>
      <c r="H281" s="47" t="s">
        <v>20</v>
      </c>
      <c r="I281" s="67"/>
      <c r="J281" s="67"/>
      <c r="K281" s="233"/>
      <c r="L281" s="53"/>
      <c r="M281" s="54">
        <v>0</v>
      </c>
      <c r="N281" s="53"/>
    </row>
    <row r="282" spans="1:14" ht="21.75" customHeight="1" x14ac:dyDescent="0.4">
      <c r="A282" s="230"/>
      <c r="B282" s="231"/>
      <c r="C282" s="43"/>
      <c r="D282" s="232"/>
      <c r="E282" s="45"/>
      <c r="F282" s="45"/>
      <c r="G282" s="46" t="s">
        <v>113</v>
      </c>
      <c r="H282" s="47" t="s">
        <v>20</v>
      </c>
      <c r="I282" s="67"/>
      <c r="J282" s="67"/>
      <c r="K282" s="233"/>
      <c r="L282" s="53"/>
      <c r="M282" s="54">
        <v>0</v>
      </c>
      <c r="N282" s="53"/>
    </row>
    <row r="283" spans="1:14" ht="21.75" customHeight="1" x14ac:dyDescent="0.4">
      <c r="A283" s="230"/>
      <c r="B283" s="231"/>
      <c r="C283" s="43"/>
      <c r="D283" s="232"/>
      <c r="E283" s="45"/>
      <c r="F283" s="45"/>
      <c r="G283" s="46" t="s">
        <v>114</v>
      </c>
      <c r="H283" s="47" t="s">
        <v>20</v>
      </c>
      <c r="I283" s="67"/>
      <c r="J283" s="67"/>
      <c r="K283" s="233"/>
      <c r="L283" s="53"/>
      <c r="M283" s="54">
        <v>0</v>
      </c>
      <c r="N283" s="53"/>
    </row>
    <row r="284" spans="1:14" ht="21.75" customHeight="1" x14ac:dyDescent="0.4">
      <c r="A284" s="230"/>
      <c r="B284" s="231"/>
      <c r="C284" s="43"/>
      <c r="D284" s="232"/>
      <c r="E284" s="45"/>
      <c r="F284" s="45"/>
      <c r="G284" s="46" t="s">
        <v>115</v>
      </c>
      <c r="H284" s="47" t="s">
        <v>20</v>
      </c>
      <c r="I284" s="67"/>
      <c r="J284" s="67"/>
      <c r="K284" s="233"/>
      <c r="L284" s="53"/>
      <c r="M284" s="54">
        <v>0</v>
      </c>
      <c r="N284" s="53"/>
    </row>
    <row r="285" spans="1:14" ht="21.75" customHeight="1" x14ac:dyDescent="0.4">
      <c r="A285" s="55"/>
      <c r="B285" s="56"/>
      <c r="C285" s="43" t="s">
        <v>17</v>
      </c>
      <c r="D285" s="57" t="s">
        <v>25</v>
      </c>
      <c r="E285" s="58"/>
      <c r="F285" s="58"/>
      <c r="G285" s="59"/>
      <c r="H285" s="60"/>
      <c r="I285" s="48"/>
      <c r="J285" s="48"/>
      <c r="K285" s="49"/>
      <c r="L285" s="61"/>
      <c r="M285" s="61"/>
      <c r="N285" s="61"/>
    </row>
    <row r="286" spans="1:14" ht="21.75" customHeight="1" x14ac:dyDescent="0.4">
      <c r="A286" s="55"/>
      <c r="B286" s="56"/>
      <c r="C286" s="56"/>
      <c r="D286" s="62">
        <v>1</v>
      </c>
      <c r="E286" s="63" t="s">
        <v>26</v>
      </c>
      <c r="F286" s="64"/>
      <c r="G286" s="65"/>
      <c r="H286" s="66"/>
      <c r="I286" s="67"/>
      <c r="J286" s="68">
        <v>0</v>
      </c>
      <c r="K286" s="49"/>
      <c r="L286" s="61"/>
      <c r="M286" s="61"/>
      <c r="N286" s="61"/>
    </row>
    <row r="287" spans="1:14" ht="21.75" customHeight="1" x14ac:dyDescent="0.4">
      <c r="A287" s="55"/>
      <c r="B287" s="56"/>
      <c r="C287" s="56"/>
      <c r="D287" s="69">
        <v>2</v>
      </c>
      <c r="E287" s="70" t="s">
        <v>27</v>
      </c>
      <c r="F287" s="71"/>
      <c r="G287" s="72"/>
      <c r="H287" s="66"/>
      <c r="I287" s="67"/>
      <c r="J287" s="68">
        <v>1</v>
      </c>
      <c r="K287" s="49"/>
      <c r="L287" s="61" t="s">
        <v>21</v>
      </c>
      <c r="M287" s="61" t="s">
        <v>21</v>
      </c>
      <c r="N287" s="61"/>
    </row>
    <row r="288" spans="1:14" ht="21.75" customHeight="1" x14ac:dyDescent="0.4">
      <c r="A288" s="55"/>
      <c r="B288" s="56"/>
      <c r="C288" s="56"/>
      <c r="D288" s="73"/>
      <c r="E288" s="74" t="s">
        <v>28</v>
      </c>
      <c r="F288" s="75"/>
      <c r="G288" s="76"/>
      <c r="H288" s="66"/>
      <c r="I288" s="67"/>
      <c r="J288" s="68">
        <v>1</v>
      </c>
      <c r="K288" s="49"/>
      <c r="L288" s="61"/>
      <c r="M288" s="61"/>
      <c r="N288" s="61"/>
    </row>
    <row r="289" spans="1:14" ht="21.75" customHeight="1" x14ac:dyDescent="0.4">
      <c r="A289" s="55"/>
      <c r="B289" s="56"/>
      <c r="C289" s="56"/>
      <c r="D289" s="73"/>
      <c r="E289" s="74" t="s">
        <v>29</v>
      </c>
      <c r="F289" s="75"/>
      <c r="G289" s="76"/>
      <c r="H289" s="66"/>
      <c r="I289" s="67"/>
      <c r="J289" s="68">
        <v>0</v>
      </c>
      <c r="K289" s="49"/>
      <c r="L289" s="61"/>
      <c r="M289" s="61"/>
      <c r="N289" s="61"/>
    </row>
    <row r="290" spans="1:14" ht="21.75" customHeight="1" x14ac:dyDescent="0.4">
      <c r="A290" s="55"/>
      <c r="B290" s="56"/>
      <c r="C290" s="56"/>
      <c r="D290" s="73"/>
      <c r="E290" s="77"/>
      <c r="F290" s="74" t="s">
        <v>127</v>
      </c>
      <c r="G290" s="75"/>
      <c r="H290" s="66"/>
      <c r="I290" s="67"/>
      <c r="J290" s="67"/>
      <c r="K290" s="49"/>
      <c r="L290" s="61"/>
      <c r="M290" s="61"/>
      <c r="N290" s="61"/>
    </row>
    <row r="291" spans="1:14" ht="21.75" customHeight="1" x14ac:dyDescent="0.4">
      <c r="A291" s="55"/>
      <c r="B291" s="56"/>
      <c r="C291" s="56"/>
      <c r="D291" s="73"/>
      <c r="E291" s="77"/>
      <c r="F291" s="75"/>
      <c r="G291" s="99" t="s">
        <v>50</v>
      </c>
      <c r="H291" s="66" t="s">
        <v>16</v>
      </c>
      <c r="I291" s="67">
        <f ca="1">IFERROR(__xludf.DUMMYFUNCTION("IMPORTRANGE(""https://docs.google.com/spreadsheets/d/1C3CXT74ZlgGe6_JY_1olB1XN4rF0dxEuIIF-xsYjHgg/edit?usp=sharing"",""งบกองทุน!v21"")"),50)</f>
        <v>50</v>
      </c>
      <c r="J291" s="68">
        <v>0</v>
      </c>
      <c r="K291" s="49">
        <f t="shared" ref="K291:K293" ca="1" si="67">IF(I291&gt;0,J291*100/I291,0)</f>
        <v>0</v>
      </c>
      <c r="L291" s="61"/>
      <c r="M291" s="61"/>
      <c r="N291" s="61"/>
    </row>
    <row r="292" spans="1:14" ht="21.75" customHeight="1" x14ac:dyDescent="0.4">
      <c r="A292" s="55"/>
      <c r="B292" s="56"/>
      <c r="C292" s="56"/>
      <c r="D292" s="73"/>
      <c r="E292" s="77"/>
      <c r="F292" s="75"/>
      <c r="G292" s="76" t="s">
        <v>34</v>
      </c>
      <c r="H292" s="66" t="s">
        <v>103</v>
      </c>
      <c r="I292" s="67">
        <f ca="1">IFERROR(__xludf.DUMMYFUNCTION("IMPORTRANGE(""https://docs.google.com/spreadsheets/d/1C3CXT74ZlgGe6_JY_1olB1XN4rF0dxEuIIF-xsYjHgg/edit?usp=sharing"",""งบกองทุน!w21"")"),500)</f>
        <v>500</v>
      </c>
      <c r="J292" s="68">
        <v>0</v>
      </c>
      <c r="K292" s="49">
        <f t="shared" ca="1" si="67"/>
        <v>0</v>
      </c>
      <c r="L292" s="61"/>
      <c r="M292" s="61"/>
      <c r="N292" s="61"/>
    </row>
    <row r="293" spans="1:14" ht="21.75" customHeight="1" x14ac:dyDescent="0.4">
      <c r="A293" s="55"/>
      <c r="B293" s="56"/>
      <c r="C293" s="56"/>
      <c r="D293" s="73"/>
      <c r="E293" s="77"/>
      <c r="F293" s="75"/>
      <c r="G293" s="76"/>
      <c r="H293" s="66" t="s">
        <v>16</v>
      </c>
      <c r="I293" s="67">
        <f ca="1">IFERROR(__xludf.DUMMYFUNCTION("IMPORTRANGE(""https://docs.google.com/spreadsheets/d/1C3CXT74ZlgGe6_JY_1olB1XN4rF0dxEuIIF-xsYjHgg/edit?usp=sharing"",""งบกองทุน!x21"")"),50)</f>
        <v>50</v>
      </c>
      <c r="J293" s="68">
        <v>0</v>
      </c>
      <c r="K293" s="49">
        <f t="shared" ca="1" si="67"/>
        <v>0</v>
      </c>
      <c r="L293" s="61"/>
      <c r="M293" s="61"/>
      <c r="N293" s="61"/>
    </row>
    <row r="294" spans="1:14" ht="21.75" customHeight="1" x14ac:dyDescent="0.4">
      <c r="A294" s="55"/>
      <c r="B294" s="56"/>
      <c r="C294" s="56"/>
      <c r="D294" s="73"/>
      <c r="E294" s="74" t="s">
        <v>35</v>
      </c>
      <c r="F294" s="75"/>
      <c r="G294" s="76"/>
      <c r="H294" s="66"/>
      <c r="I294" s="67"/>
      <c r="J294" s="68">
        <v>0</v>
      </c>
      <c r="K294" s="49"/>
      <c r="L294" s="61"/>
      <c r="M294" s="61"/>
      <c r="N294" s="61"/>
    </row>
    <row r="295" spans="1:14" ht="21.75" customHeight="1" x14ac:dyDescent="0.4">
      <c r="A295" s="55"/>
      <c r="B295" s="56"/>
      <c r="C295" s="56"/>
      <c r="D295" s="81">
        <v>3</v>
      </c>
      <c r="E295" s="82" t="s">
        <v>36</v>
      </c>
      <c r="F295" s="83"/>
      <c r="G295" s="84"/>
      <c r="H295" s="66"/>
      <c r="I295" s="67"/>
      <c r="J295" s="85">
        <v>0</v>
      </c>
      <c r="K295" s="49"/>
      <c r="L295" s="61"/>
      <c r="M295" s="61"/>
      <c r="N295" s="61"/>
    </row>
    <row r="296" spans="1:14" ht="21.75" customHeight="1" x14ac:dyDescent="0.4">
      <c r="A296" s="222"/>
      <c r="B296" s="223">
        <v>3</v>
      </c>
      <c r="C296" s="223" t="s">
        <v>128</v>
      </c>
      <c r="D296" s="224"/>
      <c r="E296" s="224"/>
      <c r="F296" s="224"/>
      <c r="G296" s="225"/>
      <c r="H296" s="226" t="s">
        <v>103</v>
      </c>
      <c r="I296" s="227">
        <f ca="1">SUM(I313,I317,I322)</f>
        <v>174</v>
      </c>
      <c r="J296" s="227">
        <f>J313+J317+J322</f>
        <v>0</v>
      </c>
      <c r="K296" s="228">
        <f t="shared" ref="K296:K297" ca="1" si="68">IF(I296&gt;0,J296*100/I296,0)</f>
        <v>0</v>
      </c>
      <c r="L296" s="229">
        <f t="shared" ref="L296:M296" ca="1" si="69">SUM(L298:L299)</f>
        <v>195900</v>
      </c>
      <c r="M296" s="229">
        <f t="shared" si="69"/>
        <v>0</v>
      </c>
      <c r="N296" s="229">
        <f ca="1">+IF(L296&gt;0,M296*100/L296,0)</f>
        <v>0</v>
      </c>
    </row>
    <row r="297" spans="1:14" ht="21.75" customHeight="1" x14ac:dyDescent="0.4">
      <c r="A297" s="222"/>
      <c r="B297" s="223"/>
      <c r="C297" s="223"/>
      <c r="D297" s="236"/>
      <c r="E297" s="236"/>
      <c r="F297" s="236"/>
      <c r="G297" s="239"/>
      <c r="H297" s="226" t="s">
        <v>16</v>
      </c>
      <c r="I297" s="227">
        <f ca="1">SUM(I312,I316,I321)</f>
        <v>58</v>
      </c>
      <c r="J297" s="227">
        <f ca="1">J311</f>
        <v>0</v>
      </c>
      <c r="K297" s="228">
        <f t="shared" ca="1" si="68"/>
        <v>0</v>
      </c>
      <c r="L297" s="229"/>
      <c r="M297" s="229"/>
      <c r="N297" s="229"/>
    </row>
    <row r="298" spans="1:14" ht="21.75" customHeight="1" x14ac:dyDescent="0.4">
      <c r="A298" s="42"/>
      <c r="B298" s="43"/>
      <c r="C298" s="43" t="s">
        <v>17</v>
      </c>
      <c r="D298" s="44" t="s">
        <v>18</v>
      </c>
      <c r="E298" s="45"/>
      <c r="F298" s="45"/>
      <c r="G298" s="46" t="s">
        <v>19</v>
      </c>
      <c r="H298" s="47" t="s">
        <v>20</v>
      </c>
      <c r="I298" s="48" t="s">
        <v>21</v>
      </c>
      <c r="J298" s="48"/>
      <c r="K298" s="49"/>
      <c r="L298" s="50">
        <v>0</v>
      </c>
      <c r="M298" s="53">
        <v>0</v>
      </c>
      <c r="N298" s="53">
        <f t="shared" ref="N298:N301" si="70">+IF(L298&gt;0,M298*100/L298,0)</f>
        <v>0</v>
      </c>
    </row>
    <row r="299" spans="1:14" ht="21.75" customHeight="1" x14ac:dyDescent="0.4">
      <c r="A299" s="42"/>
      <c r="B299" s="43"/>
      <c r="C299" s="43"/>
      <c r="D299" s="51"/>
      <c r="E299" s="45"/>
      <c r="F299" s="45" t="s">
        <v>21</v>
      </c>
      <c r="G299" s="46" t="s">
        <v>22</v>
      </c>
      <c r="H299" s="47" t="s">
        <v>20</v>
      </c>
      <c r="I299" s="48"/>
      <c r="J299" s="48"/>
      <c r="K299" s="49"/>
      <c r="L299" s="50">
        <f t="shared" ref="L299:M299" ca="1" si="71">SUM(L300:L301)</f>
        <v>195900</v>
      </c>
      <c r="M299" s="53">
        <f t="shared" si="71"/>
        <v>0</v>
      </c>
      <c r="N299" s="53">
        <f t="shared" ca="1" si="70"/>
        <v>0</v>
      </c>
    </row>
    <row r="300" spans="1:14" ht="21.75" customHeight="1" x14ac:dyDescent="0.4">
      <c r="A300" s="42"/>
      <c r="B300" s="43"/>
      <c r="C300" s="43"/>
      <c r="D300" s="51"/>
      <c r="E300" s="45"/>
      <c r="F300" s="45"/>
      <c r="G300" s="52" t="s">
        <v>110</v>
      </c>
      <c r="H300" s="47" t="s">
        <v>20</v>
      </c>
      <c r="I300" s="48"/>
      <c r="J300" s="48"/>
      <c r="K300" s="49"/>
      <c r="L300" s="53">
        <f ca="1">IFERROR(__xludf.DUMMYFUNCTION("IMPORTRANGE(""https://docs.google.com/spreadsheets/d/1C3CXT74ZlgGe6_JY_1olB1XN4rF0dxEuIIF-xsYjHgg/edit?usp=sharing"",""งบกองทุน!z21"")"),0)</f>
        <v>0</v>
      </c>
      <c r="M300" s="53">
        <v>0</v>
      </c>
      <c r="N300" s="53">
        <f t="shared" ca="1" si="70"/>
        <v>0</v>
      </c>
    </row>
    <row r="301" spans="1:14" ht="21.75" customHeight="1" x14ac:dyDescent="0.4">
      <c r="A301" s="42"/>
      <c r="B301" s="43"/>
      <c r="C301" s="43"/>
      <c r="D301" s="51"/>
      <c r="E301" s="45"/>
      <c r="F301" s="45"/>
      <c r="G301" s="52" t="s">
        <v>111</v>
      </c>
      <c r="H301" s="47" t="s">
        <v>20</v>
      </c>
      <c r="I301" s="48"/>
      <c r="J301" s="48"/>
      <c r="K301" s="49"/>
      <c r="L301" s="53">
        <f ca="1">IFERROR(__xludf.DUMMYFUNCTION("IMPORTRANGE(""https://docs.google.com/spreadsheets/d/1C3CXT74ZlgGe6_JY_1olB1XN4rF0dxEuIIF-xsYjHgg/edit?usp=sharing"",""งบกองทุน!aa21"")"),195900)</f>
        <v>195900</v>
      </c>
      <c r="M301" s="53">
        <f>SUM(M302:M305)</f>
        <v>0</v>
      </c>
      <c r="N301" s="53">
        <f t="shared" ca="1" si="70"/>
        <v>0</v>
      </c>
    </row>
    <row r="302" spans="1:14" ht="21.75" customHeight="1" x14ac:dyDescent="0.4">
      <c r="A302" s="230"/>
      <c r="B302" s="231"/>
      <c r="C302" s="43"/>
      <c r="D302" s="232"/>
      <c r="E302" s="45"/>
      <c r="F302" s="45"/>
      <c r="G302" s="46" t="s">
        <v>112</v>
      </c>
      <c r="H302" s="47" t="s">
        <v>20</v>
      </c>
      <c r="I302" s="67"/>
      <c r="J302" s="67"/>
      <c r="K302" s="233"/>
      <c r="L302" s="53"/>
      <c r="M302" s="54">
        <v>0</v>
      </c>
      <c r="N302" s="53"/>
    </row>
    <row r="303" spans="1:14" ht="21.75" customHeight="1" x14ac:dyDescent="0.4">
      <c r="A303" s="230"/>
      <c r="B303" s="231"/>
      <c r="C303" s="43"/>
      <c r="D303" s="232"/>
      <c r="E303" s="45"/>
      <c r="F303" s="45"/>
      <c r="G303" s="46" t="s">
        <v>113</v>
      </c>
      <c r="H303" s="47" t="s">
        <v>20</v>
      </c>
      <c r="I303" s="67"/>
      <c r="J303" s="67"/>
      <c r="K303" s="233"/>
      <c r="L303" s="53"/>
      <c r="M303" s="54">
        <v>0</v>
      </c>
      <c r="N303" s="53"/>
    </row>
    <row r="304" spans="1:14" ht="21.75" customHeight="1" x14ac:dyDescent="0.4">
      <c r="A304" s="230"/>
      <c r="B304" s="231"/>
      <c r="C304" s="43"/>
      <c r="D304" s="232"/>
      <c r="E304" s="45"/>
      <c r="F304" s="45"/>
      <c r="G304" s="46" t="s">
        <v>114</v>
      </c>
      <c r="H304" s="47" t="s">
        <v>20</v>
      </c>
      <c r="I304" s="67"/>
      <c r="J304" s="67"/>
      <c r="K304" s="233"/>
      <c r="L304" s="53"/>
      <c r="M304" s="54">
        <v>0</v>
      </c>
      <c r="N304" s="53"/>
    </row>
    <row r="305" spans="1:14" ht="21.75" customHeight="1" x14ac:dyDescent="0.4">
      <c r="A305" s="230"/>
      <c r="B305" s="231"/>
      <c r="C305" s="43"/>
      <c r="D305" s="232"/>
      <c r="E305" s="45"/>
      <c r="F305" s="45"/>
      <c r="G305" s="46" t="s">
        <v>115</v>
      </c>
      <c r="H305" s="47" t="s">
        <v>20</v>
      </c>
      <c r="I305" s="67"/>
      <c r="J305" s="67"/>
      <c r="K305" s="233"/>
      <c r="L305" s="53"/>
      <c r="M305" s="54">
        <v>0</v>
      </c>
      <c r="N305" s="53"/>
    </row>
    <row r="306" spans="1:14" ht="21.75" customHeight="1" x14ac:dyDescent="0.4">
      <c r="A306" s="55"/>
      <c r="B306" s="56"/>
      <c r="C306" s="43" t="s">
        <v>17</v>
      </c>
      <c r="D306" s="57" t="s">
        <v>25</v>
      </c>
      <c r="E306" s="58"/>
      <c r="F306" s="58"/>
      <c r="G306" s="59"/>
      <c r="H306" s="60"/>
      <c r="I306" s="48"/>
      <c r="J306" s="48"/>
      <c r="K306" s="49"/>
      <c r="L306" s="61"/>
      <c r="M306" s="61"/>
      <c r="N306" s="61"/>
    </row>
    <row r="307" spans="1:14" ht="21.75" customHeight="1" x14ac:dyDescent="0.4">
      <c r="A307" s="55"/>
      <c r="B307" s="56"/>
      <c r="C307" s="56"/>
      <c r="D307" s="62">
        <v>1</v>
      </c>
      <c r="E307" s="63" t="s">
        <v>26</v>
      </c>
      <c r="F307" s="64"/>
      <c r="G307" s="65"/>
      <c r="H307" s="66"/>
      <c r="I307" s="67"/>
      <c r="J307" s="68">
        <v>1</v>
      </c>
      <c r="K307" s="49"/>
      <c r="L307" s="61"/>
      <c r="M307" s="61"/>
      <c r="N307" s="61"/>
    </row>
    <row r="308" spans="1:14" ht="21.75" customHeight="1" x14ac:dyDescent="0.4">
      <c r="A308" s="55"/>
      <c r="B308" s="56"/>
      <c r="C308" s="56"/>
      <c r="D308" s="69">
        <v>2</v>
      </c>
      <c r="E308" s="70" t="s">
        <v>27</v>
      </c>
      <c r="F308" s="71"/>
      <c r="G308" s="72"/>
      <c r="H308" s="66"/>
      <c r="I308" s="67"/>
      <c r="J308" s="68">
        <v>0</v>
      </c>
      <c r="K308" s="49"/>
      <c r="L308" s="61" t="s">
        <v>21</v>
      </c>
      <c r="M308" s="61" t="s">
        <v>21</v>
      </c>
      <c r="N308" s="61"/>
    </row>
    <row r="309" spans="1:14" ht="21.75" customHeight="1" x14ac:dyDescent="0.4">
      <c r="A309" s="55"/>
      <c r="B309" s="56"/>
      <c r="C309" s="56"/>
      <c r="D309" s="73"/>
      <c r="E309" s="74" t="s">
        <v>28</v>
      </c>
      <c r="F309" s="75"/>
      <c r="G309" s="76"/>
      <c r="H309" s="66"/>
      <c r="I309" s="67"/>
      <c r="J309" s="68">
        <v>0</v>
      </c>
      <c r="K309" s="49"/>
      <c r="L309" s="61"/>
      <c r="M309" s="61"/>
      <c r="N309" s="61"/>
    </row>
    <row r="310" spans="1:14" ht="21.75" customHeight="1" x14ac:dyDescent="0.4">
      <c r="A310" s="55"/>
      <c r="B310" s="56"/>
      <c r="C310" s="56"/>
      <c r="D310" s="73"/>
      <c r="E310" s="74" t="s">
        <v>29</v>
      </c>
      <c r="F310" s="75"/>
      <c r="G310" s="76"/>
      <c r="H310" s="66"/>
      <c r="I310" s="67"/>
      <c r="J310" s="68">
        <v>0</v>
      </c>
      <c r="K310" s="49"/>
      <c r="L310" s="61"/>
      <c r="M310" s="61"/>
      <c r="N310" s="61"/>
    </row>
    <row r="311" spans="1:14" ht="21.75" customHeight="1" x14ac:dyDescent="0.4">
      <c r="A311" s="55"/>
      <c r="B311" s="56"/>
      <c r="C311" s="56"/>
      <c r="D311" s="73"/>
      <c r="E311" s="77"/>
      <c r="F311" s="74" t="s">
        <v>50</v>
      </c>
      <c r="G311" s="240"/>
      <c r="H311" s="241" t="s">
        <v>16</v>
      </c>
      <c r="I311" s="79">
        <f t="shared" ref="I311:J311" ca="1" si="72">+I312+I316+I321</f>
        <v>58</v>
      </c>
      <c r="J311" s="79">
        <f t="shared" ca="1" si="72"/>
        <v>0</v>
      </c>
      <c r="K311" s="80">
        <f t="shared" ref="K311:K327" ca="1" si="73">IF(I311&gt;0,J311*100/I311,0)</f>
        <v>0</v>
      </c>
      <c r="L311" s="61"/>
      <c r="M311" s="61"/>
      <c r="N311" s="61"/>
    </row>
    <row r="312" spans="1:14" ht="21.75" customHeight="1" x14ac:dyDescent="0.4">
      <c r="A312" s="55"/>
      <c r="B312" s="56"/>
      <c r="C312" s="56"/>
      <c r="D312" s="73"/>
      <c r="E312" s="77"/>
      <c r="F312" s="242" t="s">
        <v>129</v>
      </c>
      <c r="G312" s="76"/>
      <c r="H312" s="78" t="s">
        <v>16</v>
      </c>
      <c r="I312" s="243">
        <f ca="1">IFERROR(__xludf.DUMMYFUNCTION("IMPORTRANGE(""https://docs.google.com/spreadsheets/d/1C3CXT74ZlgGe6_JY_1olB1XN4rF0dxEuIIF-xsYjHgg/edit?usp=sharing"",""งบกองทุน!ae21"")"),10)</f>
        <v>10</v>
      </c>
      <c r="J312" s="79">
        <f ca="1">IF(AND(J314=I314,J315=I315),I314,0)</f>
        <v>0</v>
      </c>
      <c r="K312" s="80">
        <f t="shared" ca="1" si="73"/>
        <v>0</v>
      </c>
      <c r="L312" s="61"/>
      <c r="M312" s="61"/>
      <c r="N312" s="61"/>
    </row>
    <row r="313" spans="1:14" ht="21.75" customHeight="1" x14ac:dyDescent="0.4">
      <c r="A313" s="55"/>
      <c r="B313" s="56"/>
      <c r="C313" s="56"/>
      <c r="D313" s="73"/>
      <c r="E313" s="77"/>
      <c r="F313" s="75"/>
      <c r="G313" s="76"/>
      <c r="H313" s="78" t="s">
        <v>103</v>
      </c>
      <c r="I313" s="243">
        <f ca="1">IFERROR(__xludf.DUMMYFUNCTION("IMPORTRANGE(""https://docs.google.com/spreadsheets/d/1C3CXT74ZlgGe6_JY_1olB1XN4rF0dxEuIIF-xsYjHgg/edit?usp=sharing"",""งบกองทุน!ad21"")"),30)</f>
        <v>30</v>
      </c>
      <c r="J313" s="154">
        <v>0</v>
      </c>
      <c r="K313" s="80">
        <f t="shared" ca="1" si="73"/>
        <v>0</v>
      </c>
      <c r="L313" s="61"/>
      <c r="M313" s="61"/>
      <c r="N313" s="61"/>
    </row>
    <row r="314" spans="1:14" ht="21.75" customHeight="1" x14ac:dyDescent="0.4">
      <c r="A314" s="55"/>
      <c r="B314" s="56"/>
      <c r="C314" s="56"/>
      <c r="D314" s="73"/>
      <c r="E314" s="77"/>
      <c r="F314" s="75"/>
      <c r="G314" s="99" t="s">
        <v>130</v>
      </c>
      <c r="H314" s="60" t="s">
        <v>16</v>
      </c>
      <c r="I314" s="200">
        <f ca="1">IFERROR(__xludf.DUMMYFUNCTION("IMPORTRANGE(""https://docs.google.com/spreadsheets/d/1C3CXT74ZlgGe6_JY_1olB1XN4rF0dxEuIIF-xsYjHgg/edit?usp=sharing"",""งบกองทุน!af21"")"),10)</f>
        <v>10</v>
      </c>
      <c r="J314" s="68">
        <v>0</v>
      </c>
      <c r="K314" s="49">
        <f t="shared" ca="1" si="73"/>
        <v>0</v>
      </c>
      <c r="L314" s="61"/>
      <c r="M314" s="61"/>
      <c r="N314" s="61"/>
    </row>
    <row r="315" spans="1:14" ht="21.75" customHeight="1" x14ac:dyDescent="0.4">
      <c r="A315" s="105"/>
      <c r="B315" s="106"/>
      <c r="C315" s="106"/>
      <c r="D315" s="244"/>
      <c r="E315" s="245"/>
      <c r="F315" s="204"/>
      <c r="G315" s="246" t="s">
        <v>131</v>
      </c>
      <c r="H315" s="206" t="s">
        <v>16</v>
      </c>
      <c r="I315" s="207">
        <f ca="1">IFERROR(__xludf.DUMMYFUNCTION("IMPORTRANGE(""https://docs.google.com/spreadsheets/d/1C3CXT74ZlgGe6_JY_1olB1XN4rF0dxEuIIF-xsYjHgg/edit?usp=sharing"",""งบกองทุน!ag21"")"),10)</f>
        <v>10</v>
      </c>
      <c r="J315" s="247">
        <v>0</v>
      </c>
      <c r="K315" s="114">
        <f t="shared" ca="1" si="73"/>
        <v>0</v>
      </c>
      <c r="L315" s="115"/>
      <c r="M315" s="115"/>
      <c r="N315" s="115"/>
    </row>
    <row r="316" spans="1:14" ht="21.75" customHeight="1" x14ac:dyDescent="0.4">
      <c r="A316" s="55"/>
      <c r="B316" s="56"/>
      <c r="C316" s="56"/>
      <c r="D316" s="73"/>
      <c r="E316" s="77"/>
      <c r="F316" s="242" t="s">
        <v>132</v>
      </c>
      <c r="G316" s="76"/>
      <c r="H316" s="78" t="s">
        <v>16</v>
      </c>
      <c r="I316" s="243">
        <f ca="1">IFERROR(__xludf.DUMMYFUNCTION("IMPORTRANGE(""https://docs.google.com/spreadsheets/d/1C3CXT74ZlgGe6_JY_1olB1XN4rF0dxEuIIF-xsYjHgg/edit?usp=sharing"",""งบกองทุน!ai21"")"),38)</f>
        <v>38</v>
      </c>
      <c r="J316" s="79">
        <f ca="1">IF(AND(J318=I318,J319=I319,J320=I320),I318,0)</f>
        <v>0</v>
      </c>
      <c r="K316" s="80">
        <f t="shared" ca="1" si="73"/>
        <v>0</v>
      </c>
      <c r="L316" s="61"/>
      <c r="M316" s="61"/>
      <c r="N316" s="61"/>
    </row>
    <row r="317" spans="1:14" ht="21.75" customHeight="1" x14ac:dyDescent="0.4">
      <c r="A317" s="55"/>
      <c r="B317" s="56"/>
      <c r="C317" s="56"/>
      <c r="D317" s="73"/>
      <c r="E317" s="77"/>
      <c r="F317" s="75"/>
      <c r="G317" s="76"/>
      <c r="H317" s="78" t="s">
        <v>103</v>
      </c>
      <c r="I317" s="243">
        <f ca="1">IFERROR(__xludf.DUMMYFUNCTION("IMPORTRANGE(""https://docs.google.com/spreadsheets/d/1C3CXT74ZlgGe6_JY_1olB1XN4rF0dxEuIIF-xsYjHgg/edit?usp=sharing"",""งบกองทุน!ah21"")"),114)</f>
        <v>114</v>
      </c>
      <c r="J317" s="154">
        <v>0</v>
      </c>
      <c r="K317" s="80">
        <f t="shared" ca="1" si="73"/>
        <v>0</v>
      </c>
      <c r="L317" s="61"/>
      <c r="M317" s="61"/>
      <c r="N317" s="61"/>
    </row>
    <row r="318" spans="1:14" ht="21.75" customHeight="1" x14ac:dyDescent="0.4">
      <c r="A318" s="55"/>
      <c r="B318" s="56"/>
      <c r="C318" s="56"/>
      <c r="D318" s="73"/>
      <c r="E318" s="77"/>
      <c r="F318" s="75"/>
      <c r="G318" s="99" t="s">
        <v>133</v>
      </c>
      <c r="H318" s="60" t="s">
        <v>16</v>
      </c>
      <c r="I318" s="200">
        <f ca="1">IFERROR(__xludf.DUMMYFUNCTION("IMPORTRANGE(""https://docs.google.com/spreadsheets/d/1C3CXT74ZlgGe6_JY_1olB1XN4rF0dxEuIIF-xsYjHgg/edit?usp=sharing"",""งบกองทุน!aj21"")"),38)</f>
        <v>38</v>
      </c>
      <c r="J318" s="68">
        <v>0</v>
      </c>
      <c r="K318" s="49">
        <f t="shared" ca="1" si="73"/>
        <v>0</v>
      </c>
      <c r="L318" s="61"/>
      <c r="M318" s="61"/>
      <c r="N318" s="61"/>
    </row>
    <row r="319" spans="1:14" ht="21.75" customHeight="1" x14ac:dyDescent="0.4">
      <c r="A319" s="55"/>
      <c r="B319" s="56"/>
      <c r="C319" s="56"/>
      <c r="D319" s="73"/>
      <c r="E319" s="77"/>
      <c r="F319" s="75"/>
      <c r="G319" s="99" t="s">
        <v>134</v>
      </c>
      <c r="H319" s="60" t="s">
        <v>16</v>
      </c>
      <c r="I319" s="200">
        <f ca="1">IFERROR(__xludf.DUMMYFUNCTION("IMPORTRANGE(""https://docs.google.com/spreadsheets/d/1C3CXT74ZlgGe6_JY_1olB1XN4rF0dxEuIIF-xsYjHgg/edit?usp=sharing"",""งบกองทุน!ak21"")"),38)</f>
        <v>38</v>
      </c>
      <c r="J319" s="68">
        <v>0</v>
      </c>
      <c r="K319" s="49">
        <f t="shared" ca="1" si="73"/>
        <v>0</v>
      </c>
      <c r="L319" s="61"/>
      <c r="M319" s="61"/>
      <c r="N319" s="61"/>
    </row>
    <row r="320" spans="1:14" ht="21.75" customHeight="1" x14ac:dyDescent="0.4">
      <c r="A320" s="55"/>
      <c r="B320" s="56"/>
      <c r="C320" s="56"/>
      <c r="D320" s="73"/>
      <c r="E320" s="77"/>
      <c r="F320" s="75"/>
      <c r="G320" s="99" t="s">
        <v>135</v>
      </c>
      <c r="H320" s="60" t="s">
        <v>16</v>
      </c>
      <c r="I320" s="200">
        <f ca="1">IFERROR(__xludf.DUMMYFUNCTION("IMPORTRANGE(""https://docs.google.com/spreadsheets/d/1C3CXT74ZlgGe6_JY_1olB1XN4rF0dxEuIIF-xsYjHgg/edit?usp=sharing"",""งบกองทุน!al21"")"),38)</f>
        <v>38</v>
      </c>
      <c r="J320" s="68">
        <v>0</v>
      </c>
      <c r="K320" s="49">
        <f t="shared" ca="1" si="73"/>
        <v>0</v>
      </c>
      <c r="L320" s="61"/>
      <c r="M320" s="61"/>
      <c r="N320" s="61"/>
    </row>
    <row r="321" spans="1:14" ht="21.75" customHeight="1" x14ac:dyDescent="0.4">
      <c r="A321" s="55"/>
      <c r="B321" s="56"/>
      <c r="C321" s="56"/>
      <c r="D321" s="73"/>
      <c r="E321" s="77"/>
      <c r="F321" s="242" t="s">
        <v>136</v>
      </c>
      <c r="G321" s="76"/>
      <c r="H321" s="78" t="s">
        <v>16</v>
      </c>
      <c r="I321" s="243">
        <f ca="1">IFERROR(__xludf.DUMMYFUNCTION("IMPORTRANGE(""https://docs.google.com/spreadsheets/d/1C3CXT74ZlgGe6_JY_1olB1XN4rF0dxEuIIF-xsYjHgg/edit?usp=sharing"",""งบกองทุน!an21"")"),10)</f>
        <v>10</v>
      </c>
      <c r="J321" s="79">
        <f ca="1">IF(AND(J323=I323,J324=I324),I323,0)</f>
        <v>0</v>
      </c>
      <c r="K321" s="80">
        <f t="shared" ca="1" si="73"/>
        <v>0</v>
      </c>
      <c r="L321" s="61"/>
      <c r="M321" s="61"/>
      <c r="N321" s="61"/>
    </row>
    <row r="322" spans="1:14" ht="21.75" customHeight="1" x14ac:dyDescent="0.4">
      <c r="A322" s="55"/>
      <c r="B322" s="56"/>
      <c r="C322" s="56"/>
      <c r="D322" s="73"/>
      <c r="E322" s="77"/>
      <c r="F322" s="75"/>
      <c r="G322" s="76"/>
      <c r="H322" s="78" t="s">
        <v>103</v>
      </c>
      <c r="I322" s="243">
        <f ca="1">IFERROR(__xludf.DUMMYFUNCTION("IMPORTRANGE(""https://docs.google.com/spreadsheets/d/1C3CXT74ZlgGe6_JY_1olB1XN4rF0dxEuIIF-xsYjHgg/edit?usp=sharing"",""งบกองทุน!am21"")"),30)</f>
        <v>30</v>
      </c>
      <c r="J322" s="154">
        <v>0</v>
      </c>
      <c r="K322" s="80">
        <f t="shared" ca="1" si="73"/>
        <v>0</v>
      </c>
      <c r="L322" s="61"/>
      <c r="M322" s="61"/>
      <c r="N322" s="61"/>
    </row>
    <row r="323" spans="1:14" ht="21.75" customHeight="1" x14ac:dyDescent="0.4">
      <c r="A323" s="55"/>
      <c r="B323" s="56"/>
      <c r="C323" s="56"/>
      <c r="D323" s="73"/>
      <c r="E323" s="77"/>
      <c r="F323" s="75"/>
      <c r="G323" s="99" t="s">
        <v>137</v>
      </c>
      <c r="H323" s="60" t="s">
        <v>16</v>
      </c>
      <c r="I323" s="248">
        <f ca="1">IFERROR(__xludf.DUMMYFUNCTION("IMPORTRANGE(""https://docs.google.com/spreadsheets/d/1C3CXT74ZlgGe6_JY_1olB1XN4rF0dxEuIIF-xsYjHgg/edit?usp=sharing"",""งบกองทุน!ao21"")"),10)</f>
        <v>10</v>
      </c>
      <c r="J323" s="68">
        <v>0</v>
      </c>
      <c r="K323" s="49">
        <f t="shared" ca="1" si="73"/>
        <v>0</v>
      </c>
      <c r="L323" s="61"/>
      <c r="M323" s="61"/>
      <c r="N323" s="61"/>
    </row>
    <row r="324" spans="1:14" ht="21.75" customHeight="1" x14ac:dyDescent="0.4">
      <c r="A324" s="55"/>
      <c r="B324" s="56"/>
      <c r="C324" s="56"/>
      <c r="D324" s="73"/>
      <c r="E324" s="77"/>
      <c r="F324" s="75"/>
      <c r="G324" s="99" t="s">
        <v>138</v>
      </c>
      <c r="H324" s="60" t="s">
        <v>16</v>
      </c>
      <c r="I324" s="248">
        <f ca="1">IFERROR(__xludf.DUMMYFUNCTION("IMPORTRANGE(""https://docs.google.com/spreadsheets/d/1C3CXT74ZlgGe6_JY_1olB1XN4rF0dxEuIIF-xsYjHgg/edit?usp=sharing"",""งบกองทุน!ap21"")"),10)</f>
        <v>10</v>
      </c>
      <c r="J324" s="68">
        <v>0</v>
      </c>
      <c r="K324" s="49">
        <f t="shared" ca="1" si="73"/>
        <v>0</v>
      </c>
      <c r="L324" s="61"/>
      <c r="M324" s="61"/>
      <c r="N324" s="61"/>
    </row>
    <row r="325" spans="1:14" ht="21.75" customHeight="1" x14ac:dyDescent="0.4">
      <c r="A325" s="55"/>
      <c r="B325" s="56"/>
      <c r="C325" s="56"/>
      <c r="D325" s="73"/>
      <c r="E325" s="77"/>
      <c r="F325" s="74" t="s">
        <v>34</v>
      </c>
      <c r="G325" s="240"/>
      <c r="H325" s="241" t="s">
        <v>16</v>
      </c>
      <c r="I325" s="79">
        <f ca="1">SUM(I326,I327)</f>
        <v>48</v>
      </c>
      <c r="J325" s="79">
        <f ca="1">IF(AND(J326=I326,J327=I327),I325,0)</f>
        <v>0</v>
      </c>
      <c r="K325" s="80">
        <f t="shared" ca="1" si="73"/>
        <v>0</v>
      </c>
      <c r="L325" s="61"/>
      <c r="M325" s="61"/>
      <c r="N325" s="61"/>
    </row>
    <row r="326" spans="1:14" ht="21.75" customHeight="1" x14ac:dyDescent="0.4">
      <c r="A326" s="249"/>
      <c r="B326" s="250"/>
      <c r="C326" s="250"/>
      <c r="D326" s="251"/>
      <c r="E326" s="77"/>
      <c r="F326" s="75"/>
      <c r="G326" s="99" t="s">
        <v>139</v>
      </c>
      <c r="H326" s="60" t="s">
        <v>16</v>
      </c>
      <c r="I326" s="248">
        <f ca="1">IFERROR(__xludf.DUMMYFUNCTION("IMPORTRANGE(""https://docs.google.com/spreadsheets/d/1C3CXT74ZlgGe6_JY_1olB1XN4rF0dxEuIIF-xsYjHgg/edit?usp=sharing"",""งบกองทุน!ar21"")"),10)</f>
        <v>10</v>
      </c>
      <c r="J326" s="68">
        <v>0</v>
      </c>
      <c r="K326" s="49">
        <f t="shared" ca="1" si="73"/>
        <v>0</v>
      </c>
      <c r="L326" s="61"/>
      <c r="M326" s="61"/>
      <c r="N326" s="61"/>
    </row>
    <row r="327" spans="1:14" ht="21.75" customHeight="1" x14ac:dyDescent="0.4">
      <c r="A327" s="249"/>
      <c r="B327" s="250"/>
      <c r="C327" s="250"/>
      <c r="D327" s="251"/>
      <c r="E327" s="77"/>
      <c r="F327" s="75"/>
      <c r="G327" s="99" t="s">
        <v>140</v>
      </c>
      <c r="H327" s="60" t="s">
        <v>16</v>
      </c>
      <c r="I327" s="248">
        <f ca="1">IFERROR(__xludf.DUMMYFUNCTION("IMPORTRANGE(""https://docs.google.com/spreadsheets/d/1C3CXT74ZlgGe6_JY_1olB1XN4rF0dxEuIIF-xsYjHgg/edit?usp=sharing"",""งบกองทุน!as21"")"),38)</f>
        <v>38</v>
      </c>
      <c r="J327" s="68">
        <v>0</v>
      </c>
      <c r="K327" s="49">
        <f t="shared" ca="1" si="73"/>
        <v>0</v>
      </c>
      <c r="L327" s="61"/>
      <c r="M327" s="61"/>
      <c r="N327" s="61"/>
    </row>
    <row r="328" spans="1:14" ht="21.75" customHeight="1" x14ac:dyDescent="0.4">
      <c r="A328" s="55"/>
      <c r="B328" s="56"/>
      <c r="C328" s="56"/>
      <c r="D328" s="73"/>
      <c r="E328" s="74" t="s">
        <v>35</v>
      </c>
      <c r="F328" s="75"/>
      <c r="G328" s="76"/>
      <c r="H328" s="66"/>
      <c r="I328" s="67"/>
      <c r="J328" s="68">
        <v>0</v>
      </c>
      <c r="K328" s="49"/>
      <c r="L328" s="61"/>
      <c r="M328" s="61"/>
      <c r="N328" s="61"/>
    </row>
    <row r="329" spans="1:14" ht="21.75" customHeight="1" x14ac:dyDescent="0.4">
      <c r="A329" s="55"/>
      <c r="B329" s="56"/>
      <c r="C329" s="56"/>
      <c r="D329" s="81">
        <v>3</v>
      </c>
      <c r="E329" s="82" t="s">
        <v>36</v>
      </c>
      <c r="F329" s="83"/>
      <c r="G329" s="84"/>
      <c r="H329" s="66"/>
      <c r="I329" s="67"/>
      <c r="J329" s="85">
        <v>0</v>
      </c>
      <c r="K329" s="49"/>
      <c r="L329" s="61"/>
      <c r="M329" s="61"/>
      <c r="N329" s="61"/>
    </row>
    <row r="330" spans="1:14" ht="21.75" customHeight="1" x14ac:dyDescent="0.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50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154800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4">
      <c r="A331" s="42"/>
      <c r="B331" s="43"/>
      <c r="C331" s="43" t="s">
        <v>17</v>
      </c>
      <c r="D331" s="44" t="s">
        <v>18</v>
      </c>
      <c r="E331" s="45"/>
      <c r="F331" s="45"/>
      <c r="G331" s="46" t="s">
        <v>19</v>
      </c>
      <c r="H331" s="47" t="s">
        <v>20</v>
      </c>
      <c r="I331" s="48" t="s">
        <v>21</v>
      </c>
      <c r="J331" s="48"/>
      <c r="K331" s="49"/>
      <c r="L331" s="50">
        <v>0</v>
      </c>
      <c r="M331" s="53">
        <v>0</v>
      </c>
      <c r="N331" s="53">
        <f t="shared" si="75"/>
        <v>0</v>
      </c>
    </row>
    <row r="332" spans="1:14" ht="21.75" customHeight="1" x14ac:dyDescent="0.4">
      <c r="A332" s="42"/>
      <c r="B332" s="43"/>
      <c r="C332" s="43"/>
      <c r="D332" s="51"/>
      <c r="E332" s="45"/>
      <c r="F332" s="45" t="s">
        <v>21</v>
      </c>
      <c r="G332" s="46" t="s">
        <v>22</v>
      </c>
      <c r="H332" s="47" t="s">
        <v>20</v>
      </c>
      <c r="I332" s="48"/>
      <c r="J332" s="48"/>
      <c r="K332" s="49"/>
      <c r="L332" s="50">
        <f t="shared" ref="L332:M332" ca="1" si="76">SUM(L333:L334)</f>
        <v>154800</v>
      </c>
      <c r="M332" s="53">
        <f t="shared" si="76"/>
        <v>0</v>
      </c>
      <c r="N332" s="53">
        <f t="shared" ca="1" si="75"/>
        <v>0</v>
      </c>
    </row>
    <row r="333" spans="1:14" ht="21.75" customHeight="1" x14ac:dyDescent="0.4">
      <c r="A333" s="42"/>
      <c r="B333" s="43"/>
      <c r="C333" s="43"/>
      <c r="D333" s="51"/>
      <c r="E333" s="45"/>
      <c r="F333" s="45"/>
      <c r="G333" s="52" t="s">
        <v>110</v>
      </c>
      <c r="H333" s="47" t="s">
        <v>20</v>
      </c>
      <c r="I333" s="48"/>
      <c r="J333" s="48"/>
      <c r="K333" s="49"/>
      <c r="L333" s="53">
        <f ca="1">IFERROR(__xludf.DUMMYFUNCTION("IMPORTRANGE(""https://docs.google.com/spreadsheets/d/1C3CXT74ZlgGe6_JY_1olB1XN4rF0dxEuIIF-xsYjHgg/edit?usp=sharing"",""งบกองทุน!au21"")"),0)</f>
        <v>0</v>
      </c>
      <c r="M333" s="53">
        <v>0</v>
      </c>
      <c r="N333" s="53">
        <f t="shared" ca="1" si="75"/>
        <v>0</v>
      </c>
    </row>
    <row r="334" spans="1:14" ht="21.75" customHeight="1" x14ac:dyDescent="0.4">
      <c r="A334" s="42"/>
      <c r="B334" s="43"/>
      <c r="C334" s="43"/>
      <c r="D334" s="51"/>
      <c r="E334" s="45"/>
      <c r="F334" s="45"/>
      <c r="G334" s="52" t="s">
        <v>111</v>
      </c>
      <c r="H334" s="47" t="s">
        <v>20</v>
      </c>
      <c r="I334" s="48"/>
      <c r="J334" s="48"/>
      <c r="K334" s="49"/>
      <c r="L334" s="53">
        <f ca="1">IFERROR(__xludf.DUMMYFUNCTION("IMPORTRANGE(""https://docs.google.com/spreadsheets/d/1C3CXT74ZlgGe6_JY_1olB1XN4rF0dxEuIIF-xsYjHgg/edit?usp=sharing"",""งบกองทุน!av21"")"),154800)</f>
        <v>154800</v>
      </c>
      <c r="M334" s="53">
        <f>SUM(M335:M338)</f>
        <v>0</v>
      </c>
      <c r="N334" s="53">
        <f t="shared" ca="1" si="75"/>
        <v>0</v>
      </c>
    </row>
    <row r="335" spans="1:14" ht="21.75" customHeight="1" x14ac:dyDescent="0.4">
      <c r="A335" s="230"/>
      <c r="B335" s="231"/>
      <c r="C335" s="43"/>
      <c r="D335" s="232"/>
      <c r="E335" s="45"/>
      <c r="F335" s="45"/>
      <c r="G335" s="46" t="s">
        <v>112</v>
      </c>
      <c r="H335" s="47" t="s">
        <v>20</v>
      </c>
      <c r="I335" s="67"/>
      <c r="J335" s="67"/>
      <c r="K335" s="233"/>
      <c r="L335" s="53"/>
      <c r="M335" s="54">
        <v>0</v>
      </c>
      <c r="N335" s="53"/>
    </row>
    <row r="336" spans="1:14" ht="21.75" customHeight="1" x14ac:dyDescent="0.4">
      <c r="A336" s="230"/>
      <c r="B336" s="231"/>
      <c r="C336" s="43"/>
      <c r="D336" s="232"/>
      <c r="E336" s="45"/>
      <c r="F336" s="45"/>
      <c r="G336" s="46" t="s">
        <v>113</v>
      </c>
      <c r="H336" s="47" t="s">
        <v>20</v>
      </c>
      <c r="I336" s="67"/>
      <c r="J336" s="67"/>
      <c r="K336" s="233"/>
      <c r="L336" s="53"/>
      <c r="M336" s="54">
        <v>0</v>
      </c>
      <c r="N336" s="53"/>
    </row>
    <row r="337" spans="1:14" ht="21.75" customHeight="1" x14ac:dyDescent="0.4">
      <c r="A337" s="230"/>
      <c r="B337" s="231"/>
      <c r="C337" s="43"/>
      <c r="D337" s="232"/>
      <c r="E337" s="45"/>
      <c r="F337" s="45"/>
      <c r="G337" s="46" t="s">
        <v>114</v>
      </c>
      <c r="H337" s="47" t="s">
        <v>20</v>
      </c>
      <c r="I337" s="67"/>
      <c r="J337" s="67"/>
      <c r="K337" s="233"/>
      <c r="L337" s="53"/>
      <c r="M337" s="54">
        <v>0</v>
      </c>
      <c r="N337" s="53"/>
    </row>
    <row r="338" spans="1:14" ht="21.75" customHeight="1" x14ac:dyDescent="0.4">
      <c r="A338" s="230"/>
      <c r="B338" s="231"/>
      <c r="C338" s="43"/>
      <c r="D338" s="232"/>
      <c r="E338" s="45"/>
      <c r="F338" s="45"/>
      <c r="G338" s="46" t="s">
        <v>115</v>
      </c>
      <c r="H338" s="47" t="s">
        <v>20</v>
      </c>
      <c r="I338" s="67"/>
      <c r="J338" s="67"/>
      <c r="K338" s="233"/>
      <c r="L338" s="53"/>
      <c r="M338" s="54">
        <v>0</v>
      </c>
      <c r="N338" s="53"/>
    </row>
    <row r="339" spans="1:14" ht="21.75" customHeight="1" x14ac:dyDescent="0.4">
      <c r="A339" s="55"/>
      <c r="B339" s="56"/>
      <c r="C339" s="43" t="s">
        <v>17</v>
      </c>
      <c r="D339" s="57" t="s">
        <v>25</v>
      </c>
      <c r="E339" s="58"/>
      <c r="F339" s="58"/>
      <c r="G339" s="59"/>
      <c r="H339" s="60"/>
      <c r="I339" s="48"/>
      <c r="J339" s="48"/>
      <c r="K339" s="49"/>
      <c r="L339" s="61"/>
      <c r="M339" s="61"/>
      <c r="N339" s="61"/>
    </row>
    <row r="340" spans="1:14" ht="21.75" customHeight="1" x14ac:dyDescent="0.4">
      <c r="A340" s="55"/>
      <c r="B340" s="56"/>
      <c r="C340" s="56"/>
      <c r="D340" s="62">
        <v>1</v>
      </c>
      <c r="E340" s="63" t="s">
        <v>26</v>
      </c>
      <c r="F340" s="64"/>
      <c r="G340" s="65"/>
      <c r="H340" s="66"/>
      <c r="I340" s="67"/>
      <c r="J340" s="85">
        <v>0</v>
      </c>
      <c r="K340" s="49"/>
      <c r="L340" s="61"/>
      <c r="M340" s="61"/>
      <c r="N340" s="61"/>
    </row>
    <row r="341" spans="1:14" ht="21.75" customHeight="1" x14ac:dyDescent="0.4">
      <c r="A341" s="55"/>
      <c r="B341" s="56"/>
      <c r="C341" s="56"/>
      <c r="D341" s="69">
        <v>2</v>
      </c>
      <c r="E341" s="70" t="s">
        <v>27</v>
      </c>
      <c r="F341" s="71"/>
      <c r="G341" s="72"/>
      <c r="H341" s="66"/>
      <c r="I341" s="67"/>
      <c r="J341" s="85">
        <v>1</v>
      </c>
      <c r="K341" s="49"/>
      <c r="L341" s="61" t="s">
        <v>21</v>
      </c>
      <c r="M341" s="61" t="s">
        <v>21</v>
      </c>
      <c r="N341" s="61"/>
    </row>
    <row r="342" spans="1:14" ht="21.75" customHeight="1" x14ac:dyDescent="0.4">
      <c r="A342" s="55"/>
      <c r="B342" s="56"/>
      <c r="C342" s="56"/>
      <c r="D342" s="73"/>
      <c r="E342" s="74" t="s">
        <v>142</v>
      </c>
      <c r="F342" s="75"/>
      <c r="G342" s="76"/>
      <c r="H342" s="66"/>
      <c r="I342" s="67"/>
      <c r="J342" s="68">
        <v>1</v>
      </c>
      <c r="K342" s="49"/>
      <c r="L342" s="61"/>
      <c r="M342" s="61"/>
      <c r="N342" s="61"/>
    </row>
    <row r="343" spans="1:14" ht="21.75" customHeight="1" x14ac:dyDescent="0.4">
      <c r="A343" s="55"/>
      <c r="B343" s="56"/>
      <c r="C343" s="56"/>
      <c r="D343" s="73"/>
      <c r="E343" s="74" t="s">
        <v>29</v>
      </c>
      <c r="F343" s="75"/>
      <c r="G343" s="76"/>
      <c r="H343" s="66"/>
      <c r="I343" s="67"/>
      <c r="J343" s="68">
        <v>0</v>
      </c>
      <c r="K343" s="49"/>
      <c r="L343" s="61"/>
      <c r="M343" s="61"/>
      <c r="N343" s="61"/>
    </row>
    <row r="344" spans="1:14" ht="21.75" customHeight="1" x14ac:dyDescent="0.4">
      <c r="A344" s="55"/>
      <c r="B344" s="56"/>
      <c r="C344" s="56"/>
      <c r="D344" s="73"/>
      <c r="E344" s="77"/>
      <c r="F344" s="260" t="s">
        <v>82</v>
      </c>
      <c r="G344" s="76"/>
      <c r="H344" s="66" t="s">
        <v>16</v>
      </c>
      <c r="I344" s="243">
        <f t="shared" ref="I344:J344" ca="1" si="77">+I345+I346+I347</f>
        <v>50</v>
      </c>
      <c r="J344" s="79">
        <f t="shared" si="77"/>
        <v>0</v>
      </c>
      <c r="K344" s="49">
        <f t="shared" ref="K344:K347" ca="1" si="78">IF(I344&gt;0,J344*100/I344,0)</f>
        <v>0</v>
      </c>
      <c r="L344" s="61"/>
      <c r="M344" s="61"/>
      <c r="N344" s="61"/>
    </row>
    <row r="345" spans="1:14" ht="21.75" customHeight="1" x14ac:dyDescent="0.4">
      <c r="A345" s="55"/>
      <c r="B345" s="56"/>
      <c r="C345" s="56"/>
      <c r="D345" s="73"/>
      <c r="E345" s="77"/>
      <c r="F345" s="75"/>
      <c r="G345" s="99" t="s">
        <v>143</v>
      </c>
      <c r="H345" s="66" t="s">
        <v>16</v>
      </c>
      <c r="I345" s="200">
        <f ca="1">IFERROR(__xludf.DUMMYFUNCTION("IMPORTRANGE(""https://docs.google.com/spreadsheets/d/1C3CXT74ZlgGe6_JY_1olB1XN4rF0dxEuIIF-xsYjHgg/edit?usp=sharing"",""งบกองทุน!ay21"")"),20)</f>
        <v>20</v>
      </c>
      <c r="J345" s="68">
        <v>0</v>
      </c>
      <c r="K345" s="49">
        <f t="shared" ca="1" si="78"/>
        <v>0</v>
      </c>
      <c r="L345" s="61"/>
      <c r="M345" s="61"/>
      <c r="N345" s="61"/>
    </row>
    <row r="346" spans="1:14" ht="21.75" customHeight="1" x14ac:dyDescent="0.4">
      <c r="A346" s="55"/>
      <c r="B346" s="56"/>
      <c r="C346" s="56"/>
      <c r="D346" s="73"/>
      <c r="E346" s="77"/>
      <c r="F346" s="75"/>
      <c r="G346" s="76" t="s">
        <v>144</v>
      </c>
      <c r="H346" s="66" t="s">
        <v>16</v>
      </c>
      <c r="I346" s="200">
        <f ca="1">IFERROR(__xludf.DUMMYFUNCTION("IMPORTRANGE(""https://docs.google.com/spreadsheets/d/1C3CXT74ZlgGe6_JY_1olB1XN4rF0dxEuIIF-xsYjHgg/edit?usp=sharing"",""งบกองทุน!az21"")"),30)</f>
        <v>30</v>
      </c>
      <c r="J346" s="68">
        <v>0</v>
      </c>
      <c r="K346" s="49">
        <f t="shared" ca="1" si="78"/>
        <v>0</v>
      </c>
      <c r="L346" s="61"/>
      <c r="M346" s="61"/>
      <c r="N346" s="61"/>
    </row>
    <row r="347" spans="1:14" ht="21.75" customHeight="1" x14ac:dyDescent="0.4">
      <c r="A347" s="55"/>
      <c r="B347" s="56"/>
      <c r="C347" s="56"/>
      <c r="D347" s="73"/>
      <c r="E347" s="77"/>
      <c r="F347" s="75"/>
      <c r="G347" s="76" t="s">
        <v>145</v>
      </c>
      <c r="H347" s="66" t="s">
        <v>16</v>
      </c>
      <c r="I347" s="67">
        <f ca="1">IFERROR(__xludf.DUMMYFUNCTION("IMPORTRANGE(""https://docs.google.com/spreadsheets/d/1C3CXT74ZlgGe6_JY_1olB1XN4rF0dxEuIIF-xsYjHgg/edit?usp=sharing"",""งบกองทุน!Ba21"")"),0)</f>
        <v>0</v>
      </c>
      <c r="J347" s="67">
        <v>0</v>
      </c>
      <c r="K347" s="49">
        <f t="shared" ca="1" si="78"/>
        <v>0</v>
      </c>
      <c r="L347" s="61"/>
      <c r="M347" s="61"/>
      <c r="N347" s="61"/>
    </row>
    <row r="348" spans="1:14" ht="21.75" customHeight="1" x14ac:dyDescent="0.4">
      <c r="A348" s="55"/>
      <c r="B348" s="56"/>
      <c r="C348" s="56"/>
      <c r="D348" s="73"/>
      <c r="E348" s="74" t="s">
        <v>35</v>
      </c>
      <c r="F348" s="75"/>
      <c r="G348" s="76"/>
      <c r="H348" s="66"/>
      <c r="I348" s="67"/>
      <c r="J348" s="68">
        <v>0</v>
      </c>
      <c r="K348" s="49"/>
      <c r="L348" s="61"/>
      <c r="M348" s="61"/>
      <c r="N348" s="61"/>
    </row>
    <row r="349" spans="1:14" ht="21.75" customHeight="1" x14ac:dyDescent="0.4">
      <c r="A349" s="55"/>
      <c r="B349" s="56"/>
      <c r="C349" s="56"/>
      <c r="D349" s="81">
        <v>3</v>
      </c>
      <c r="E349" s="82" t="s">
        <v>36</v>
      </c>
      <c r="F349" s="83"/>
      <c r="G349" s="84"/>
      <c r="H349" s="66"/>
      <c r="I349" s="67"/>
      <c r="J349" s="85">
        <v>0</v>
      </c>
      <c r="K349" s="49"/>
      <c r="L349" s="61"/>
      <c r="M349" s="61"/>
      <c r="N349" s="61"/>
    </row>
    <row r="350" spans="1:14" ht="21.75" customHeight="1" x14ac:dyDescent="0.4">
      <c r="A350" s="222"/>
      <c r="B350" s="223">
        <v>5</v>
      </c>
      <c r="C350" s="224" t="s">
        <v>146</v>
      </c>
      <c r="D350" s="224"/>
      <c r="E350" s="224"/>
      <c r="F350" s="224"/>
      <c r="G350" s="225"/>
      <c r="H350" s="226" t="s">
        <v>103</v>
      </c>
      <c r="I350" s="227">
        <f ca="1">I359</f>
        <v>44814</v>
      </c>
      <c r="J350" s="227">
        <f>+J359</f>
        <v>0</v>
      </c>
      <c r="K350" s="228">
        <f ca="1">IF(I350&gt;0,J350*100/I350,0)</f>
        <v>0</v>
      </c>
      <c r="L350" s="229">
        <f t="shared" ref="L350:M350" ca="1" si="79">SUM(L351:L352)</f>
        <v>510553</v>
      </c>
      <c r="M350" s="229">
        <f t="shared" si="79"/>
        <v>0</v>
      </c>
      <c r="N350" s="229">
        <f t="shared" ref="N350:N354" ca="1" si="80">+IF(L350&gt;0,M350*100/L350,0)</f>
        <v>0</v>
      </c>
    </row>
    <row r="351" spans="1:14" ht="21.75" customHeight="1" x14ac:dyDescent="0.4">
      <c r="A351" s="42"/>
      <c r="B351" s="43"/>
      <c r="C351" s="43" t="s">
        <v>17</v>
      </c>
      <c r="D351" s="44" t="s">
        <v>18</v>
      </c>
      <c r="E351" s="45"/>
      <c r="F351" s="45"/>
      <c r="G351" s="46" t="s">
        <v>19</v>
      </c>
      <c r="H351" s="47" t="s">
        <v>20</v>
      </c>
      <c r="I351" s="48" t="s">
        <v>21</v>
      </c>
      <c r="J351" s="48"/>
      <c r="K351" s="49"/>
      <c r="L351" s="50">
        <v>0</v>
      </c>
      <c r="M351" s="53">
        <v>0</v>
      </c>
      <c r="N351" s="53">
        <f t="shared" si="80"/>
        <v>0</v>
      </c>
    </row>
    <row r="352" spans="1:14" ht="21.75" customHeight="1" x14ac:dyDescent="0.4">
      <c r="A352" s="42"/>
      <c r="B352" s="43"/>
      <c r="C352" s="43"/>
      <c r="D352" s="51"/>
      <c r="E352" s="45"/>
      <c r="F352" s="45" t="s">
        <v>21</v>
      </c>
      <c r="G352" s="46" t="s">
        <v>22</v>
      </c>
      <c r="H352" s="47" t="s">
        <v>20</v>
      </c>
      <c r="I352" s="48"/>
      <c r="J352" s="48"/>
      <c r="K352" s="49"/>
      <c r="L352" s="50">
        <f t="shared" ref="L352:M352" ca="1" si="81">SUM(L353:L354)</f>
        <v>510553</v>
      </c>
      <c r="M352" s="53">
        <f t="shared" si="81"/>
        <v>0</v>
      </c>
      <c r="N352" s="53">
        <f t="shared" ca="1" si="80"/>
        <v>0</v>
      </c>
    </row>
    <row r="353" spans="1:14" ht="21.75" customHeight="1" x14ac:dyDescent="0.4">
      <c r="A353" s="42"/>
      <c r="B353" s="43"/>
      <c r="C353" s="43"/>
      <c r="D353" s="51"/>
      <c r="E353" s="45"/>
      <c r="F353" s="45"/>
      <c r="G353" s="52" t="s">
        <v>110</v>
      </c>
      <c r="H353" s="47" t="s">
        <v>20</v>
      </c>
      <c r="I353" s="48"/>
      <c r="J353" s="48"/>
      <c r="K353" s="49"/>
      <c r="L353" s="53">
        <f ca="1">IFERROR(__xludf.DUMMYFUNCTION("IMPORTRANGE(""https://docs.google.com/spreadsheets/d/1C3CXT74ZlgGe6_JY_1olB1XN4rF0dxEuIIF-xsYjHgg/edit?usp=sharing"",""งบกองทุน!Bc21"")"),0)</f>
        <v>0</v>
      </c>
      <c r="M353" s="53">
        <v>0</v>
      </c>
      <c r="N353" s="53">
        <f t="shared" ca="1" si="80"/>
        <v>0</v>
      </c>
    </row>
    <row r="354" spans="1:14" ht="21.75" customHeight="1" x14ac:dyDescent="0.4">
      <c r="A354" s="42"/>
      <c r="B354" s="43"/>
      <c r="C354" s="43"/>
      <c r="D354" s="51"/>
      <c r="E354" s="45"/>
      <c r="F354" s="45"/>
      <c r="G354" s="52" t="s">
        <v>111</v>
      </c>
      <c r="H354" s="47" t="s">
        <v>20</v>
      </c>
      <c r="I354" s="48"/>
      <c r="J354" s="48"/>
      <c r="K354" s="49"/>
      <c r="L354" s="53">
        <f ca="1">IFERROR(__xludf.DUMMYFUNCTION("IMPORTRANGE(""https://docs.google.com/spreadsheets/d/1C3CXT74ZlgGe6_JY_1olB1XN4rF0dxEuIIF-xsYjHgg/edit?usp=sharing"",""งบกองทุน!Bd21"")"),510553)</f>
        <v>510553</v>
      </c>
      <c r="M354" s="53">
        <f>SUM(M355:M358)</f>
        <v>0</v>
      </c>
      <c r="N354" s="53">
        <f t="shared" ca="1" si="80"/>
        <v>0</v>
      </c>
    </row>
    <row r="355" spans="1:14" ht="21.75" customHeight="1" x14ac:dyDescent="0.4">
      <c r="A355" s="230"/>
      <c r="B355" s="231"/>
      <c r="C355" s="43"/>
      <c r="D355" s="232"/>
      <c r="E355" s="45"/>
      <c r="F355" s="45"/>
      <c r="G355" s="46" t="s">
        <v>112</v>
      </c>
      <c r="H355" s="47" t="s">
        <v>20</v>
      </c>
      <c r="I355" s="67"/>
      <c r="J355" s="67"/>
      <c r="K355" s="233"/>
      <c r="L355" s="53"/>
      <c r="M355" s="53">
        <v>0</v>
      </c>
      <c r="N355" s="53"/>
    </row>
    <row r="356" spans="1:14" ht="21.75" customHeight="1" x14ac:dyDescent="0.4">
      <c r="A356" s="230"/>
      <c r="B356" s="231"/>
      <c r="C356" s="43"/>
      <c r="D356" s="232"/>
      <c r="E356" s="45"/>
      <c r="F356" s="45"/>
      <c r="G356" s="46" t="s">
        <v>113</v>
      </c>
      <c r="H356" s="47" t="s">
        <v>20</v>
      </c>
      <c r="I356" s="67"/>
      <c r="J356" s="67"/>
      <c r="K356" s="233"/>
      <c r="L356" s="53"/>
      <c r="M356" s="53">
        <v>0</v>
      </c>
      <c r="N356" s="53"/>
    </row>
    <row r="357" spans="1:14" ht="21.75" customHeight="1" x14ac:dyDescent="0.4">
      <c r="A357" s="230"/>
      <c r="B357" s="231"/>
      <c r="C357" s="43"/>
      <c r="D357" s="232"/>
      <c r="E357" s="45"/>
      <c r="F357" s="45"/>
      <c r="G357" s="46" t="s">
        <v>114</v>
      </c>
      <c r="H357" s="47" t="s">
        <v>20</v>
      </c>
      <c r="I357" s="67"/>
      <c r="J357" s="67"/>
      <c r="K357" s="233"/>
      <c r="L357" s="53"/>
      <c r="M357" s="54">
        <v>0</v>
      </c>
      <c r="N357" s="53"/>
    </row>
    <row r="358" spans="1:14" ht="21.75" customHeight="1" x14ac:dyDescent="0.4">
      <c r="A358" s="230"/>
      <c r="B358" s="231"/>
      <c r="C358" s="43"/>
      <c r="D358" s="232"/>
      <c r="E358" s="45"/>
      <c r="F358" s="45"/>
      <c r="G358" s="46" t="s">
        <v>115</v>
      </c>
      <c r="H358" s="47" t="s">
        <v>20</v>
      </c>
      <c r="I358" s="67"/>
      <c r="J358" s="67"/>
      <c r="K358" s="233"/>
      <c r="L358" s="53"/>
      <c r="M358" s="54">
        <v>0</v>
      </c>
      <c r="N358" s="53"/>
    </row>
    <row r="359" spans="1:14" ht="21.75" customHeight="1" x14ac:dyDescent="0.4">
      <c r="A359" s="55"/>
      <c r="B359" s="56"/>
      <c r="C359" s="261" t="s">
        <v>147</v>
      </c>
      <c r="D359" s="261"/>
      <c r="E359" s="262"/>
      <c r="F359" s="262"/>
      <c r="G359" s="263"/>
      <c r="H359" s="136" t="s">
        <v>103</v>
      </c>
      <c r="I359" s="137">
        <f ca="1">IFERROR(__xludf.DUMMYFUNCTION("IMPORTRANGE(""https://docs.google.com/spreadsheets/d/1C3CXT74ZlgGe6_JY_1olB1XN4rF0dxEuIIF-xsYjHgg/edit?usp=sharing"",""งบกองทุน!BE21"")"),44814)</f>
        <v>44814</v>
      </c>
      <c r="J359" s="137">
        <f>+J376</f>
        <v>0</v>
      </c>
      <c r="K359" s="138">
        <f t="shared" ref="K359:K422" ca="1" si="82">IF(I359&gt;0,J359*100/I359,0)</f>
        <v>0</v>
      </c>
      <c r="L359" s="140"/>
      <c r="M359" s="140"/>
      <c r="N359" s="140"/>
    </row>
    <row r="360" spans="1:14" ht="21.75" customHeight="1" x14ac:dyDescent="0.4">
      <c r="A360" s="249"/>
      <c r="B360" s="250"/>
      <c r="C360" s="250"/>
      <c r="D360" s="251"/>
      <c r="E360" s="73" t="s">
        <v>148</v>
      </c>
      <c r="F360" s="75"/>
      <c r="G360" s="76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IFERROR(__xludf.DUMMYFUNCTION("IMPORTRANGE(""https://docs.google.com/spreadsheets/d/1C3CXT74ZlgGe6_JY_1olB1XN4rF0dxEuIIF-xsYjHgg/edit?usp=sharing"",""งบกองทุน!BE21"")"),44814)</f>
        <v>44814</v>
      </c>
      <c r="J360" s="265">
        <f t="shared" ref="J360:J361" si="83">+J362+J364+J366</f>
        <v>0</v>
      </c>
      <c r="K360" s="80">
        <f t="shared" ca="1" si="82"/>
        <v>0</v>
      </c>
      <c r="L360" s="61"/>
      <c r="M360" s="61"/>
      <c r="N360" s="61"/>
    </row>
    <row r="361" spans="1:14" ht="21.75" customHeight="1" x14ac:dyDescent="0.4">
      <c r="A361" s="249"/>
      <c r="B361" s="250"/>
      <c r="C361" s="250"/>
      <c r="D361" s="251"/>
      <c r="E361" s="75"/>
      <c r="F361" s="75"/>
      <c r="G361" s="76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IFERROR(__xludf.DUMMYFUNCTION("IMPORTRANGE(""https://docs.google.com/spreadsheets/d/1C3CXT74ZlgGe6_JY_1olB1XN4rF0dxEuIIF-xsYjHgg/edit?usp=sharing"",""งบกองทุน!Bf21"")"),9843)</f>
        <v>9843</v>
      </c>
      <c r="J361" s="265">
        <f t="shared" si="83"/>
        <v>0</v>
      </c>
      <c r="K361" s="80">
        <f t="shared" ca="1" si="82"/>
        <v>0</v>
      </c>
      <c r="L361" s="61"/>
      <c r="M361" s="61"/>
      <c r="N361" s="61"/>
    </row>
    <row r="362" spans="1:14" ht="21.75" customHeight="1" x14ac:dyDescent="0.4">
      <c r="A362" s="249"/>
      <c r="B362" s="250"/>
      <c r="C362" s="250"/>
      <c r="D362" s="251"/>
      <c r="E362" s="75"/>
      <c r="F362" s="242" t="s">
        <v>149</v>
      </c>
      <c r="G362" s="266"/>
      <c r="H362" s="267" t="s">
        <v>103</v>
      </c>
      <c r="I362" s="48">
        <v>0</v>
      </c>
      <c r="J362" s="68">
        <v>0</v>
      </c>
      <c r="K362" s="49">
        <f t="shared" si="82"/>
        <v>0</v>
      </c>
      <c r="L362" s="61"/>
      <c r="M362" s="61"/>
      <c r="N362" s="61"/>
    </row>
    <row r="363" spans="1:14" ht="21.75" customHeight="1" x14ac:dyDescent="0.4">
      <c r="A363" s="249"/>
      <c r="B363" s="250"/>
      <c r="C363" s="250"/>
      <c r="D363" s="251"/>
      <c r="E363" s="75"/>
      <c r="F363" s="75"/>
      <c r="G363" s="266"/>
      <c r="H363" s="267" t="s">
        <v>15</v>
      </c>
      <c r="I363" s="48">
        <v>0</v>
      </c>
      <c r="J363" s="68">
        <v>0</v>
      </c>
      <c r="K363" s="49">
        <f t="shared" si="82"/>
        <v>0</v>
      </c>
      <c r="L363" s="61"/>
      <c r="M363" s="61"/>
      <c r="N363" s="61"/>
    </row>
    <row r="364" spans="1:14" ht="21.75" customHeight="1" x14ac:dyDescent="0.4">
      <c r="A364" s="249"/>
      <c r="B364" s="250"/>
      <c r="C364" s="250"/>
      <c r="D364" s="251"/>
      <c r="E364" s="75"/>
      <c r="F364" s="242" t="s">
        <v>150</v>
      </c>
      <c r="G364" s="266"/>
      <c r="H364" s="267" t="s">
        <v>103</v>
      </c>
      <c r="I364" s="48">
        <v>0</v>
      </c>
      <c r="J364" s="68">
        <v>0</v>
      </c>
      <c r="K364" s="49">
        <f t="shared" si="82"/>
        <v>0</v>
      </c>
      <c r="L364" s="61"/>
      <c r="M364" s="61"/>
      <c r="N364" s="61"/>
    </row>
    <row r="365" spans="1:14" ht="21.75" customHeight="1" x14ac:dyDescent="0.4">
      <c r="A365" s="249"/>
      <c r="B365" s="250"/>
      <c r="C365" s="250"/>
      <c r="D365" s="251"/>
      <c r="E365" s="75"/>
      <c r="F365" s="75"/>
      <c r="G365" s="266"/>
      <c r="H365" s="267" t="s">
        <v>15</v>
      </c>
      <c r="I365" s="48">
        <v>0</v>
      </c>
      <c r="J365" s="68">
        <v>0</v>
      </c>
      <c r="K365" s="49">
        <f t="shared" si="82"/>
        <v>0</v>
      </c>
      <c r="L365" s="61"/>
      <c r="M365" s="61"/>
      <c r="N365" s="61"/>
    </row>
    <row r="366" spans="1:14" ht="21.75" customHeight="1" x14ac:dyDescent="0.4">
      <c r="A366" s="249"/>
      <c r="B366" s="250"/>
      <c r="C366" s="250"/>
      <c r="D366" s="251"/>
      <c r="E366" s="75"/>
      <c r="F366" s="242" t="s">
        <v>151</v>
      </c>
      <c r="G366" s="266"/>
      <c r="H366" s="267" t="s">
        <v>103</v>
      </c>
      <c r="I366" s="48">
        <v>0</v>
      </c>
      <c r="J366" s="68">
        <v>0</v>
      </c>
      <c r="K366" s="49">
        <f t="shared" si="82"/>
        <v>0</v>
      </c>
      <c r="L366" s="61"/>
      <c r="M366" s="61"/>
      <c r="N366" s="61"/>
    </row>
    <row r="367" spans="1:14" ht="21.75" customHeight="1" x14ac:dyDescent="0.4">
      <c r="A367" s="249"/>
      <c r="B367" s="250"/>
      <c r="C367" s="250"/>
      <c r="D367" s="251"/>
      <c r="E367" s="75"/>
      <c r="F367" s="75"/>
      <c r="G367" s="75"/>
      <c r="H367" s="267" t="s">
        <v>15</v>
      </c>
      <c r="I367" s="48">
        <v>0</v>
      </c>
      <c r="J367" s="68">
        <v>0</v>
      </c>
      <c r="K367" s="49">
        <f t="shared" si="82"/>
        <v>0</v>
      </c>
      <c r="L367" s="61"/>
      <c r="M367" s="61"/>
      <c r="N367" s="61"/>
    </row>
    <row r="368" spans="1:14" ht="21.75" customHeight="1" x14ac:dyDescent="0.4">
      <c r="A368" s="249"/>
      <c r="B368" s="250"/>
      <c r="C368" s="250"/>
      <c r="D368" s="251"/>
      <c r="E368" s="155" t="s">
        <v>152</v>
      </c>
      <c r="F368" s="75"/>
      <c r="G368" s="76"/>
      <c r="H368" s="264" t="s">
        <v>103</v>
      </c>
      <c r="I368" s="265">
        <f ca="1">+I359</f>
        <v>44814</v>
      </c>
      <c r="J368" s="265">
        <f t="shared" ref="J368:J369" si="84">+J370+J372+J374</f>
        <v>0</v>
      </c>
      <c r="K368" s="80">
        <f t="shared" ca="1" si="82"/>
        <v>0</v>
      </c>
      <c r="L368" s="61"/>
      <c r="M368" s="61"/>
      <c r="N368" s="61"/>
    </row>
    <row r="369" spans="1:14" ht="21.75" customHeight="1" x14ac:dyDescent="0.4">
      <c r="A369" s="249"/>
      <c r="B369" s="250"/>
      <c r="C369" s="250"/>
      <c r="D369" s="251"/>
      <c r="E369" s="75"/>
      <c r="F369" s="75"/>
      <c r="G369" s="76"/>
      <c r="H369" s="264" t="s">
        <v>15</v>
      </c>
      <c r="I369" s="265">
        <f ca="1">I361</f>
        <v>9843</v>
      </c>
      <c r="J369" s="265">
        <f t="shared" si="84"/>
        <v>0</v>
      </c>
      <c r="K369" s="49">
        <f t="shared" ca="1" si="82"/>
        <v>0</v>
      </c>
      <c r="L369" s="61"/>
      <c r="M369" s="61"/>
      <c r="N369" s="61"/>
    </row>
    <row r="370" spans="1:14" ht="21.75" customHeight="1" x14ac:dyDescent="0.4">
      <c r="A370" s="249"/>
      <c r="B370" s="250"/>
      <c r="C370" s="250"/>
      <c r="D370" s="251"/>
      <c r="E370" s="75"/>
      <c r="F370" s="74" t="s">
        <v>153</v>
      </c>
      <c r="G370" s="266"/>
      <c r="H370" s="267" t="s">
        <v>103</v>
      </c>
      <c r="I370" s="48">
        <v>0</v>
      </c>
      <c r="J370" s="68">
        <v>0</v>
      </c>
      <c r="K370" s="49">
        <f t="shared" si="82"/>
        <v>0</v>
      </c>
      <c r="L370" s="61"/>
      <c r="M370" s="61"/>
      <c r="N370" s="61"/>
    </row>
    <row r="371" spans="1:14" ht="21.75" customHeight="1" x14ac:dyDescent="0.4">
      <c r="A371" s="249"/>
      <c r="B371" s="250"/>
      <c r="C371" s="250"/>
      <c r="D371" s="251"/>
      <c r="E371" s="75"/>
      <c r="F371" s="75"/>
      <c r="G371" s="266"/>
      <c r="H371" s="267" t="s">
        <v>15</v>
      </c>
      <c r="I371" s="48">
        <v>0</v>
      </c>
      <c r="J371" s="68">
        <v>0</v>
      </c>
      <c r="K371" s="49">
        <f t="shared" si="82"/>
        <v>0</v>
      </c>
      <c r="L371" s="61"/>
      <c r="M371" s="61"/>
      <c r="N371" s="61"/>
    </row>
    <row r="372" spans="1:14" ht="21.75" customHeight="1" x14ac:dyDescent="0.4">
      <c r="A372" s="249"/>
      <c r="B372" s="250"/>
      <c r="C372" s="250"/>
      <c r="D372" s="251"/>
      <c r="E372" s="75"/>
      <c r="F372" s="74" t="s">
        <v>154</v>
      </c>
      <c r="G372" s="266"/>
      <c r="H372" s="267" t="s">
        <v>103</v>
      </c>
      <c r="I372" s="48">
        <v>0</v>
      </c>
      <c r="J372" s="68">
        <v>0</v>
      </c>
      <c r="K372" s="49">
        <f t="shared" si="82"/>
        <v>0</v>
      </c>
      <c r="L372" s="61"/>
      <c r="M372" s="61"/>
      <c r="N372" s="61"/>
    </row>
    <row r="373" spans="1:14" ht="21.75" customHeight="1" x14ac:dyDescent="0.4">
      <c r="A373" s="249"/>
      <c r="B373" s="250"/>
      <c r="C373" s="250"/>
      <c r="D373" s="251"/>
      <c r="E373" s="75"/>
      <c r="F373" s="75"/>
      <c r="G373" s="266"/>
      <c r="H373" s="267" t="s">
        <v>15</v>
      </c>
      <c r="I373" s="48">
        <v>0</v>
      </c>
      <c r="J373" s="68">
        <v>0</v>
      </c>
      <c r="K373" s="49">
        <f t="shared" si="82"/>
        <v>0</v>
      </c>
      <c r="L373" s="61"/>
      <c r="M373" s="61"/>
      <c r="N373" s="61"/>
    </row>
    <row r="374" spans="1:14" ht="21.75" customHeight="1" x14ac:dyDescent="0.4">
      <c r="A374" s="249"/>
      <c r="B374" s="250"/>
      <c r="C374" s="250"/>
      <c r="D374" s="251"/>
      <c r="E374" s="75"/>
      <c r="F374" s="74" t="s">
        <v>155</v>
      </c>
      <c r="G374" s="266"/>
      <c r="H374" s="267" t="s">
        <v>103</v>
      </c>
      <c r="I374" s="48">
        <v>0</v>
      </c>
      <c r="J374" s="68">
        <v>0</v>
      </c>
      <c r="K374" s="49">
        <f t="shared" si="82"/>
        <v>0</v>
      </c>
      <c r="L374" s="61"/>
      <c r="M374" s="61"/>
      <c r="N374" s="61"/>
    </row>
    <row r="375" spans="1:14" ht="21.75" customHeight="1" x14ac:dyDescent="0.4">
      <c r="A375" s="249"/>
      <c r="B375" s="250"/>
      <c r="C375" s="250"/>
      <c r="D375" s="251"/>
      <c r="E375" s="75"/>
      <c r="F375" s="75"/>
      <c r="G375" s="76"/>
      <c r="H375" s="267" t="s">
        <v>15</v>
      </c>
      <c r="I375" s="48">
        <v>0</v>
      </c>
      <c r="J375" s="68">
        <v>0</v>
      </c>
      <c r="K375" s="49">
        <f t="shared" si="82"/>
        <v>0</v>
      </c>
      <c r="L375" s="61"/>
      <c r="M375" s="61"/>
      <c r="N375" s="61"/>
    </row>
    <row r="376" spans="1:14" ht="21.75" customHeight="1" x14ac:dyDescent="0.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44814</v>
      </c>
      <c r="J376" s="265">
        <f t="shared" ref="J376:J377" si="85">+J378+J380+J382+J388</f>
        <v>0</v>
      </c>
      <c r="K376" s="80">
        <f t="shared" ca="1" si="82"/>
        <v>0</v>
      </c>
      <c r="L376" s="275"/>
      <c r="M376" s="275"/>
      <c r="N376" s="275"/>
    </row>
    <row r="377" spans="1:14" ht="21.75" customHeight="1" x14ac:dyDescent="0.4">
      <c r="A377" s="249"/>
      <c r="B377" s="250"/>
      <c r="C377" s="250"/>
      <c r="D377" s="251"/>
      <c r="E377" s="75"/>
      <c r="F377" s="75"/>
      <c r="G377" s="76"/>
      <c r="H377" s="264" t="s">
        <v>15</v>
      </c>
      <c r="I377" s="265">
        <f ca="1">I361</f>
        <v>9843</v>
      </c>
      <c r="J377" s="265">
        <f t="shared" si="85"/>
        <v>0</v>
      </c>
      <c r="K377" s="49">
        <f t="shared" ca="1" si="82"/>
        <v>0</v>
      </c>
      <c r="L377" s="61"/>
      <c r="M377" s="61"/>
      <c r="N377" s="61"/>
    </row>
    <row r="378" spans="1:14" ht="21.75" customHeight="1" x14ac:dyDescent="0.4">
      <c r="A378" s="249"/>
      <c r="B378" s="250"/>
      <c r="C378" s="250"/>
      <c r="D378" s="251"/>
      <c r="E378" s="75"/>
      <c r="F378" s="74" t="s">
        <v>157</v>
      </c>
      <c r="G378" s="266"/>
      <c r="H378" s="267" t="s">
        <v>103</v>
      </c>
      <c r="I378" s="48">
        <v>0</v>
      </c>
      <c r="J378" s="68">
        <v>0</v>
      </c>
      <c r="K378" s="49">
        <f t="shared" si="82"/>
        <v>0</v>
      </c>
      <c r="L378" s="61"/>
      <c r="M378" s="61"/>
      <c r="N378" s="61"/>
    </row>
    <row r="379" spans="1:14" ht="21.75" customHeight="1" x14ac:dyDescent="0.4">
      <c r="A379" s="249"/>
      <c r="B379" s="250"/>
      <c r="C379" s="250"/>
      <c r="D379" s="251"/>
      <c r="E379" s="75"/>
      <c r="F379" s="75"/>
      <c r="G379" s="266"/>
      <c r="H379" s="267" t="s">
        <v>15</v>
      </c>
      <c r="I379" s="48">
        <v>0</v>
      </c>
      <c r="J379" s="68">
        <v>0</v>
      </c>
      <c r="K379" s="49">
        <f t="shared" si="82"/>
        <v>0</v>
      </c>
      <c r="L379" s="61"/>
      <c r="M379" s="61"/>
      <c r="N379" s="61"/>
    </row>
    <row r="380" spans="1:14" ht="21.75" customHeight="1" x14ac:dyDescent="0.4">
      <c r="A380" s="249"/>
      <c r="B380" s="250"/>
      <c r="C380" s="250"/>
      <c r="D380" s="251"/>
      <c r="E380" s="75"/>
      <c r="F380" s="74" t="s">
        <v>158</v>
      </c>
      <c r="G380" s="266"/>
      <c r="H380" s="267" t="s">
        <v>103</v>
      </c>
      <c r="I380" s="48">
        <v>0</v>
      </c>
      <c r="J380" s="68">
        <v>0</v>
      </c>
      <c r="K380" s="49">
        <f t="shared" si="82"/>
        <v>0</v>
      </c>
      <c r="L380" s="61"/>
      <c r="M380" s="61"/>
      <c r="N380" s="61"/>
    </row>
    <row r="381" spans="1:14" ht="21.75" customHeight="1" x14ac:dyDescent="0.4">
      <c r="A381" s="249"/>
      <c r="B381" s="250"/>
      <c r="C381" s="250"/>
      <c r="D381" s="251"/>
      <c r="E381" s="75"/>
      <c r="F381" s="75"/>
      <c r="G381" s="266"/>
      <c r="H381" s="267" t="s">
        <v>15</v>
      </c>
      <c r="I381" s="48">
        <v>0</v>
      </c>
      <c r="J381" s="68">
        <v>0</v>
      </c>
      <c r="K381" s="49">
        <f t="shared" si="82"/>
        <v>0</v>
      </c>
      <c r="L381" s="61"/>
      <c r="M381" s="61"/>
      <c r="N381" s="61"/>
    </row>
    <row r="382" spans="1:14" ht="21.75" customHeight="1" x14ac:dyDescent="0.4">
      <c r="A382" s="249"/>
      <c r="B382" s="250"/>
      <c r="C382" s="250"/>
      <c r="D382" s="251"/>
      <c r="E382" s="75"/>
      <c r="F382" s="74" t="s">
        <v>159</v>
      </c>
      <c r="G382" s="266"/>
      <c r="H382" s="267" t="s">
        <v>103</v>
      </c>
      <c r="I382" s="48">
        <v>0</v>
      </c>
      <c r="J382" s="265">
        <f t="shared" ref="J382:J383" si="86">J384+J386</f>
        <v>0</v>
      </c>
      <c r="K382" s="49">
        <f t="shared" si="82"/>
        <v>0</v>
      </c>
      <c r="L382" s="61"/>
      <c r="M382" s="61"/>
      <c r="N382" s="61"/>
    </row>
    <row r="383" spans="1:14" ht="21.75" customHeight="1" x14ac:dyDescent="0.4">
      <c r="A383" s="249"/>
      <c r="B383" s="250"/>
      <c r="C383" s="250"/>
      <c r="D383" s="251"/>
      <c r="E383" s="75"/>
      <c r="F383" s="75"/>
      <c r="G383" s="75"/>
      <c r="H383" s="267" t="s">
        <v>15</v>
      </c>
      <c r="I383" s="48">
        <v>0</v>
      </c>
      <c r="J383" s="265">
        <f t="shared" si="86"/>
        <v>0</v>
      </c>
      <c r="K383" s="49">
        <f t="shared" si="82"/>
        <v>0</v>
      </c>
      <c r="L383" s="61"/>
      <c r="M383" s="61"/>
      <c r="N383" s="61"/>
    </row>
    <row r="384" spans="1:14" ht="21.75" customHeight="1" x14ac:dyDescent="0.4">
      <c r="A384" s="249"/>
      <c r="B384" s="250"/>
      <c r="C384" s="250"/>
      <c r="D384" s="251"/>
      <c r="E384" s="75"/>
      <c r="F384" s="75"/>
      <c r="G384" s="74" t="s">
        <v>160</v>
      </c>
      <c r="H384" s="267" t="s">
        <v>103</v>
      </c>
      <c r="I384" s="48">
        <v>0</v>
      </c>
      <c r="J384" s="68">
        <v>0</v>
      </c>
      <c r="K384" s="49">
        <f t="shared" si="82"/>
        <v>0</v>
      </c>
      <c r="L384" s="61"/>
      <c r="M384" s="61"/>
      <c r="N384" s="61"/>
    </row>
    <row r="385" spans="1:14" ht="21.75" customHeight="1" x14ac:dyDescent="0.4">
      <c r="A385" s="249"/>
      <c r="B385" s="250"/>
      <c r="C385" s="250"/>
      <c r="D385" s="251"/>
      <c r="E385" s="75"/>
      <c r="F385" s="75"/>
      <c r="G385" s="75"/>
      <c r="H385" s="267" t="s">
        <v>15</v>
      </c>
      <c r="I385" s="48">
        <v>0</v>
      </c>
      <c r="J385" s="68">
        <v>0</v>
      </c>
      <c r="K385" s="49">
        <f t="shared" si="82"/>
        <v>0</v>
      </c>
      <c r="L385" s="61"/>
      <c r="M385" s="61"/>
      <c r="N385" s="61"/>
    </row>
    <row r="386" spans="1:14" ht="21.75" customHeight="1" x14ac:dyDescent="0.4">
      <c r="A386" s="249"/>
      <c r="B386" s="250"/>
      <c r="C386" s="250"/>
      <c r="D386" s="251"/>
      <c r="E386" s="75"/>
      <c r="F386" s="75"/>
      <c r="G386" s="74" t="s">
        <v>161</v>
      </c>
      <c r="H386" s="267" t="s">
        <v>103</v>
      </c>
      <c r="I386" s="48">
        <v>0</v>
      </c>
      <c r="J386" s="68">
        <v>0</v>
      </c>
      <c r="K386" s="49">
        <f t="shared" si="82"/>
        <v>0</v>
      </c>
      <c r="L386" s="61"/>
      <c r="M386" s="61"/>
      <c r="N386" s="61"/>
    </row>
    <row r="387" spans="1:14" ht="21.75" customHeight="1" x14ac:dyDescent="0.4">
      <c r="A387" s="249"/>
      <c r="B387" s="250"/>
      <c r="C387" s="250"/>
      <c r="D387" s="251"/>
      <c r="E387" s="75"/>
      <c r="F387" s="75"/>
      <c r="G387" s="76"/>
      <c r="H387" s="267" t="s">
        <v>15</v>
      </c>
      <c r="I387" s="48">
        <v>0</v>
      </c>
      <c r="J387" s="68">
        <v>0</v>
      </c>
      <c r="K387" s="49">
        <f t="shared" si="82"/>
        <v>0</v>
      </c>
      <c r="L387" s="61"/>
      <c r="M387" s="61"/>
      <c r="N387" s="61"/>
    </row>
    <row r="388" spans="1:14" ht="21.75" customHeight="1" x14ac:dyDescent="0.4">
      <c r="A388" s="249"/>
      <c r="B388" s="250"/>
      <c r="C388" s="250"/>
      <c r="D388" s="251"/>
      <c r="E388" s="75"/>
      <c r="F388" s="74" t="s">
        <v>162</v>
      </c>
      <c r="G388" s="266"/>
      <c r="H388" s="267" t="s">
        <v>103</v>
      </c>
      <c r="I388" s="48">
        <v>0</v>
      </c>
      <c r="J388" s="68">
        <v>0</v>
      </c>
      <c r="K388" s="49">
        <f t="shared" si="82"/>
        <v>0</v>
      </c>
      <c r="L388" s="61"/>
      <c r="M388" s="61"/>
      <c r="N388" s="61"/>
    </row>
    <row r="389" spans="1:14" ht="21.75" customHeight="1" x14ac:dyDescent="0.4">
      <c r="A389" s="276"/>
      <c r="B389" s="277"/>
      <c r="C389" s="277"/>
      <c r="D389" s="278"/>
      <c r="E389" s="204"/>
      <c r="F389" s="204"/>
      <c r="G389" s="204"/>
      <c r="H389" s="279" t="s">
        <v>15</v>
      </c>
      <c r="I389" s="384">
        <v>0</v>
      </c>
      <c r="J389" s="68">
        <v>0</v>
      </c>
      <c r="K389" s="114">
        <f t="shared" si="82"/>
        <v>0</v>
      </c>
      <c r="L389" s="115"/>
      <c r="M389" s="115"/>
      <c r="N389" s="115"/>
    </row>
    <row r="390" spans="1:14" ht="21.75" customHeight="1" x14ac:dyDescent="0.4">
      <c r="A390" s="55"/>
      <c r="B390" s="56"/>
      <c r="C390" s="261" t="s">
        <v>163</v>
      </c>
      <c r="D390" s="261"/>
      <c r="E390" s="262"/>
      <c r="F390" s="262"/>
      <c r="G390" s="263"/>
      <c r="H390" s="136" t="s">
        <v>103</v>
      </c>
      <c r="I390" s="137">
        <f ca="1">IFERROR(__xludf.DUMMYFUNCTION("IMPORTRANGE(""https://docs.google.com/spreadsheets/d/1C3CXT74ZlgGe6_JY_1olB1XN4rF0dxEuIIF-xsYjHgg/edit?usp=sharing"",""งบกองทุน!cd21"")"),31)</f>
        <v>31</v>
      </c>
      <c r="J390" s="137">
        <f>J391</f>
        <v>0</v>
      </c>
      <c r="K390" s="138">
        <f t="shared" ca="1" si="82"/>
        <v>0</v>
      </c>
      <c r="L390" s="140"/>
      <c r="M390" s="140"/>
      <c r="N390" s="140"/>
    </row>
    <row r="391" spans="1:14" ht="21.75" customHeight="1" x14ac:dyDescent="0.4">
      <c r="A391" s="55"/>
      <c r="B391" s="56"/>
      <c r="C391" s="56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IFERROR(__xludf.DUMMYFUNCTION("IMPORTRANGE(""https://docs.google.com/spreadsheets/d/1C3CXT74ZlgGe6_JY_1olB1XN4rF0dxEuIIF-xsYjHgg/edit?usp=sharing"",""งบกองทุน!cd21"")"),31)</f>
        <v>31</v>
      </c>
      <c r="J391" s="265">
        <f t="shared" ref="J391:J392" si="87">J393+J401+J407</f>
        <v>0</v>
      </c>
      <c r="K391" s="49">
        <f t="shared" ca="1" si="82"/>
        <v>0</v>
      </c>
      <c r="L391" s="61"/>
      <c r="M391" s="61"/>
      <c r="N391" s="61"/>
    </row>
    <row r="392" spans="1:14" ht="21.75" customHeight="1" x14ac:dyDescent="0.4">
      <c r="A392" s="55"/>
      <c r="B392" s="56"/>
      <c r="C392" s="56"/>
      <c r="D392" s="73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IFERROR(__xludf.DUMMYFUNCTION("IMPORTRANGE(""https://docs.google.com/spreadsheets/d/1C3CXT74ZlgGe6_JY_1olB1XN4rF0dxEuIIF-xsYjHgg/edit?usp=sharing"",""งบกองทุน!cc21"")"),6)</f>
        <v>6</v>
      </c>
      <c r="J392" s="265">
        <f t="shared" si="87"/>
        <v>0</v>
      </c>
      <c r="K392" s="80">
        <f t="shared" ca="1" si="82"/>
        <v>0</v>
      </c>
      <c r="L392" s="61"/>
      <c r="M392" s="61"/>
      <c r="N392" s="61"/>
    </row>
    <row r="393" spans="1:14" ht="21.75" customHeight="1" x14ac:dyDescent="0.4">
      <c r="A393" s="55"/>
      <c r="B393" s="56"/>
      <c r="C393" s="56"/>
      <c r="D393" s="251"/>
      <c r="E393" s="251" t="s">
        <v>165</v>
      </c>
      <c r="F393" s="75"/>
      <c r="G393" s="76"/>
      <c r="H393" s="267" t="s">
        <v>103</v>
      </c>
      <c r="I393" s="48">
        <v>0</v>
      </c>
      <c r="J393" s="48">
        <f t="shared" ref="J393:J394" si="88">J395+J397+J399</f>
        <v>0</v>
      </c>
      <c r="K393" s="49">
        <f t="shared" si="82"/>
        <v>0</v>
      </c>
      <c r="L393" s="61"/>
      <c r="M393" s="61"/>
      <c r="N393" s="61"/>
    </row>
    <row r="394" spans="1:14" ht="21.75" customHeight="1" x14ac:dyDescent="0.4">
      <c r="A394" s="55"/>
      <c r="B394" s="56"/>
      <c r="C394" s="56"/>
      <c r="D394" s="73"/>
      <c r="E394" s="75"/>
      <c r="F394" s="75"/>
      <c r="G394" s="76"/>
      <c r="H394" s="267" t="s">
        <v>15</v>
      </c>
      <c r="I394" s="48">
        <v>0</v>
      </c>
      <c r="J394" s="48">
        <f t="shared" si="88"/>
        <v>0</v>
      </c>
      <c r="K394" s="49">
        <f t="shared" si="82"/>
        <v>0</v>
      </c>
      <c r="L394" s="61"/>
      <c r="M394" s="61"/>
      <c r="N394" s="61"/>
    </row>
    <row r="395" spans="1:14" ht="21.75" customHeight="1" x14ac:dyDescent="0.4">
      <c r="A395" s="55"/>
      <c r="B395" s="56"/>
      <c r="C395" s="56"/>
      <c r="D395" s="73"/>
      <c r="E395" s="75"/>
      <c r="F395" s="242" t="s">
        <v>166</v>
      </c>
      <c r="G395" s="266"/>
      <c r="H395" s="267" t="s">
        <v>103</v>
      </c>
      <c r="I395" s="48">
        <v>0</v>
      </c>
      <c r="J395" s="68">
        <v>0</v>
      </c>
      <c r="K395" s="49">
        <f t="shared" si="82"/>
        <v>0</v>
      </c>
      <c r="L395" s="61"/>
      <c r="M395" s="61"/>
      <c r="N395" s="61"/>
    </row>
    <row r="396" spans="1:14" ht="21.75" customHeight="1" x14ac:dyDescent="0.4">
      <c r="A396" s="55"/>
      <c r="B396" s="56"/>
      <c r="C396" s="56"/>
      <c r="D396" s="73"/>
      <c r="E396" s="75"/>
      <c r="F396" s="75"/>
      <c r="G396" s="266"/>
      <c r="H396" s="267" t="s">
        <v>15</v>
      </c>
      <c r="I396" s="48">
        <v>0</v>
      </c>
      <c r="J396" s="68">
        <v>0</v>
      </c>
      <c r="K396" s="49">
        <f t="shared" si="82"/>
        <v>0</v>
      </c>
      <c r="L396" s="61"/>
      <c r="M396" s="61"/>
      <c r="N396" s="61"/>
    </row>
    <row r="397" spans="1:14" ht="21.75" customHeight="1" x14ac:dyDescent="0.4">
      <c r="A397" s="55"/>
      <c r="B397" s="56"/>
      <c r="C397" s="56"/>
      <c r="D397" s="73"/>
      <c r="E397" s="75"/>
      <c r="F397" s="242" t="s">
        <v>167</v>
      </c>
      <c r="G397" s="266"/>
      <c r="H397" s="267" t="s">
        <v>103</v>
      </c>
      <c r="I397" s="48">
        <v>0</v>
      </c>
      <c r="J397" s="68">
        <v>0</v>
      </c>
      <c r="K397" s="49">
        <f t="shared" si="82"/>
        <v>0</v>
      </c>
      <c r="L397" s="61"/>
      <c r="M397" s="61"/>
      <c r="N397" s="61"/>
    </row>
    <row r="398" spans="1:14" ht="21.75" customHeight="1" x14ac:dyDescent="0.4">
      <c r="A398" s="55"/>
      <c r="B398" s="56"/>
      <c r="C398" s="56"/>
      <c r="D398" s="73"/>
      <c r="E398" s="75"/>
      <c r="F398" s="75"/>
      <c r="G398" s="266"/>
      <c r="H398" s="267" t="s">
        <v>15</v>
      </c>
      <c r="I398" s="48">
        <v>0</v>
      </c>
      <c r="J398" s="68">
        <v>0</v>
      </c>
      <c r="K398" s="49">
        <f t="shared" si="82"/>
        <v>0</v>
      </c>
      <c r="L398" s="61"/>
      <c r="M398" s="61"/>
      <c r="N398" s="61"/>
    </row>
    <row r="399" spans="1:14" ht="21.75" customHeight="1" x14ac:dyDescent="0.4">
      <c r="A399" s="55"/>
      <c r="B399" s="56"/>
      <c r="C399" s="56"/>
      <c r="D399" s="73"/>
      <c r="E399" s="75"/>
      <c r="F399" s="242" t="s">
        <v>168</v>
      </c>
      <c r="G399" s="266"/>
      <c r="H399" s="267" t="s">
        <v>103</v>
      </c>
      <c r="I399" s="48">
        <v>0</v>
      </c>
      <c r="J399" s="68">
        <v>0</v>
      </c>
      <c r="K399" s="49">
        <f t="shared" si="82"/>
        <v>0</v>
      </c>
      <c r="L399" s="61"/>
      <c r="M399" s="61"/>
      <c r="N399" s="61"/>
    </row>
    <row r="400" spans="1:14" ht="21.75" customHeight="1" x14ac:dyDescent="0.4">
      <c r="A400" s="55"/>
      <c r="B400" s="56"/>
      <c r="C400" s="56"/>
      <c r="D400" s="73"/>
      <c r="E400" s="75"/>
      <c r="F400" s="75"/>
      <c r="G400" s="75"/>
      <c r="H400" s="267" t="s">
        <v>15</v>
      </c>
      <c r="I400" s="48">
        <v>0</v>
      </c>
      <c r="J400" s="68">
        <v>0</v>
      </c>
      <c r="K400" s="49">
        <f t="shared" si="82"/>
        <v>0</v>
      </c>
      <c r="L400" s="61"/>
      <c r="M400" s="61"/>
      <c r="N400" s="61"/>
    </row>
    <row r="401" spans="1:14" ht="21.75" customHeight="1" x14ac:dyDescent="0.4">
      <c r="A401" s="55"/>
      <c r="B401" s="56"/>
      <c r="C401" s="56"/>
      <c r="D401" s="73"/>
      <c r="E401" s="74" t="s">
        <v>169</v>
      </c>
      <c r="F401" s="75"/>
      <c r="G401" s="266"/>
      <c r="H401" s="267" t="s">
        <v>103</v>
      </c>
      <c r="I401" s="48">
        <v>0</v>
      </c>
      <c r="J401" s="48">
        <f t="shared" ref="J401:J402" si="89">+J403+J405</f>
        <v>0</v>
      </c>
      <c r="K401" s="49">
        <f t="shared" si="82"/>
        <v>0</v>
      </c>
      <c r="L401" s="61"/>
      <c r="M401" s="61"/>
      <c r="N401" s="61"/>
    </row>
    <row r="402" spans="1:14" ht="21.75" customHeight="1" x14ac:dyDescent="0.4">
      <c r="A402" s="55"/>
      <c r="B402" s="56"/>
      <c r="C402" s="56"/>
      <c r="D402" s="73"/>
      <c r="E402" s="75"/>
      <c r="F402" s="75"/>
      <c r="G402" s="75"/>
      <c r="H402" s="267" t="s">
        <v>15</v>
      </c>
      <c r="I402" s="48">
        <v>0</v>
      </c>
      <c r="J402" s="48">
        <f t="shared" si="89"/>
        <v>0</v>
      </c>
      <c r="K402" s="49">
        <f t="shared" si="82"/>
        <v>0</v>
      </c>
      <c r="L402" s="61"/>
      <c r="M402" s="61"/>
      <c r="N402" s="61"/>
    </row>
    <row r="403" spans="1:14" ht="21.75" customHeight="1" x14ac:dyDescent="0.4">
      <c r="A403" s="55"/>
      <c r="B403" s="56"/>
      <c r="C403" s="56"/>
      <c r="D403" s="73"/>
      <c r="E403" s="75"/>
      <c r="F403" s="74" t="s">
        <v>170</v>
      </c>
      <c r="G403" s="75"/>
      <c r="H403" s="267" t="s">
        <v>103</v>
      </c>
      <c r="I403" s="48">
        <v>0</v>
      </c>
      <c r="J403" s="68">
        <v>0</v>
      </c>
      <c r="K403" s="49">
        <f t="shared" si="82"/>
        <v>0</v>
      </c>
      <c r="L403" s="61"/>
      <c r="M403" s="61"/>
      <c r="N403" s="61"/>
    </row>
    <row r="404" spans="1:14" ht="21.75" customHeight="1" x14ac:dyDescent="0.4">
      <c r="A404" s="55"/>
      <c r="B404" s="56"/>
      <c r="C404" s="56"/>
      <c r="D404" s="73"/>
      <c r="E404" s="75"/>
      <c r="F404" s="75"/>
      <c r="G404" s="75"/>
      <c r="H404" s="267" t="s">
        <v>15</v>
      </c>
      <c r="I404" s="48">
        <v>0</v>
      </c>
      <c r="J404" s="68">
        <v>0</v>
      </c>
      <c r="K404" s="49">
        <f t="shared" si="82"/>
        <v>0</v>
      </c>
      <c r="L404" s="61"/>
      <c r="M404" s="61"/>
      <c r="N404" s="61"/>
    </row>
    <row r="405" spans="1:14" ht="21.75" customHeight="1" x14ac:dyDescent="0.4">
      <c r="A405" s="55"/>
      <c r="B405" s="56"/>
      <c r="C405" s="56"/>
      <c r="D405" s="73"/>
      <c r="E405" s="75"/>
      <c r="F405" s="74" t="s">
        <v>171</v>
      </c>
      <c r="G405" s="75"/>
      <c r="H405" s="267" t="s">
        <v>103</v>
      </c>
      <c r="I405" s="48">
        <v>0</v>
      </c>
      <c r="J405" s="68">
        <v>0</v>
      </c>
      <c r="K405" s="49">
        <f t="shared" si="82"/>
        <v>0</v>
      </c>
      <c r="L405" s="61"/>
      <c r="M405" s="61"/>
      <c r="N405" s="61"/>
    </row>
    <row r="406" spans="1:14" ht="21.75" customHeight="1" x14ac:dyDescent="0.4">
      <c r="A406" s="55"/>
      <c r="B406" s="56"/>
      <c r="C406" s="56"/>
      <c r="D406" s="73"/>
      <c r="E406" s="75"/>
      <c r="F406" s="75"/>
      <c r="G406" s="76"/>
      <c r="H406" s="267" t="s">
        <v>15</v>
      </c>
      <c r="I406" s="48">
        <v>0</v>
      </c>
      <c r="J406" s="68">
        <v>0</v>
      </c>
      <c r="K406" s="49">
        <f t="shared" si="82"/>
        <v>0</v>
      </c>
      <c r="L406" s="61"/>
      <c r="M406" s="61"/>
      <c r="N406" s="61"/>
    </row>
    <row r="407" spans="1:14" ht="21.75" customHeight="1" x14ac:dyDescent="0.4">
      <c r="A407" s="55"/>
      <c r="B407" s="56"/>
      <c r="C407" s="56"/>
      <c r="D407" s="251"/>
      <c r="E407" s="251" t="s">
        <v>225</v>
      </c>
      <c r="F407" s="75"/>
      <c r="G407" s="76"/>
      <c r="H407" s="267" t="s">
        <v>103</v>
      </c>
      <c r="I407" s="48">
        <v>0</v>
      </c>
      <c r="J407" s="68">
        <v>0</v>
      </c>
      <c r="K407" s="49">
        <f t="shared" si="82"/>
        <v>0</v>
      </c>
      <c r="L407" s="61"/>
      <c r="M407" s="61"/>
      <c r="N407" s="61"/>
    </row>
    <row r="408" spans="1:14" ht="21.75" customHeight="1" x14ac:dyDescent="0.4">
      <c r="A408" s="55"/>
      <c r="B408" s="56"/>
      <c r="C408" s="56"/>
      <c r="D408" s="73"/>
      <c r="E408" s="75"/>
      <c r="F408" s="75"/>
      <c r="G408" s="76"/>
      <c r="H408" s="267" t="s">
        <v>15</v>
      </c>
      <c r="I408" s="48">
        <v>0</v>
      </c>
      <c r="J408" s="68">
        <v>0</v>
      </c>
      <c r="K408" s="49">
        <f t="shared" si="82"/>
        <v>0</v>
      </c>
      <c r="L408" s="61"/>
      <c r="M408" s="61"/>
      <c r="N408" s="61"/>
    </row>
    <row r="409" spans="1:14" ht="21.75" customHeight="1" x14ac:dyDescent="0.4">
      <c r="A409" s="55"/>
      <c r="B409" s="56"/>
      <c r="C409" s="261" t="s">
        <v>173</v>
      </c>
      <c r="D409" s="261"/>
      <c r="E409" s="285"/>
      <c r="F409" s="285"/>
      <c r="G409" s="286"/>
      <c r="H409" s="287" t="s">
        <v>103</v>
      </c>
      <c r="I409" s="137">
        <f ca="1">IFERROR(__xludf.DUMMYFUNCTION("IMPORTRANGE(""https://docs.google.com/spreadsheets/d/1C3CXT74ZlgGe6_JY_1olB1XN4rF0dxEuIIF-xsYjHgg/edit?usp=sharing"",""งบกองทุน!cz21"")"),0)</f>
        <v>0</v>
      </c>
      <c r="J409" s="137">
        <f ca="1">SUM(J412,J414)</f>
        <v>0</v>
      </c>
      <c r="K409" s="138">
        <f t="shared" ca="1" si="82"/>
        <v>0</v>
      </c>
      <c r="L409" s="61"/>
      <c r="M409" s="61"/>
      <c r="N409" s="61"/>
    </row>
    <row r="410" spans="1:14" ht="21.75" customHeight="1" x14ac:dyDescent="0.4">
      <c r="A410" s="55"/>
      <c r="B410" s="56"/>
      <c r="C410" s="288"/>
      <c r="D410" s="288"/>
      <c r="E410" s="288" t="s">
        <v>174</v>
      </c>
      <c r="F410" s="289"/>
      <c r="G410" s="290"/>
      <c r="H410" s="291" t="s">
        <v>103</v>
      </c>
      <c r="I410" s="150">
        <f ca="1">IFERROR(__xludf.DUMMYFUNCTION("IMPORTRANGE(""https://docs.google.com/spreadsheets/d/1C3CXT74ZlgGe6_JY_1olB1XN4rF0dxEuIIF-xsYjHgg/edit?usp=sharing"",""งบกองทุน!cz21"")"),0)</f>
        <v>0</v>
      </c>
      <c r="J410" s="150">
        <f t="shared" ref="J410:J411" ca="1" si="90">SUM(J412,J414)</f>
        <v>0</v>
      </c>
      <c r="K410" s="147">
        <f t="shared" ca="1" si="82"/>
        <v>0</v>
      </c>
      <c r="L410" s="61"/>
      <c r="M410" s="61"/>
      <c r="N410" s="61"/>
    </row>
    <row r="411" spans="1:14" ht="21.75" customHeight="1" x14ac:dyDescent="0.4">
      <c r="A411" s="55"/>
      <c r="B411" s="56"/>
      <c r="C411" s="288"/>
      <c r="D411" s="288"/>
      <c r="E411" s="288" t="s">
        <v>175</v>
      </c>
      <c r="F411" s="289"/>
      <c r="G411" s="290"/>
      <c r="H411" s="291" t="s">
        <v>15</v>
      </c>
      <c r="I411" s="150">
        <f ca="1">IFERROR(__xludf.DUMMYFUNCTION("IMPORTRANGE(""https://docs.google.com/spreadsheets/d/1C3CXT74ZlgGe6_JY_1olB1XN4rF0dxEuIIF-xsYjHgg/edit?usp=sharing"",""งบกองทุน!cy21"")"),0)</f>
        <v>0</v>
      </c>
      <c r="J411" s="150">
        <f t="shared" ca="1" si="90"/>
        <v>0</v>
      </c>
      <c r="K411" s="147">
        <f t="shared" ca="1" si="82"/>
        <v>0</v>
      </c>
      <c r="L411" s="61"/>
      <c r="M411" s="61"/>
      <c r="N411" s="61"/>
    </row>
    <row r="412" spans="1:14" ht="21.75" customHeight="1" x14ac:dyDescent="0.4">
      <c r="A412" s="55"/>
      <c r="B412" s="56"/>
      <c r="C412" s="56"/>
      <c r="D412" s="73"/>
      <c r="E412" s="75"/>
      <c r="F412" s="75"/>
      <c r="G412" s="99" t="s">
        <v>176</v>
      </c>
      <c r="H412" s="267" t="s">
        <v>103</v>
      </c>
      <c r="I412" s="48">
        <v>0</v>
      </c>
      <c r="J412" s="67">
        <f ca="1">IFERROR(__xludf.DUMMYFUNCTION("IMPORTRANGE(""https://docs.google.com/spreadsheets/d/1C3CXT74ZlgGe6_JY_1olB1XN4rF0dxEuIIF-xsYjHgg/edit?usp=sharing"",""งบกองทุน!db21"")"),0)</f>
        <v>0</v>
      </c>
      <c r="K412" s="49">
        <f t="shared" si="82"/>
        <v>0</v>
      </c>
      <c r="L412" s="61"/>
      <c r="M412" s="61"/>
      <c r="N412" s="61"/>
    </row>
    <row r="413" spans="1:14" ht="21.75" customHeight="1" x14ac:dyDescent="0.4">
      <c r="A413" s="55"/>
      <c r="B413" s="56"/>
      <c r="C413" s="56"/>
      <c r="D413" s="73"/>
      <c r="E413" s="75"/>
      <c r="F413" s="75"/>
      <c r="G413" s="76"/>
      <c r="H413" s="267" t="s">
        <v>15</v>
      </c>
      <c r="I413" s="48">
        <v>0</v>
      </c>
      <c r="J413" s="67">
        <f ca="1">IFERROR(__xludf.DUMMYFUNCTION("IMPORTRANGE(""https://docs.google.com/spreadsheets/d/1C3CXT74ZlgGe6_JY_1olB1XN4rF0dxEuIIF-xsYjHgg/edit?usp=sharing"",""งบกองทุน!da21"")"),0)</f>
        <v>0</v>
      </c>
      <c r="K413" s="49">
        <f t="shared" si="82"/>
        <v>0</v>
      </c>
      <c r="L413" s="61"/>
      <c r="M413" s="61"/>
      <c r="N413" s="61"/>
    </row>
    <row r="414" spans="1:14" ht="21.75" customHeight="1" x14ac:dyDescent="0.4">
      <c r="A414" s="55"/>
      <c r="B414" s="56"/>
      <c r="C414" s="56"/>
      <c r="D414" s="73"/>
      <c r="E414" s="75"/>
      <c r="F414" s="75"/>
      <c r="G414" s="99" t="s">
        <v>177</v>
      </c>
      <c r="H414" s="267" t="s">
        <v>103</v>
      </c>
      <c r="I414" s="48">
        <v>0</v>
      </c>
      <c r="J414" s="67">
        <f ca="1">IFERROR(__xludf.DUMMYFUNCTION("IMPORTRANGE(""https://docs.google.com/spreadsheets/d/1C3CXT74ZlgGe6_JY_1olB1XN4rF0dxEuIIF-xsYjHgg/edit?usp=sharing"",""งบกองทุน!dd21"")"),0)</f>
        <v>0</v>
      </c>
      <c r="K414" s="49">
        <f t="shared" si="82"/>
        <v>0</v>
      </c>
      <c r="L414" s="61"/>
      <c r="M414" s="61"/>
      <c r="N414" s="61"/>
    </row>
    <row r="415" spans="1:14" ht="21.75" customHeight="1" x14ac:dyDescent="0.4">
      <c r="A415" s="55"/>
      <c r="B415" s="56"/>
      <c r="C415" s="56"/>
      <c r="D415" s="73"/>
      <c r="E415" s="75"/>
      <c r="F415" s="75"/>
      <c r="G415" s="76"/>
      <c r="H415" s="267" t="s">
        <v>15</v>
      </c>
      <c r="I415" s="48">
        <v>0</v>
      </c>
      <c r="J415" s="67">
        <f ca="1">IFERROR(__xludf.DUMMYFUNCTION("IMPORTRANGE(""https://docs.google.com/spreadsheets/d/1C3CXT74ZlgGe6_JY_1olB1XN4rF0dxEuIIF-xsYjHgg/edit?usp=sharing"",""งบกองทุน!dc21"")"),0)</f>
        <v>0</v>
      </c>
      <c r="K415" s="49">
        <f t="shared" si="82"/>
        <v>0</v>
      </c>
      <c r="L415" s="61"/>
      <c r="M415" s="61"/>
      <c r="N415" s="61"/>
    </row>
    <row r="416" spans="1:14" ht="21.75" customHeight="1" x14ac:dyDescent="0.4">
      <c r="A416" s="55"/>
      <c r="B416" s="56"/>
      <c r="C416" s="56"/>
      <c r="D416" s="73"/>
      <c r="E416" s="75"/>
      <c r="F416" s="75"/>
      <c r="G416" s="99" t="s">
        <v>178</v>
      </c>
      <c r="H416" s="267" t="s">
        <v>103</v>
      </c>
      <c r="I416" s="48">
        <v>0</v>
      </c>
      <c r="J416" s="67">
        <f ca="1">IFERROR(__xludf.DUMMYFUNCTION("IMPORTRANGE(""https://docs.google.com/spreadsheets/d/1C3CXT74ZlgGe6_JY_1olB1XN4rF0dxEuIIF-xsYjHgg/edit?usp=sharing"",""งบกองทุน!df21"")"),0)</f>
        <v>0</v>
      </c>
      <c r="K416" s="49">
        <f t="shared" si="82"/>
        <v>0</v>
      </c>
      <c r="L416" s="61"/>
      <c r="M416" s="61"/>
      <c r="N416" s="61"/>
    </row>
    <row r="417" spans="1:14" ht="21.75" customHeight="1" x14ac:dyDescent="0.4">
      <c r="A417" s="55"/>
      <c r="B417" s="56"/>
      <c r="C417" s="56"/>
      <c r="D417" s="73"/>
      <c r="E417" s="75"/>
      <c r="F417" s="75"/>
      <c r="G417" s="76"/>
      <c r="H417" s="267" t="s">
        <v>15</v>
      </c>
      <c r="I417" s="48">
        <v>0</v>
      </c>
      <c r="J417" s="67">
        <f ca="1">IFERROR(__xludf.DUMMYFUNCTION("IMPORTRANGE(""https://docs.google.com/spreadsheets/d/1C3CXT74ZlgGe6_JY_1olB1XN4rF0dxEuIIF-xsYjHgg/edit?usp=sharing"",""งบกองทุน!de21"")"),0)</f>
        <v>0</v>
      </c>
      <c r="K417" s="49">
        <f t="shared" si="82"/>
        <v>0</v>
      </c>
      <c r="L417" s="61"/>
      <c r="M417" s="61"/>
      <c r="N417" s="61"/>
    </row>
    <row r="418" spans="1:14" ht="21.75" customHeight="1" x14ac:dyDescent="0.4">
      <c r="A418" s="55"/>
      <c r="B418" s="56"/>
      <c r="C418" s="288"/>
      <c r="D418" s="288"/>
      <c r="E418" s="288" t="s">
        <v>179</v>
      </c>
      <c r="F418" s="289"/>
      <c r="G418" s="290"/>
      <c r="H418" s="291" t="s">
        <v>103</v>
      </c>
      <c r="I418" s="150">
        <f t="shared" ref="I418:I419" ca="1" si="91">J416</f>
        <v>0</v>
      </c>
      <c r="J418" s="150">
        <f t="shared" ref="J418:J419" si="92">SUM(J420,J422,J424)</f>
        <v>0</v>
      </c>
      <c r="K418" s="147">
        <f t="shared" ca="1" si="82"/>
        <v>0</v>
      </c>
      <c r="L418" s="61"/>
      <c r="M418" s="61"/>
      <c r="N418" s="61"/>
    </row>
    <row r="419" spans="1:14" ht="21.75" customHeight="1" x14ac:dyDescent="0.4">
      <c r="A419" s="55"/>
      <c r="B419" s="56"/>
      <c r="C419" s="288"/>
      <c r="D419" s="288"/>
      <c r="E419" s="288" t="s">
        <v>180</v>
      </c>
      <c r="F419" s="289"/>
      <c r="G419" s="290"/>
      <c r="H419" s="291" t="s">
        <v>15</v>
      </c>
      <c r="I419" s="150">
        <f t="shared" ca="1" si="91"/>
        <v>0</v>
      </c>
      <c r="J419" s="150">
        <f t="shared" si="92"/>
        <v>0</v>
      </c>
      <c r="K419" s="147">
        <f t="shared" ca="1" si="82"/>
        <v>0</v>
      </c>
      <c r="L419" s="61"/>
      <c r="M419" s="61"/>
      <c r="N419" s="61"/>
    </row>
    <row r="420" spans="1:14" ht="21.75" customHeight="1" x14ac:dyDescent="0.4">
      <c r="A420" s="55"/>
      <c r="B420" s="56"/>
      <c r="C420" s="56"/>
      <c r="D420" s="73"/>
      <c r="E420" s="75"/>
      <c r="F420" s="75"/>
      <c r="G420" s="99" t="s">
        <v>176</v>
      </c>
      <c r="H420" s="267" t="s">
        <v>103</v>
      </c>
      <c r="I420" s="48">
        <v>0</v>
      </c>
      <c r="J420" s="68">
        <v>0</v>
      </c>
      <c r="K420" s="49">
        <f t="shared" si="82"/>
        <v>0</v>
      </c>
      <c r="L420" s="61"/>
      <c r="M420" s="61"/>
      <c r="N420" s="61"/>
    </row>
    <row r="421" spans="1:14" ht="21.75" customHeight="1" x14ac:dyDescent="0.4">
      <c r="A421" s="55"/>
      <c r="B421" s="56"/>
      <c r="C421" s="56"/>
      <c r="D421" s="73"/>
      <c r="E421" s="75"/>
      <c r="F421" s="75"/>
      <c r="G421" s="76"/>
      <c r="H421" s="267" t="s">
        <v>15</v>
      </c>
      <c r="I421" s="48">
        <v>0</v>
      </c>
      <c r="J421" s="68">
        <v>0</v>
      </c>
      <c r="K421" s="49">
        <f t="shared" si="82"/>
        <v>0</v>
      </c>
      <c r="L421" s="61"/>
      <c r="M421" s="61"/>
      <c r="N421" s="61"/>
    </row>
    <row r="422" spans="1:14" ht="21.75" customHeight="1" x14ac:dyDescent="0.4">
      <c r="A422" s="55"/>
      <c r="B422" s="56"/>
      <c r="C422" s="56"/>
      <c r="D422" s="73"/>
      <c r="E422" s="75"/>
      <c r="F422" s="75"/>
      <c r="G422" s="99" t="s">
        <v>177</v>
      </c>
      <c r="H422" s="267" t="s">
        <v>103</v>
      </c>
      <c r="I422" s="48">
        <v>0</v>
      </c>
      <c r="J422" s="68">
        <v>0</v>
      </c>
      <c r="K422" s="49">
        <f t="shared" si="82"/>
        <v>0</v>
      </c>
      <c r="L422" s="61"/>
      <c r="M422" s="61"/>
      <c r="N422" s="61"/>
    </row>
    <row r="423" spans="1:14" ht="21.75" customHeight="1" x14ac:dyDescent="0.4">
      <c r="A423" s="55"/>
      <c r="B423" s="56"/>
      <c r="C423" s="56"/>
      <c r="D423" s="73"/>
      <c r="E423" s="75"/>
      <c r="F423" s="75"/>
      <c r="G423" s="76"/>
      <c r="H423" s="267" t="s">
        <v>15</v>
      </c>
      <c r="I423" s="48">
        <v>0</v>
      </c>
      <c r="J423" s="68">
        <v>0</v>
      </c>
      <c r="K423" s="49">
        <f>IF(I424&gt;0,J424*100/I424,0)</f>
        <v>0</v>
      </c>
      <c r="L423" s="61"/>
      <c r="M423" s="61"/>
      <c r="N423" s="61"/>
    </row>
    <row r="424" spans="1:14" ht="21.75" customHeight="1" x14ac:dyDescent="0.4">
      <c r="A424" s="55"/>
      <c r="B424" s="56"/>
      <c r="C424" s="56"/>
      <c r="D424" s="73"/>
      <c r="E424" s="75"/>
      <c r="F424" s="75"/>
      <c r="G424" s="99" t="s">
        <v>181</v>
      </c>
      <c r="H424" s="267" t="s">
        <v>103</v>
      </c>
      <c r="I424" s="48">
        <v>0</v>
      </c>
      <c r="J424" s="68">
        <v>0</v>
      </c>
      <c r="K424" s="49">
        <f t="shared" ref="K424:K425" si="93">IF(I424&gt;0,J424*100/I424,0)</f>
        <v>0</v>
      </c>
      <c r="L424" s="61"/>
      <c r="M424" s="61"/>
      <c r="N424" s="61"/>
    </row>
    <row r="425" spans="1:14" ht="21.75" customHeight="1" x14ac:dyDescent="0.4">
      <c r="A425" s="292"/>
      <c r="B425" s="293"/>
      <c r="C425" s="293"/>
      <c r="D425" s="294"/>
      <c r="E425" s="295"/>
      <c r="F425" s="295"/>
      <c r="G425" s="296"/>
      <c r="H425" s="297" t="s">
        <v>15</v>
      </c>
      <c r="I425" s="298">
        <v>0</v>
      </c>
      <c r="J425" s="299">
        <v>0</v>
      </c>
      <c r="K425" s="309">
        <f t="shared" si="93"/>
        <v>0</v>
      </c>
      <c r="L425" s="300"/>
      <c r="M425" s="300"/>
      <c r="N425" s="300"/>
    </row>
    <row r="426" spans="1:14" ht="21.75" customHeight="1" x14ac:dyDescent="0.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4">I440</f>
        <v>30</v>
      </c>
      <c r="J426" s="257">
        <f t="shared" si="94"/>
        <v>0</v>
      </c>
      <c r="K426" s="258">
        <f ca="1">IF(I426&gt;0,J426*100/I426,0)</f>
        <v>0</v>
      </c>
      <c r="L426" s="259">
        <f t="shared" ref="L426:M426" ca="1" si="95">SUM(L427:L428)</f>
        <v>41150</v>
      </c>
      <c r="M426" s="259">
        <f t="shared" si="95"/>
        <v>0</v>
      </c>
      <c r="N426" s="259">
        <f t="shared" ref="N426:N430" ca="1" si="96">+IF(L426&gt;0,M426*100/L426,0)</f>
        <v>0</v>
      </c>
    </row>
    <row r="427" spans="1:14" ht="21.75" customHeight="1" x14ac:dyDescent="0.4">
      <c r="A427" s="42"/>
      <c r="B427" s="43"/>
      <c r="C427" s="43" t="s">
        <v>17</v>
      </c>
      <c r="D427" s="44" t="s">
        <v>18</v>
      </c>
      <c r="E427" s="45"/>
      <c r="F427" s="45"/>
      <c r="G427" s="46" t="s">
        <v>19</v>
      </c>
      <c r="H427" s="47" t="s">
        <v>20</v>
      </c>
      <c r="I427" s="48" t="s">
        <v>21</v>
      </c>
      <c r="J427" s="48"/>
      <c r="K427" s="49"/>
      <c r="L427" s="50">
        <v>0</v>
      </c>
      <c r="M427" s="53">
        <v>0</v>
      </c>
      <c r="N427" s="53">
        <f t="shared" si="96"/>
        <v>0</v>
      </c>
    </row>
    <row r="428" spans="1:14" ht="21.75" customHeight="1" x14ac:dyDescent="0.4">
      <c r="A428" s="42"/>
      <c r="B428" s="43"/>
      <c r="C428" s="43"/>
      <c r="D428" s="51"/>
      <c r="E428" s="45"/>
      <c r="F428" s="45" t="s">
        <v>21</v>
      </c>
      <c r="G428" s="46" t="s">
        <v>22</v>
      </c>
      <c r="H428" s="47" t="s">
        <v>20</v>
      </c>
      <c r="I428" s="48"/>
      <c r="J428" s="48"/>
      <c r="K428" s="49"/>
      <c r="L428" s="50">
        <f t="shared" ref="L428:M428" ca="1" si="97">SUM(L429:L430)</f>
        <v>41150</v>
      </c>
      <c r="M428" s="53">
        <f t="shared" si="97"/>
        <v>0</v>
      </c>
      <c r="N428" s="53">
        <f t="shared" ca="1" si="96"/>
        <v>0</v>
      </c>
    </row>
    <row r="429" spans="1:14" ht="21.75" customHeight="1" x14ac:dyDescent="0.4">
      <c r="A429" s="42"/>
      <c r="B429" s="43"/>
      <c r="C429" s="43"/>
      <c r="D429" s="51"/>
      <c r="E429" s="45"/>
      <c r="F429" s="45"/>
      <c r="G429" s="52" t="s">
        <v>110</v>
      </c>
      <c r="H429" s="47" t="s">
        <v>20</v>
      </c>
      <c r="I429" s="48"/>
      <c r="J429" s="48"/>
      <c r="K429" s="49"/>
      <c r="L429" s="53">
        <f ca="1">IFERROR(__xludf.DUMMYFUNCTION("IMPORTRANGE(""https://docs.google.com/spreadsheets/d/1C3CXT74ZlgGe6_JY_1olB1XN4rF0dxEuIIF-xsYjHgg/edit?usp=sharing"",""งบกองทุน!dn21"")"),0)</f>
        <v>0</v>
      </c>
      <c r="M429" s="53">
        <v>0</v>
      </c>
      <c r="N429" s="53">
        <f t="shared" ca="1" si="96"/>
        <v>0</v>
      </c>
    </row>
    <row r="430" spans="1:14" ht="21.75" customHeight="1" x14ac:dyDescent="0.4">
      <c r="A430" s="42"/>
      <c r="B430" s="43"/>
      <c r="C430" s="43"/>
      <c r="D430" s="51"/>
      <c r="E430" s="45"/>
      <c r="F430" s="45"/>
      <c r="G430" s="52" t="s">
        <v>111</v>
      </c>
      <c r="H430" s="47" t="s">
        <v>20</v>
      </c>
      <c r="I430" s="48"/>
      <c r="J430" s="48"/>
      <c r="K430" s="49"/>
      <c r="L430" s="53">
        <f ca="1">IFERROR(__xludf.DUMMYFUNCTION("IMPORTRANGE(""https://docs.google.com/spreadsheets/d/1C3CXT74ZlgGe6_JY_1olB1XN4rF0dxEuIIF-xsYjHgg/edit?usp=sharing"",""งบกองทุน!do21"")"),41150)</f>
        <v>41150</v>
      </c>
      <c r="M430" s="53">
        <f>SUM(M431:M434)</f>
        <v>0</v>
      </c>
      <c r="N430" s="53">
        <f t="shared" ca="1" si="96"/>
        <v>0</v>
      </c>
    </row>
    <row r="431" spans="1:14" ht="21.75" customHeight="1" x14ac:dyDescent="0.4">
      <c r="A431" s="230"/>
      <c r="B431" s="231"/>
      <c r="C431" s="43"/>
      <c r="D431" s="232"/>
      <c r="E431" s="45"/>
      <c r="F431" s="45"/>
      <c r="G431" s="46" t="s">
        <v>112</v>
      </c>
      <c r="H431" s="47" t="s">
        <v>20</v>
      </c>
      <c r="I431" s="67"/>
      <c r="J431" s="67"/>
      <c r="K431" s="233"/>
      <c r="L431" s="53"/>
      <c r="M431" s="54">
        <v>0</v>
      </c>
      <c r="N431" s="53"/>
    </row>
    <row r="432" spans="1:14" ht="21.75" customHeight="1" x14ac:dyDescent="0.4">
      <c r="A432" s="230"/>
      <c r="B432" s="231"/>
      <c r="C432" s="43"/>
      <c r="D432" s="232"/>
      <c r="E432" s="45"/>
      <c r="F432" s="45"/>
      <c r="G432" s="46" t="s">
        <v>113</v>
      </c>
      <c r="H432" s="47" t="s">
        <v>20</v>
      </c>
      <c r="I432" s="67"/>
      <c r="J432" s="67"/>
      <c r="K432" s="233"/>
      <c r="L432" s="53"/>
      <c r="M432" s="54">
        <v>0</v>
      </c>
      <c r="N432" s="53"/>
    </row>
    <row r="433" spans="1:14" ht="21.75" customHeight="1" x14ac:dyDescent="0.4">
      <c r="A433" s="230"/>
      <c r="B433" s="231"/>
      <c r="C433" s="43"/>
      <c r="D433" s="232"/>
      <c r="E433" s="45"/>
      <c r="F433" s="45"/>
      <c r="G433" s="46" t="s">
        <v>114</v>
      </c>
      <c r="H433" s="47" t="s">
        <v>20</v>
      </c>
      <c r="I433" s="67"/>
      <c r="J433" s="67"/>
      <c r="K433" s="233"/>
      <c r="L433" s="53"/>
      <c r="M433" s="54">
        <v>0</v>
      </c>
      <c r="N433" s="53"/>
    </row>
    <row r="434" spans="1:14" ht="21.75" customHeight="1" x14ac:dyDescent="0.4">
      <c r="A434" s="230"/>
      <c r="B434" s="231"/>
      <c r="C434" s="43"/>
      <c r="D434" s="232"/>
      <c r="E434" s="45"/>
      <c r="F434" s="45"/>
      <c r="G434" s="46" t="s">
        <v>115</v>
      </c>
      <c r="H434" s="47" t="s">
        <v>20</v>
      </c>
      <c r="I434" s="67"/>
      <c r="J434" s="67"/>
      <c r="K434" s="233"/>
      <c r="L434" s="53"/>
      <c r="M434" s="54">
        <v>0</v>
      </c>
      <c r="N434" s="53"/>
    </row>
    <row r="435" spans="1:14" ht="21.75" customHeight="1" x14ac:dyDescent="0.4">
      <c r="A435" s="55"/>
      <c r="B435" s="56"/>
      <c r="C435" s="43" t="s">
        <v>17</v>
      </c>
      <c r="D435" s="57" t="s">
        <v>25</v>
      </c>
      <c r="E435" s="58"/>
      <c r="F435" s="58"/>
      <c r="G435" s="59"/>
      <c r="H435" s="60"/>
      <c r="I435" s="48"/>
      <c r="J435" s="48"/>
      <c r="K435" s="49"/>
      <c r="L435" s="61"/>
      <c r="M435" s="61"/>
      <c r="N435" s="61"/>
    </row>
    <row r="436" spans="1:14" ht="21.75" customHeight="1" x14ac:dyDescent="0.4">
      <c r="A436" s="55"/>
      <c r="B436" s="56"/>
      <c r="C436" s="56"/>
      <c r="D436" s="62">
        <v>1</v>
      </c>
      <c r="E436" s="63" t="s">
        <v>26</v>
      </c>
      <c r="F436" s="64"/>
      <c r="G436" s="65"/>
      <c r="H436" s="66"/>
      <c r="I436" s="67"/>
      <c r="J436" s="68">
        <v>0</v>
      </c>
      <c r="K436" s="49"/>
      <c r="L436" s="61"/>
      <c r="M436" s="61"/>
      <c r="N436" s="61"/>
    </row>
    <row r="437" spans="1:14" ht="21.75" customHeight="1" x14ac:dyDescent="0.4">
      <c r="A437" s="55"/>
      <c r="B437" s="56"/>
      <c r="C437" s="56"/>
      <c r="D437" s="69">
        <v>2</v>
      </c>
      <c r="E437" s="70" t="s">
        <v>27</v>
      </c>
      <c r="F437" s="71"/>
      <c r="G437" s="72"/>
      <c r="H437" s="66"/>
      <c r="I437" s="67"/>
      <c r="J437" s="68">
        <v>1</v>
      </c>
      <c r="K437" s="49"/>
      <c r="L437" s="61" t="s">
        <v>21</v>
      </c>
      <c r="M437" s="61" t="s">
        <v>21</v>
      </c>
      <c r="N437" s="61"/>
    </row>
    <row r="438" spans="1:14" ht="21.75" customHeight="1" x14ac:dyDescent="0.4">
      <c r="A438" s="55"/>
      <c r="B438" s="56"/>
      <c r="C438" s="56"/>
      <c r="D438" s="73"/>
      <c r="E438" s="74" t="s">
        <v>28</v>
      </c>
      <c r="F438" s="75"/>
      <c r="G438" s="76"/>
      <c r="H438" s="66"/>
      <c r="I438" s="67"/>
      <c r="J438" s="68">
        <v>1</v>
      </c>
      <c r="K438" s="49"/>
      <c r="L438" s="61"/>
      <c r="M438" s="61"/>
      <c r="N438" s="61"/>
    </row>
    <row r="439" spans="1:14" ht="21.75" customHeight="1" x14ac:dyDescent="0.4">
      <c r="A439" s="55"/>
      <c r="B439" s="56"/>
      <c r="C439" s="56"/>
      <c r="D439" s="73"/>
      <c r="E439" s="74" t="s">
        <v>29</v>
      </c>
      <c r="F439" s="75"/>
      <c r="G439" s="76"/>
      <c r="H439" s="66"/>
      <c r="I439" s="67"/>
      <c r="J439" s="68">
        <v>0</v>
      </c>
      <c r="K439" s="49"/>
      <c r="L439" s="61"/>
      <c r="M439" s="61"/>
      <c r="N439" s="61"/>
    </row>
    <row r="440" spans="1:14" ht="21.75" customHeight="1" x14ac:dyDescent="0.4">
      <c r="A440" s="55"/>
      <c r="B440" s="56"/>
      <c r="C440" s="56"/>
      <c r="D440" s="73"/>
      <c r="E440" s="77"/>
      <c r="F440" s="75"/>
      <c r="G440" s="99" t="s">
        <v>183</v>
      </c>
      <c r="H440" s="66" t="s">
        <v>16</v>
      </c>
      <c r="I440" s="200">
        <f ca="1">IFERROR(__xludf.DUMMYFUNCTION("IMPORTRANGE(""https://docs.google.com/spreadsheets/d/1C3CXT74ZlgGe6_JY_1olB1XN4rF0dxEuIIF-xsYjHgg/edit?usp=sharing"",""งบกองทุน!dq21"")"),30)</f>
        <v>30</v>
      </c>
      <c r="J440" s="68">
        <v>0</v>
      </c>
      <c r="K440" s="49">
        <f t="shared" ref="K440:K441" ca="1" si="98">IF(I440&gt;0,J440*100/I440,0)</f>
        <v>0</v>
      </c>
      <c r="L440" s="61"/>
      <c r="M440" s="61"/>
      <c r="N440" s="61"/>
    </row>
    <row r="441" spans="1:14" ht="21.75" hidden="1" customHeight="1" x14ac:dyDescent="0.4">
      <c r="A441" s="55"/>
      <c r="B441" s="56"/>
      <c r="C441" s="56"/>
      <c r="D441" s="73"/>
      <c r="E441" s="77"/>
      <c r="F441" s="75"/>
      <c r="G441" s="99" t="s">
        <v>184</v>
      </c>
      <c r="H441" s="66" t="s">
        <v>16</v>
      </c>
      <c r="I441" s="200">
        <f ca="1">IFERROR(__xludf.DUMMYFUNCTION("IMPORTRANGE(""https://docs.google.com/spreadsheets/d/1C3CXT74ZlgGe6_JY_1olB1XN4rF0dxEuIIF-xsYjHgg/edit?usp=sharing"",""งบกองทุน!dr21"")"),30)</f>
        <v>30</v>
      </c>
      <c r="J441" s="68">
        <v>0</v>
      </c>
      <c r="K441" s="49">
        <f t="shared" ca="1" si="98"/>
        <v>0</v>
      </c>
      <c r="L441" s="61"/>
      <c r="M441" s="61"/>
      <c r="N441" s="61"/>
    </row>
    <row r="442" spans="1:14" ht="21.75" customHeight="1" x14ac:dyDescent="0.4">
      <c r="A442" s="55"/>
      <c r="B442" s="56"/>
      <c r="C442" s="56"/>
      <c r="D442" s="73"/>
      <c r="E442" s="74" t="s">
        <v>35</v>
      </c>
      <c r="F442" s="75"/>
      <c r="G442" s="76"/>
      <c r="H442" s="66"/>
      <c r="I442" s="67"/>
      <c r="J442" s="68">
        <v>0</v>
      </c>
      <c r="K442" s="49"/>
      <c r="L442" s="61"/>
      <c r="M442" s="61"/>
      <c r="N442" s="61"/>
    </row>
    <row r="443" spans="1:14" ht="21.75" customHeight="1" x14ac:dyDescent="0.4">
      <c r="A443" s="292"/>
      <c r="B443" s="293"/>
      <c r="C443" s="293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309"/>
      <c r="L443" s="300"/>
      <c r="M443" s="300"/>
      <c r="N443" s="300"/>
    </row>
    <row r="444" spans="1:14" ht="21.75" customHeight="1" x14ac:dyDescent="0.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9">SUM(I453,I455)</f>
        <v>0</v>
      </c>
      <c r="J444" s="257">
        <f t="shared" si="99"/>
        <v>0</v>
      </c>
      <c r="K444" s="258">
        <f ca="1">IF(I444&gt;0,J444*100/I444,0)</f>
        <v>0</v>
      </c>
      <c r="L444" s="259">
        <f t="shared" ref="L444:M444" ca="1" si="100">SUM(L445:L446)</f>
        <v>0</v>
      </c>
      <c r="M444" s="259">
        <f t="shared" si="100"/>
        <v>0</v>
      </c>
      <c r="N444" s="259">
        <f t="shared" ref="N444:N448" ca="1" si="101">+IF(L444&gt;0,M444*100/L444,0)</f>
        <v>0</v>
      </c>
    </row>
    <row r="445" spans="1:14" ht="21.75" customHeight="1" x14ac:dyDescent="0.4">
      <c r="A445" s="42"/>
      <c r="B445" s="43"/>
      <c r="C445" s="43" t="s">
        <v>17</v>
      </c>
      <c r="D445" s="44" t="s">
        <v>18</v>
      </c>
      <c r="E445" s="45"/>
      <c r="F445" s="45"/>
      <c r="G445" s="46" t="s">
        <v>19</v>
      </c>
      <c r="H445" s="47" t="s">
        <v>20</v>
      </c>
      <c r="I445" s="48" t="s">
        <v>21</v>
      </c>
      <c r="J445" s="67"/>
      <c r="K445" s="233"/>
      <c r="L445" s="50">
        <v>0</v>
      </c>
      <c r="M445" s="53">
        <v>0</v>
      </c>
      <c r="N445" s="53">
        <f t="shared" si="101"/>
        <v>0</v>
      </c>
    </row>
    <row r="446" spans="1:14" ht="21.75" customHeight="1" x14ac:dyDescent="0.4">
      <c r="A446" s="42"/>
      <c r="B446" s="43"/>
      <c r="C446" s="43"/>
      <c r="D446" s="51"/>
      <c r="E446" s="45"/>
      <c r="F446" s="45" t="s">
        <v>21</v>
      </c>
      <c r="G446" s="46" t="s">
        <v>22</v>
      </c>
      <c r="H446" s="47" t="s">
        <v>20</v>
      </c>
      <c r="I446" s="48"/>
      <c r="J446" s="67"/>
      <c r="K446" s="233"/>
      <c r="L446" s="50">
        <f t="shared" ref="L446:M446" ca="1" si="102">SUM(L447:L448)</f>
        <v>0</v>
      </c>
      <c r="M446" s="53">
        <f t="shared" si="102"/>
        <v>0</v>
      </c>
      <c r="N446" s="53">
        <f t="shared" ca="1" si="101"/>
        <v>0</v>
      </c>
    </row>
    <row r="447" spans="1:14" ht="21.75" customHeight="1" x14ac:dyDescent="0.4">
      <c r="A447" s="42"/>
      <c r="B447" s="43"/>
      <c r="C447" s="43"/>
      <c r="D447" s="51"/>
      <c r="E447" s="45"/>
      <c r="F447" s="45"/>
      <c r="G447" s="52" t="s">
        <v>110</v>
      </c>
      <c r="H447" s="47" t="s">
        <v>20</v>
      </c>
      <c r="I447" s="48"/>
      <c r="J447" s="67"/>
      <c r="K447" s="233"/>
      <c r="L447" s="53">
        <f ca="1">IFERROR(__xludf.DUMMYFUNCTION("IMPORTRANGE(""https://docs.google.com/spreadsheets/d/1C3CXT74ZlgGe6_JY_1olB1XN4rF0dxEuIIF-xsYjHgg/edit?usp=sharing"",""งบกองทุน!dt21"")"),0)</f>
        <v>0</v>
      </c>
      <c r="M447" s="53">
        <v>0</v>
      </c>
      <c r="N447" s="53">
        <f t="shared" ca="1" si="101"/>
        <v>0</v>
      </c>
    </row>
    <row r="448" spans="1:14" ht="21.75" customHeight="1" x14ac:dyDescent="0.4">
      <c r="A448" s="42"/>
      <c r="B448" s="43"/>
      <c r="C448" s="43"/>
      <c r="D448" s="51"/>
      <c r="E448" s="45"/>
      <c r="F448" s="45"/>
      <c r="G448" s="52" t="s">
        <v>111</v>
      </c>
      <c r="H448" s="47" t="s">
        <v>20</v>
      </c>
      <c r="I448" s="48"/>
      <c r="J448" s="67"/>
      <c r="K448" s="233"/>
      <c r="L448" s="53">
        <f ca="1">IFERROR(__xludf.DUMMYFUNCTION("IMPORTRANGE(""https://docs.google.com/spreadsheets/d/1C3CXT74ZlgGe6_JY_1olB1XN4rF0dxEuIIF-xsYjHgg/edit?usp=sharing"",""งบกองทุน!du21"")"),0)</f>
        <v>0</v>
      </c>
      <c r="M448" s="53">
        <f>SUM(M449:M452)</f>
        <v>0</v>
      </c>
      <c r="N448" s="53">
        <f t="shared" ca="1" si="101"/>
        <v>0</v>
      </c>
    </row>
    <row r="449" spans="1:14" ht="21.75" customHeight="1" x14ac:dyDescent="0.4">
      <c r="A449" s="230"/>
      <c r="B449" s="231"/>
      <c r="C449" s="43"/>
      <c r="D449" s="232"/>
      <c r="E449" s="45"/>
      <c r="F449" s="45"/>
      <c r="G449" s="46" t="s">
        <v>112</v>
      </c>
      <c r="H449" s="47" t="s">
        <v>20</v>
      </c>
      <c r="I449" s="67"/>
      <c r="J449" s="67"/>
      <c r="K449" s="233"/>
      <c r="L449" s="53"/>
      <c r="M449" s="53">
        <v>0</v>
      </c>
      <c r="N449" s="53"/>
    </row>
    <row r="450" spans="1:14" ht="21.75" customHeight="1" x14ac:dyDescent="0.4">
      <c r="A450" s="230"/>
      <c r="B450" s="231"/>
      <c r="C450" s="43"/>
      <c r="D450" s="232"/>
      <c r="E450" s="45"/>
      <c r="F450" s="45"/>
      <c r="G450" s="46" t="s">
        <v>113</v>
      </c>
      <c r="H450" s="47" t="s">
        <v>20</v>
      </c>
      <c r="I450" s="67"/>
      <c r="J450" s="67"/>
      <c r="K450" s="233"/>
      <c r="L450" s="53"/>
      <c r="M450" s="53">
        <v>0</v>
      </c>
      <c r="N450" s="53"/>
    </row>
    <row r="451" spans="1:14" ht="21.75" customHeight="1" x14ac:dyDescent="0.4">
      <c r="A451" s="230"/>
      <c r="B451" s="231"/>
      <c r="C451" s="43"/>
      <c r="D451" s="232"/>
      <c r="E451" s="45"/>
      <c r="F451" s="45"/>
      <c r="G451" s="46" t="s">
        <v>114</v>
      </c>
      <c r="H451" s="47" t="s">
        <v>20</v>
      </c>
      <c r="I451" s="67"/>
      <c r="J451" s="67"/>
      <c r="K451" s="233"/>
      <c r="L451" s="53"/>
      <c r="M451" s="53">
        <v>0</v>
      </c>
      <c r="N451" s="53"/>
    </row>
    <row r="452" spans="1:14" ht="21.75" customHeight="1" x14ac:dyDescent="0.4">
      <c r="A452" s="230"/>
      <c r="B452" s="231"/>
      <c r="C452" s="43"/>
      <c r="D452" s="232"/>
      <c r="E452" s="45"/>
      <c r="F452" s="45"/>
      <c r="G452" s="46" t="s">
        <v>115</v>
      </c>
      <c r="H452" s="47" t="s">
        <v>20</v>
      </c>
      <c r="I452" s="67"/>
      <c r="J452" s="67"/>
      <c r="K452" s="233"/>
      <c r="L452" s="53"/>
      <c r="M452" s="53">
        <v>0</v>
      </c>
      <c r="N452" s="53"/>
    </row>
    <row r="453" spans="1:14" ht="21.75" customHeight="1" x14ac:dyDescent="0.4">
      <c r="A453" s="55"/>
      <c r="B453" s="56"/>
      <c r="C453" s="56"/>
      <c r="D453" s="73"/>
      <c r="E453" s="75"/>
      <c r="F453" s="75" t="s">
        <v>186</v>
      </c>
      <c r="G453" s="76"/>
      <c r="H453" s="315" t="s">
        <v>103</v>
      </c>
      <c r="I453" s="48">
        <f ca="1">IFERROR(__xludf.DUMMYFUNCTION("IMPORTRANGE(""https://docs.google.com/spreadsheets/d/1C3CXT74ZlgGe6_JY_1olB1XN4rF0dxEuIIF-xsYjHgg/edit?usp=sharing"",""งบกองทุน!dw21"")"),0)</f>
        <v>0</v>
      </c>
      <c r="J453" s="67">
        <v>0</v>
      </c>
      <c r="K453" s="233">
        <f t="shared" ref="K453:K457" ca="1" si="103">IF(I453&gt;0,J453*100/I453,0)</f>
        <v>0</v>
      </c>
      <c r="L453" s="53"/>
      <c r="M453" s="53"/>
      <c r="N453" s="61"/>
    </row>
    <row r="454" spans="1:14" ht="21.75" customHeight="1" x14ac:dyDescent="0.4">
      <c r="A454" s="55"/>
      <c r="B454" s="56"/>
      <c r="C454" s="56"/>
      <c r="D454" s="73"/>
      <c r="E454" s="75"/>
      <c r="F454" s="75"/>
      <c r="G454" s="76"/>
      <c r="H454" s="315" t="s">
        <v>15</v>
      </c>
      <c r="I454" s="48">
        <f ca="1">IFERROR(__xludf.DUMMYFUNCTION("IMPORTRANGE(""https://docs.google.com/spreadsheets/d/1C3CXT74ZlgGe6_JY_1olB1XN4rF0dxEuIIF-xsYjHgg/edit?usp=sharing"",""งบกองทุน!dx21"")"),0)</f>
        <v>0</v>
      </c>
      <c r="J454" s="67">
        <v>0</v>
      </c>
      <c r="K454" s="233">
        <f t="shared" ca="1" si="103"/>
        <v>0</v>
      </c>
      <c r="L454" s="53"/>
      <c r="M454" s="53"/>
      <c r="N454" s="61"/>
    </row>
    <row r="455" spans="1:14" ht="21.75" customHeight="1" x14ac:dyDescent="0.4">
      <c r="A455" s="55"/>
      <c r="B455" s="56"/>
      <c r="C455" s="56"/>
      <c r="D455" s="73"/>
      <c r="E455" s="75"/>
      <c r="F455" s="75" t="s">
        <v>187</v>
      </c>
      <c r="G455" s="76"/>
      <c r="H455" s="315" t="s">
        <v>103</v>
      </c>
      <c r="I455" s="48">
        <f ca="1">IFERROR(__xludf.DUMMYFUNCTION("IMPORTRANGE(""https://docs.google.com/spreadsheets/d/1C3CXT74ZlgGe6_JY_1olB1XN4rF0dxEuIIF-xsYjHgg/edit?usp=sharing"",""งบกองทุน!dy21"")"),0)</f>
        <v>0</v>
      </c>
      <c r="J455" s="67">
        <v>0</v>
      </c>
      <c r="K455" s="233">
        <f t="shared" ca="1" si="103"/>
        <v>0</v>
      </c>
      <c r="L455" s="53"/>
      <c r="M455" s="53"/>
      <c r="N455" s="61"/>
    </row>
    <row r="456" spans="1:14" ht="21.75" customHeight="1" x14ac:dyDescent="0.4">
      <c r="A456" s="55"/>
      <c r="B456" s="56"/>
      <c r="C456" s="56"/>
      <c r="D456" s="73"/>
      <c r="E456" s="75"/>
      <c r="F456" s="75"/>
      <c r="G456" s="76"/>
      <c r="H456" s="315" t="s">
        <v>15</v>
      </c>
      <c r="I456" s="48">
        <f ca="1">IFERROR(__xludf.DUMMYFUNCTION("IMPORTRANGE(""https://docs.google.com/spreadsheets/d/1C3CXT74ZlgGe6_JY_1olB1XN4rF0dxEuIIF-xsYjHgg/edit?usp=sharing"",""งบกองทุน!dz21"")"),0)</f>
        <v>0</v>
      </c>
      <c r="J456" s="67">
        <v>0</v>
      </c>
      <c r="K456" s="49">
        <f t="shared" ca="1" si="103"/>
        <v>0</v>
      </c>
      <c r="L456" s="61"/>
      <c r="M456" s="61"/>
      <c r="N456" s="61"/>
    </row>
    <row r="457" spans="1:14" ht="21.75" customHeight="1" x14ac:dyDescent="0.4">
      <c r="A457" s="222"/>
      <c r="B457" s="223">
        <v>8</v>
      </c>
      <c r="C457" s="224" t="s">
        <v>188</v>
      </c>
      <c r="D457" s="224"/>
      <c r="E457" s="224"/>
      <c r="F457" s="224"/>
      <c r="G457" s="225"/>
      <c r="H457" s="226" t="s">
        <v>16</v>
      </c>
      <c r="I457" s="227">
        <f ca="1">I466</f>
        <v>3400</v>
      </c>
      <c r="J457" s="227">
        <f>+J466</f>
        <v>595</v>
      </c>
      <c r="K457" s="228">
        <f t="shared" ca="1" si="103"/>
        <v>17.5</v>
      </c>
      <c r="L457" s="229">
        <f t="shared" ref="L457:M457" ca="1" si="104">SUM(L458:L459)</f>
        <v>165600</v>
      </c>
      <c r="M457" s="229">
        <f t="shared" si="104"/>
        <v>0</v>
      </c>
      <c r="N457" s="229">
        <f t="shared" ref="N457:N461" ca="1" si="105">+IF(L457&gt;0,M457*100/L457,0)</f>
        <v>0</v>
      </c>
    </row>
    <row r="458" spans="1:14" ht="21.75" customHeight="1" x14ac:dyDescent="0.4">
      <c r="A458" s="42"/>
      <c r="B458" s="43"/>
      <c r="C458" s="43" t="s">
        <v>17</v>
      </c>
      <c r="D458" s="44" t="s">
        <v>18</v>
      </c>
      <c r="E458" s="45"/>
      <c r="F458" s="45"/>
      <c r="G458" s="46" t="s">
        <v>19</v>
      </c>
      <c r="H458" s="47" t="s">
        <v>20</v>
      </c>
      <c r="I458" s="48" t="s">
        <v>21</v>
      </c>
      <c r="J458" s="48"/>
      <c r="K458" s="49"/>
      <c r="L458" s="50">
        <v>0</v>
      </c>
      <c r="M458" s="53">
        <v>0</v>
      </c>
      <c r="N458" s="53">
        <f t="shared" si="105"/>
        <v>0</v>
      </c>
    </row>
    <row r="459" spans="1:14" ht="21.75" customHeight="1" x14ac:dyDescent="0.4">
      <c r="A459" s="42"/>
      <c r="B459" s="43"/>
      <c r="C459" s="43"/>
      <c r="D459" s="51"/>
      <c r="E459" s="45"/>
      <c r="F459" s="45" t="s">
        <v>21</v>
      </c>
      <c r="G459" s="46" t="s">
        <v>22</v>
      </c>
      <c r="H459" s="47" t="s">
        <v>20</v>
      </c>
      <c r="I459" s="48"/>
      <c r="J459" s="48"/>
      <c r="K459" s="49"/>
      <c r="L459" s="50">
        <f t="shared" ref="L459:M459" ca="1" si="106">SUM(L460:L461)</f>
        <v>165600</v>
      </c>
      <c r="M459" s="53">
        <f t="shared" si="106"/>
        <v>0</v>
      </c>
      <c r="N459" s="53">
        <f t="shared" ca="1" si="105"/>
        <v>0</v>
      </c>
    </row>
    <row r="460" spans="1:14" ht="21.75" customHeight="1" x14ac:dyDescent="0.4">
      <c r="A460" s="42"/>
      <c r="B460" s="43"/>
      <c r="C460" s="43"/>
      <c r="D460" s="51"/>
      <c r="E460" s="45"/>
      <c r="F460" s="45"/>
      <c r="G460" s="52" t="s">
        <v>110</v>
      </c>
      <c r="H460" s="47" t="s">
        <v>20</v>
      </c>
      <c r="I460" s="48"/>
      <c r="J460" s="48"/>
      <c r="K460" s="49"/>
      <c r="L460" s="53">
        <f ca="1">IFERROR(__xludf.DUMMYFUNCTION("IMPORTRANGE(""https://docs.google.com/spreadsheets/d/1C3CXT74ZlgGe6_JY_1olB1XN4rF0dxEuIIF-xsYjHgg/edit?usp=sharing"",""งบกองทุน!Eb21"")"),0)</f>
        <v>0</v>
      </c>
      <c r="M460" s="53">
        <v>0</v>
      </c>
      <c r="N460" s="53">
        <f t="shared" ca="1" si="105"/>
        <v>0</v>
      </c>
    </row>
    <row r="461" spans="1:14" ht="21.75" customHeight="1" x14ac:dyDescent="0.4">
      <c r="A461" s="42"/>
      <c r="B461" s="43"/>
      <c r="C461" s="43"/>
      <c r="D461" s="51"/>
      <c r="E461" s="45"/>
      <c r="F461" s="45"/>
      <c r="G461" s="52" t="s">
        <v>111</v>
      </c>
      <c r="H461" s="47" t="s">
        <v>20</v>
      </c>
      <c r="I461" s="48"/>
      <c r="J461" s="48"/>
      <c r="K461" s="49"/>
      <c r="L461" s="53">
        <f ca="1">IFERROR(__xludf.DUMMYFUNCTION("IMPORTRANGE(""https://docs.google.com/spreadsheets/d/1C3CXT74ZlgGe6_JY_1olB1XN4rF0dxEuIIF-xsYjHgg/edit?usp=sharing"",""งบกองทุน!Ec21"")"),165600)</f>
        <v>165600</v>
      </c>
      <c r="M461" s="53">
        <f>SUM(M462:M465)</f>
        <v>0</v>
      </c>
      <c r="N461" s="53">
        <f t="shared" ca="1" si="105"/>
        <v>0</v>
      </c>
    </row>
    <row r="462" spans="1:14" ht="21.75" customHeight="1" x14ac:dyDescent="0.4">
      <c r="A462" s="230"/>
      <c r="B462" s="231"/>
      <c r="C462" s="43"/>
      <c r="D462" s="232"/>
      <c r="E462" s="45"/>
      <c r="F462" s="45"/>
      <c r="G462" s="46" t="s">
        <v>112</v>
      </c>
      <c r="H462" s="47" t="s">
        <v>20</v>
      </c>
      <c r="I462" s="67"/>
      <c r="J462" s="67"/>
      <c r="K462" s="233"/>
      <c r="L462" s="53"/>
      <c r="M462" s="53">
        <v>0</v>
      </c>
      <c r="N462" s="53"/>
    </row>
    <row r="463" spans="1:14" ht="21.75" customHeight="1" x14ac:dyDescent="0.4">
      <c r="A463" s="230"/>
      <c r="B463" s="231"/>
      <c r="C463" s="43"/>
      <c r="D463" s="232"/>
      <c r="E463" s="45"/>
      <c r="F463" s="45"/>
      <c r="G463" s="46" t="s">
        <v>113</v>
      </c>
      <c r="H463" s="47" t="s">
        <v>20</v>
      </c>
      <c r="I463" s="67"/>
      <c r="J463" s="67"/>
      <c r="K463" s="233"/>
      <c r="L463" s="53"/>
      <c r="M463" s="53">
        <v>0</v>
      </c>
      <c r="N463" s="53"/>
    </row>
    <row r="464" spans="1:14" ht="21.75" customHeight="1" x14ac:dyDescent="0.4">
      <c r="A464" s="230"/>
      <c r="B464" s="231"/>
      <c r="C464" s="43"/>
      <c r="D464" s="232"/>
      <c r="E464" s="45"/>
      <c r="F464" s="45"/>
      <c r="G464" s="46" t="s">
        <v>114</v>
      </c>
      <c r="H464" s="47" t="s">
        <v>20</v>
      </c>
      <c r="I464" s="67"/>
      <c r="J464" s="67"/>
      <c r="K464" s="233"/>
      <c r="L464" s="53"/>
      <c r="M464" s="54">
        <v>0</v>
      </c>
      <c r="N464" s="53"/>
    </row>
    <row r="465" spans="1:14" ht="21.75" customHeight="1" x14ac:dyDescent="0.4">
      <c r="A465" s="230"/>
      <c r="B465" s="231"/>
      <c r="C465" s="43"/>
      <c r="D465" s="232"/>
      <c r="E465" s="45"/>
      <c r="F465" s="45"/>
      <c r="G465" s="46" t="s">
        <v>115</v>
      </c>
      <c r="H465" s="47" t="s">
        <v>20</v>
      </c>
      <c r="I465" s="67"/>
      <c r="J465" s="67"/>
      <c r="K465" s="233"/>
      <c r="L465" s="53"/>
      <c r="M465" s="54">
        <v>0</v>
      </c>
      <c r="N465" s="53"/>
    </row>
    <row r="466" spans="1:14" ht="21.75" customHeight="1" x14ac:dyDescent="0.4">
      <c r="A466" s="55"/>
      <c r="B466" s="56"/>
      <c r="C466" s="56"/>
      <c r="D466" s="75"/>
      <c r="E466" s="74" t="s">
        <v>21</v>
      </c>
      <c r="F466" s="260" t="s">
        <v>189</v>
      </c>
      <c r="G466" s="240"/>
      <c r="H466" s="314" t="s">
        <v>16</v>
      </c>
      <c r="I466" s="265">
        <f ca="1">IFERROR(__xludf.DUMMYFUNCTION("IMPORTRANGE(""https://docs.google.com/spreadsheets/d/1C3CXT74ZlgGe6_JY_1olB1XN4rF0dxEuIIF-xsYjHgg/edit?usp=sharing"",""งบกองทุน!Ed21"")"),3400)</f>
        <v>3400</v>
      </c>
      <c r="J466" s="265">
        <f>+J469+J470+J471+J472</f>
        <v>595</v>
      </c>
      <c r="K466" s="80">
        <f ca="1">IF(I466&gt;0,J466*100/I466,0)</f>
        <v>17.5</v>
      </c>
      <c r="L466" s="61"/>
      <c r="M466" s="61"/>
      <c r="N466" s="61"/>
    </row>
    <row r="467" spans="1:14" ht="21.75" customHeight="1" x14ac:dyDescent="0.4">
      <c r="A467" s="55"/>
      <c r="B467" s="56"/>
      <c r="C467" s="56"/>
      <c r="D467" s="75"/>
      <c r="E467" s="75"/>
      <c r="F467" s="74" t="s">
        <v>190</v>
      </c>
      <c r="G467" s="76"/>
      <c r="H467" s="315"/>
      <c r="I467" s="48"/>
      <c r="J467" s="48"/>
      <c r="K467" s="49"/>
      <c r="L467" s="61"/>
      <c r="M467" s="61"/>
      <c r="N467" s="61"/>
    </row>
    <row r="468" spans="1:14" ht="21.75" customHeight="1" x14ac:dyDescent="0.4">
      <c r="A468" s="55"/>
      <c r="B468" s="56"/>
      <c r="C468" s="56"/>
      <c r="D468" s="75"/>
      <c r="E468" s="74" t="s">
        <v>21</v>
      </c>
      <c r="F468" s="74" t="s">
        <v>191</v>
      </c>
      <c r="G468" s="76"/>
      <c r="H468" s="315" t="s">
        <v>57</v>
      </c>
      <c r="I468" s="48">
        <v>0</v>
      </c>
      <c r="J468" s="68">
        <v>0</v>
      </c>
      <c r="K468" s="49">
        <f t="shared" ref="K468:K472" si="107">IF(I468&gt;0,J468*100/I468,0)</f>
        <v>0</v>
      </c>
      <c r="L468" s="61"/>
      <c r="M468" s="61"/>
      <c r="N468" s="61"/>
    </row>
    <row r="469" spans="1:14" ht="21.75" customHeight="1" x14ac:dyDescent="0.4">
      <c r="A469" s="55"/>
      <c r="B469" s="56"/>
      <c r="C469" s="56"/>
      <c r="D469" s="75"/>
      <c r="E469" s="75"/>
      <c r="F469" s="74" t="s">
        <v>192</v>
      </c>
      <c r="G469" s="76"/>
      <c r="H469" s="315" t="s">
        <v>16</v>
      </c>
      <c r="I469" s="48">
        <v>0</v>
      </c>
      <c r="J469" s="68">
        <v>0</v>
      </c>
      <c r="K469" s="49">
        <f t="shared" si="107"/>
        <v>0</v>
      </c>
      <c r="L469" s="61"/>
      <c r="M469" s="61"/>
      <c r="N469" s="61"/>
    </row>
    <row r="470" spans="1:14" ht="21.75" customHeight="1" x14ac:dyDescent="0.4">
      <c r="A470" s="55"/>
      <c r="B470" s="56"/>
      <c r="C470" s="56"/>
      <c r="D470" s="75"/>
      <c r="E470" s="75"/>
      <c r="F470" s="74" t="s">
        <v>193</v>
      </c>
      <c r="G470" s="76"/>
      <c r="H470" s="315" t="s">
        <v>16</v>
      </c>
      <c r="I470" s="48">
        <v>0</v>
      </c>
      <c r="J470" s="68">
        <v>591</v>
      </c>
      <c r="K470" s="49">
        <f t="shared" si="107"/>
        <v>0</v>
      </c>
      <c r="L470" s="61"/>
      <c r="M470" s="61"/>
      <c r="N470" s="61"/>
    </row>
    <row r="471" spans="1:14" ht="21.75" customHeight="1" x14ac:dyDescent="0.4">
      <c r="A471" s="55"/>
      <c r="B471" s="56"/>
      <c r="C471" s="56"/>
      <c r="D471" s="75"/>
      <c r="E471" s="75"/>
      <c r="F471" s="74" t="s">
        <v>194</v>
      </c>
      <c r="G471" s="266"/>
      <c r="H471" s="315" t="s">
        <v>16</v>
      </c>
      <c r="I471" s="48">
        <v>0</v>
      </c>
      <c r="J471" s="68">
        <v>4</v>
      </c>
      <c r="K471" s="49">
        <f t="shared" si="107"/>
        <v>0</v>
      </c>
      <c r="L471" s="61"/>
      <c r="M471" s="61"/>
      <c r="N471" s="61"/>
    </row>
    <row r="472" spans="1:14" ht="21.75" customHeight="1" x14ac:dyDescent="0.4">
      <c r="A472" s="55"/>
      <c r="B472" s="56"/>
      <c r="C472" s="56"/>
      <c r="D472" s="75"/>
      <c r="E472" s="75"/>
      <c r="F472" s="74" t="s">
        <v>195</v>
      </c>
      <c r="G472" s="266"/>
      <c r="H472" s="315" t="s">
        <v>16</v>
      </c>
      <c r="I472" s="48">
        <v>0</v>
      </c>
      <c r="J472" s="68">
        <v>0</v>
      </c>
      <c r="K472" s="49">
        <f t="shared" si="107"/>
        <v>0</v>
      </c>
      <c r="L472" s="61"/>
      <c r="M472" s="61"/>
      <c r="N472" s="61"/>
    </row>
    <row r="473" spans="1:14" ht="21.75" customHeight="1" x14ac:dyDescent="0.4">
      <c r="A473" s="222"/>
      <c r="B473" s="223">
        <v>9</v>
      </c>
      <c r="C473" s="224" t="s">
        <v>196</v>
      </c>
      <c r="D473" s="224"/>
      <c r="E473" s="224"/>
      <c r="F473" s="224"/>
      <c r="G473" s="225"/>
      <c r="H473" s="226" t="s">
        <v>16</v>
      </c>
      <c r="I473" s="227">
        <f ca="1">I484</f>
        <v>176</v>
      </c>
      <c r="J473" s="227">
        <f ca="1">J488</f>
        <v>0</v>
      </c>
      <c r="K473" s="228">
        <f ca="1">IF(I473&gt;0,J473*100/I473,0)</f>
        <v>0</v>
      </c>
      <c r="L473" s="229">
        <f ca="1">SUM(L474,L475)</f>
        <v>359076</v>
      </c>
      <c r="M473" s="229">
        <f>SUM(M474:M475)</f>
        <v>0</v>
      </c>
      <c r="N473" s="229">
        <f t="shared" ref="N473:N477" ca="1" si="108">+IF(L473&gt;0,M473*100/L473,0)</f>
        <v>0</v>
      </c>
    </row>
    <row r="474" spans="1:14" ht="21.75" customHeight="1" x14ac:dyDescent="0.4">
      <c r="A474" s="42"/>
      <c r="B474" s="43"/>
      <c r="C474" s="43" t="s">
        <v>17</v>
      </c>
      <c r="D474" s="44" t="s">
        <v>18</v>
      </c>
      <c r="E474" s="45"/>
      <c r="F474" s="45"/>
      <c r="G474" s="46" t="s">
        <v>19</v>
      </c>
      <c r="H474" s="47" t="s">
        <v>20</v>
      </c>
      <c r="I474" s="48" t="s">
        <v>21</v>
      </c>
      <c r="J474" s="48"/>
      <c r="K474" s="49"/>
      <c r="L474" s="50">
        <v>0</v>
      </c>
      <c r="M474" s="53">
        <v>0</v>
      </c>
      <c r="N474" s="53">
        <f t="shared" si="108"/>
        <v>0</v>
      </c>
    </row>
    <row r="475" spans="1:14" ht="21.75" customHeight="1" x14ac:dyDescent="0.4">
      <c r="A475" s="42"/>
      <c r="B475" s="43"/>
      <c r="C475" s="43"/>
      <c r="D475" s="51"/>
      <c r="E475" s="45"/>
      <c r="F475" s="45" t="s">
        <v>21</v>
      </c>
      <c r="G475" s="46" t="s">
        <v>22</v>
      </c>
      <c r="H475" s="47" t="s">
        <v>20</v>
      </c>
      <c r="I475" s="48"/>
      <c r="J475" s="48"/>
      <c r="K475" s="49"/>
      <c r="L475" s="50">
        <f t="shared" ref="L475:M475" ca="1" si="109">SUM(L476:L477)</f>
        <v>359076</v>
      </c>
      <c r="M475" s="53">
        <f t="shared" si="109"/>
        <v>0</v>
      </c>
      <c r="N475" s="53">
        <f t="shared" ca="1" si="108"/>
        <v>0</v>
      </c>
    </row>
    <row r="476" spans="1:14" ht="21.75" customHeight="1" x14ac:dyDescent="0.4">
      <c r="A476" s="42"/>
      <c r="B476" s="43"/>
      <c r="C476" s="43"/>
      <c r="D476" s="51"/>
      <c r="E476" s="45"/>
      <c r="F476" s="45"/>
      <c r="G476" s="52" t="s">
        <v>110</v>
      </c>
      <c r="H476" s="47" t="s">
        <v>20</v>
      </c>
      <c r="I476" s="48"/>
      <c r="J476" s="48"/>
      <c r="K476" s="49"/>
      <c r="L476" s="53">
        <f ca="1">IFERROR(__xludf.DUMMYFUNCTION("IMPORTRANGE(""https://docs.google.com/spreadsheets/d/1C3CXT74ZlgGe6_JY_1olB1XN4rF0dxEuIIF-xsYjHgg/edit?usp=sharing"",""งบกองทุน!Ek21"")"),0)</f>
        <v>0</v>
      </c>
      <c r="M476" s="53">
        <v>0</v>
      </c>
      <c r="N476" s="53">
        <f t="shared" ca="1" si="108"/>
        <v>0</v>
      </c>
    </row>
    <row r="477" spans="1:14" ht="21.75" customHeight="1" x14ac:dyDescent="0.4">
      <c r="A477" s="42"/>
      <c r="B477" s="43"/>
      <c r="C477" s="43"/>
      <c r="D477" s="51"/>
      <c r="E477" s="45"/>
      <c r="F477" s="45"/>
      <c r="G477" s="52" t="s">
        <v>111</v>
      </c>
      <c r="H477" s="47" t="s">
        <v>20</v>
      </c>
      <c r="I477" s="48"/>
      <c r="J477" s="48"/>
      <c r="K477" s="49"/>
      <c r="L477" s="53">
        <f ca="1">IFERROR(__xludf.DUMMYFUNCTION("IMPORTRANGE(""https://docs.google.com/spreadsheets/d/1C3CXT74ZlgGe6_JY_1olB1XN4rF0dxEuIIF-xsYjHgg/edit?usp=sharing"",""งบกองทุน!El21"")"),359076)</f>
        <v>359076</v>
      </c>
      <c r="M477" s="53">
        <f>SUM(M478:M481)</f>
        <v>0</v>
      </c>
      <c r="N477" s="53">
        <f t="shared" ca="1" si="108"/>
        <v>0</v>
      </c>
    </row>
    <row r="478" spans="1:14" ht="21.75" customHeight="1" x14ac:dyDescent="0.4">
      <c r="A478" s="230"/>
      <c r="B478" s="231"/>
      <c r="C478" s="43"/>
      <c r="D478" s="232"/>
      <c r="E478" s="45"/>
      <c r="F478" s="45"/>
      <c r="G478" s="46" t="s">
        <v>112</v>
      </c>
      <c r="H478" s="47" t="s">
        <v>20</v>
      </c>
      <c r="I478" s="67"/>
      <c r="J478" s="67"/>
      <c r="K478" s="233"/>
      <c r="L478" s="53"/>
      <c r="M478" s="53">
        <v>0</v>
      </c>
      <c r="N478" s="53"/>
    </row>
    <row r="479" spans="1:14" ht="21.75" customHeight="1" x14ac:dyDescent="0.4">
      <c r="A479" s="230"/>
      <c r="B479" s="231"/>
      <c r="C479" s="43"/>
      <c r="D479" s="232"/>
      <c r="E479" s="45"/>
      <c r="F479" s="45"/>
      <c r="G479" s="46" t="s">
        <v>113</v>
      </c>
      <c r="H479" s="47" t="s">
        <v>20</v>
      </c>
      <c r="I479" s="67"/>
      <c r="J479" s="67"/>
      <c r="K479" s="233"/>
      <c r="L479" s="53"/>
      <c r="M479" s="53">
        <v>0</v>
      </c>
      <c r="N479" s="53"/>
    </row>
    <row r="480" spans="1:14" ht="21.75" customHeight="1" x14ac:dyDescent="0.4">
      <c r="A480" s="230"/>
      <c r="B480" s="231"/>
      <c r="C480" s="43"/>
      <c r="D480" s="232"/>
      <c r="E480" s="45"/>
      <c r="F480" s="45"/>
      <c r="G480" s="46" t="s">
        <v>114</v>
      </c>
      <c r="H480" s="47" t="s">
        <v>20</v>
      </c>
      <c r="I480" s="67"/>
      <c r="J480" s="67"/>
      <c r="K480" s="233"/>
      <c r="L480" s="53"/>
      <c r="M480" s="54">
        <v>0</v>
      </c>
      <c r="N480" s="53"/>
    </row>
    <row r="481" spans="1:14" ht="21.75" customHeight="1" x14ac:dyDescent="0.4">
      <c r="A481" s="230"/>
      <c r="B481" s="231"/>
      <c r="C481" s="43"/>
      <c r="D481" s="232"/>
      <c r="E481" s="45"/>
      <c r="F481" s="45"/>
      <c r="G481" s="46" t="s">
        <v>115</v>
      </c>
      <c r="H481" s="47" t="s">
        <v>20</v>
      </c>
      <c r="I481" s="67"/>
      <c r="J481" s="67"/>
      <c r="K481" s="233"/>
      <c r="L481" s="53"/>
      <c r="M481" s="54">
        <v>0</v>
      </c>
      <c r="N481" s="53"/>
    </row>
    <row r="482" spans="1:14" ht="21.75" customHeight="1" x14ac:dyDescent="0.4">
      <c r="A482" s="316"/>
      <c r="B482" s="51"/>
      <c r="C482" s="43"/>
      <c r="D482" s="155"/>
      <c r="E482" s="74" t="s">
        <v>197</v>
      </c>
      <c r="F482" s="75"/>
      <c r="G482" s="76"/>
      <c r="H482" s="60" t="s">
        <v>15</v>
      </c>
      <c r="I482" s="200">
        <f ca="1">IFERROR(__xludf.DUMMYFUNCTION("IMPORTRANGE(""https://docs.google.com/spreadsheets/d/1C3CXT74ZlgGe6_JY_1olB1XN4rF0dxEuIIF-xsYjHgg/edit?usp=sharing"",""งบกองทุน!Em21"")"),176)</f>
        <v>176</v>
      </c>
      <c r="J482" s="67">
        <f ca="1">IFERROR(__xludf.DUMMYFUNCTION("IMPORTRANGE(""https://docs.google.com/spreadsheets/d/1AGHcLOeeYFL3K4b9R1dSzyJy00PE_ra89DNTVfnxSWM/edit?usp=sharing"",""รวมที่ชุมชน!G10"")"),6)</f>
        <v>6</v>
      </c>
      <c r="K482" s="49">
        <f t="shared" ref="K482:K489" ca="1" si="110">IF(I482&gt;0,J482*100/I482,0)</f>
        <v>3.4090909090909092</v>
      </c>
      <c r="L482" s="61"/>
      <c r="M482" s="61"/>
      <c r="N482" s="61"/>
    </row>
    <row r="483" spans="1:14" ht="21.75" customHeight="1" x14ac:dyDescent="0.4">
      <c r="A483" s="316"/>
      <c r="B483" s="51"/>
      <c r="C483" s="43"/>
      <c r="D483" s="155"/>
      <c r="E483" s="75"/>
      <c r="F483" s="75"/>
      <c r="G483" s="76"/>
      <c r="H483" s="60" t="s">
        <v>103</v>
      </c>
      <c r="I483" s="200">
        <f ca="1">IFERROR(__xludf.DUMMYFUNCTION("IMPORTRANGE(""https://docs.google.com/spreadsheets/d/1C3CXT74ZlgGe6_JY_1olB1XN4rF0dxEuIIF-xsYjHgg/edit?usp=sharing"",""งบกองทุน!En21"")"),0)</f>
        <v>0</v>
      </c>
      <c r="J483" s="67">
        <f ca="1">IFERROR(__xludf.DUMMYFUNCTION("IMPORTRANGE(""https://docs.google.com/spreadsheets/d/1AGHcLOeeYFL3K4b9R1dSzyJy00PE_ra89DNTVfnxSWM/edit?usp=sharing"",""รวมที่ชุมชน!H10"")"),3.22)</f>
        <v>3.22</v>
      </c>
      <c r="K483" s="49">
        <f t="shared" ca="1" si="110"/>
        <v>0</v>
      </c>
      <c r="L483" s="61"/>
      <c r="M483" s="61"/>
      <c r="N483" s="61"/>
    </row>
    <row r="484" spans="1:14" ht="21.75" customHeight="1" x14ac:dyDescent="0.4">
      <c r="A484" s="316"/>
      <c r="B484" s="51"/>
      <c r="C484" s="43"/>
      <c r="D484" s="155"/>
      <c r="E484" s="74" t="s">
        <v>104</v>
      </c>
      <c r="F484" s="75"/>
      <c r="G484" s="76"/>
      <c r="H484" s="60" t="s">
        <v>16</v>
      </c>
      <c r="I484" s="200">
        <f ca="1">IFERROR(__xludf.DUMMYFUNCTION("IMPORTRANGE(""https://docs.google.com/spreadsheets/d/1C3CXT74ZlgGe6_JY_1olB1XN4rF0dxEuIIF-xsYjHgg/edit?usp=sharing"",""งบกองทุน!Eo21"")"),176)</f>
        <v>176</v>
      </c>
      <c r="J484" s="67">
        <f ca="1">IFERROR(__xludf.DUMMYFUNCTION("IMPORTRANGE(""https://docs.google.com/spreadsheets/d/1AGHcLOeeYFL3K4b9R1dSzyJy00PE_ra89DNTVfnxSWM/edit?usp=sharing"",""รวมที่ชุมชน!J10"")"),0)</f>
        <v>0</v>
      </c>
      <c r="K484" s="49">
        <f t="shared" ca="1" si="110"/>
        <v>0</v>
      </c>
      <c r="L484" s="61"/>
      <c r="M484" s="61"/>
      <c r="N484" s="61"/>
    </row>
    <row r="485" spans="1:14" ht="21.75" customHeight="1" x14ac:dyDescent="0.4">
      <c r="A485" s="316"/>
      <c r="B485" s="51"/>
      <c r="C485" s="43"/>
      <c r="D485" s="155"/>
      <c r="E485" s="75"/>
      <c r="F485" s="75"/>
      <c r="G485" s="76"/>
      <c r="H485" s="60" t="s">
        <v>103</v>
      </c>
      <c r="I485" s="200">
        <f ca="1">IFERROR(__xludf.DUMMYFUNCTION("IMPORTRANGE(""https://docs.google.com/spreadsheets/d/1C3CXT74ZlgGe6_JY_1olB1XN4rF0dxEuIIF-xsYjHgg/edit?usp=sharing"",""งบกองทุน!Ep21"")"),0)</f>
        <v>0</v>
      </c>
      <c r="J485" s="67">
        <f ca="1">IFERROR(__xludf.DUMMYFUNCTION("IMPORTRANGE(""https://docs.google.com/spreadsheets/d/1AGHcLOeeYFL3K4b9R1dSzyJy00PE_ra89DNTVfnxSWM/edit?usp=sharing"",""รวมที่ชุมชน!L10"")"),0)</f>
        <v>0</v>
      </c>
      <c r="K485" s="49">
        <f t="shared" ca="1" si="110"/>
        <v>0</v>
      </c>
      <c r="L485" s="61"/>
      <c r="M485" s="61"/>
      <c r="N485" s="61"/>
    </row>
    <row r="486" spans="1:14" ht="21.75" customHeight="1" x14ac:dyDescent="0.4">
      <c r="A486" s="316"/>
      <c r="B486" s="51"/>
      <c r="C486" s="43"/>
      <c r="D486" s="155"/>
      <c r="E486" s="74" t="s">
        <v>105</v>
      </c>
      <c r="F486" s="75"/>
      <c r="G486" s="76"/>
      <c r="H486" s="60" t="s">
        <v>16</v>
      </c>
      <c r="I486" s="200">
        <f ca="1">IFERROR(__xludf.DUMMYFUNCTION("IMPORTRANGE(""https://docs.google.com/spreadsheets/d/1C3CXT74ZlgGe6_JY_1olB1XN4rF0dxEuIIF-xsYjHgg/edit?usp=sharing"",""งบกองทุน!Eq21"")"),176)</f>
        <v>176</v>
      </c>
      <c r="J486" s="67">
        <f ca="1">IFERROR(__xludf.DUMMYFUNCTION("IMPORTRANGE(""https://docs.google.com/spreadsheets/d/1AGHcLOeeYFL3K4b9R1dSzyJy00PE_ra89DNTVfnxSWM/edit?usp=sharing"",""รวมที่ชุมชน!S10"")"),0)</f>
        <v>0</v>
      </c>
      <c r="K486" s="49">
        <f t="shared" ca="1" si="110"/>
        <v>0</v>
      </c>
      <c r="L486" s="61"/>
      <c r="M486" s="61"/>
      <c r="N486" s="61"/>
    </row>
    <row r="487" spans="1:14" ht="21.75" customHeight="1" x14ac:dyDescent="0.4">
      <c r="A487" s="316"/>
      <c r="B487" s="51"/>
      <c r="C487" s="43"/>
      <c r="D487" s="155"/>
      <c r="E487" s="75"/>
      <c r="F487" s="75"/>
      <c r="G487" s="76"/>
      <c r="H487" s="60" t="s">
        <v>103</v>
      </c>
      <c r="I487" s="200">
        <f ca="1">IFERROR(__xludf.DUMMYFUNCTION("IMPORTRANGE(""https://docs.google.com/spreadsheets/d/1C3CXT74ZlgGe6_JY_1olB1XN4rF0dxEuIIF-xsYjHgg/edit?usp=sharing"",""งบกองทุน!Er21"")"),0)</f>
        <v>0</v>
      </c>
      <c r="J487" s="67">
        <f ca="1">IFERROR(__xludf.DUMMYFUNCTION("IMPORTRANGE(""https://docs.google.com/spreadsheets/d/1AGHcLOeeYFL3K4b9R1dSzyJy00PE_ra89DNTVfnxSWM/edit?usp=sharing"",""รวมที่ชุมชน!U10"")"),0)</f>
        <v>0</v>
      </c>
      <c r="K487" s="49">
        <f t="shared" ca="1" si="110"/>
        <v>0</v>
      </c>
      <c r="L487" s="61"/>
      <c r="M487" s="61"/>
      <c r="N487" s="61"/>
    </row>
    <row r="488" spans="1:14" ht="21.75" customHeight="1" x14ac:dyDescent="0.4">
      <c r="A488" s="316"/>
      <c r="B488" s="51"/>
      <c r="C488" s="43"/>
      <c r="D488" s="155"/>
      <c r="E488" s="74" t="s">
        <v>106</v>
      </c>
      <c r="F488" s="75"/>
      <c r="G488" s="76"/>
      <c r="H488" s="60" t="s">
        <v>16</v>
      </c>
      <c r="I488" s="200">
        <f ca="1">IFERROR(__xludf.DUMMYFUNCTION("IMPORTRANGE(""https://docs.google.com/spreadsheets/d/1C3CXT74ZlgGe6_JY_1olB1XN4rF0dxEuIIF-xsYjHgg/edit?usp=sharing"",""งบกองทุน!Es21"")"),176)</f>
        <v>176</v>
      </c>
      <c r="J488" s="67">
        <f ca="1">IFERROR(__xludf.DUMMYFUNCTION("IMPORTRANGE(""https://docs.google.com/spreadsheets/d/1AGHcLOeeYFL3K4b9R1dSzyJy00PE_ra89DNTVfnxSWM/edit?usp=sharing"",""รวมที่ชุมชน!V10"")"),0)</f>
        <v>0</v>
      </c>
      <c r="K488" s="49">
        <f t="shared" ca="1" si="110"/>
        <v>0</v>
      </c>
      <c r="L488" s="61"/>
      <c r="M488" s="61"/>
      <c r="N488" s="61"/>
    </row>
    <row r="489" spans="1:14" ht="21.75" customHeight="1" x14ac:dyDescent="0.4">
      <c r="A489" s="317"/>
      <c r="B489" s="318"/>
      <c r="C489" s="319"/>
      <c r="D489" s="320"/>
      <c r="E489" s="295"/>
      <c r="F489" s="295"/>
      <c r="G489" s="296"/>
      <c r="H489" s="321" t="s">
        <v>103</v>
      </c>
      <c r="I489" s="322">
        <f ca="1">IFERROR(__xludf.DUMMYFUNCTION("IMPORTRANGE(""https://docs.google.com/spreadsheets/d/1C3CXT74ZlgGe6_JY_1olB1XN4rF0dxEuIIF-xsYjHgg/edit?usp=sharing"",""งบกองทุน!Et21"")"),0)</f>
        <v>0</v>
      </c>
      <c r="J489" s="112">
        <f ca="1">IFERROR(__xludf.DUMMYFUNCTION("IMPORTRANGE(""https://docs.google.com/spreadsheets/d/1AGHcLOeeYFL3K4b9R1dSzyJy00PE_ra89DNTVfnxSWM/edit?usp=sharing"",""รวมที่ชุมชน!X10"")"),0)</f>
        <v>0</v>
      </c>
      <c r="K489" s="114">
        <f t="shared" ca="1" si="110"/>
        <v>0</v>
      </c>
      <c r="L489" s="300"/>
      <c r="M489" s="300"/>
      <c r="N489" s="300"/>
    </row>
    <row r="490" spans="1:14" ht="21.75" customHeight="1" x14ac:dyDescent="0.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11">I504</f>
        <v>220</v>
      </c>
      <c r="J490" s="375">
        <f t="shared" si="111"/>
        <v>0</v>
      </c>
      <c r="K490" s="301">
        <f ca="1">IF(I490&gt;0,J490*100/I490,0)</f>
        <v>0</v>
      </c>
      <c r="L490" s="259">
        <f ca="1">SUM(L491,L492)</f>
        <v>15500</v>
      </c>
      <c r="M490" s="259">
        <f>SUM(M491:M492)</f>
        <v>0</v>
      </c>
      <c r="N490" s="259">
        <f t="shared" ref="N490:N494" ca="1" si="112">+IF(L490&gt;0,M490*100/L490,0)</f>
        <v>0</v>
      </c>
    </row>
    <row r="491" spans="1:14" ht="21.75" customHeight="1" x14ac:dyDescent="0.4">
      <c r="A491" s="42"/>
      <c r="B491" s="43"/>
      <c r="C491" s="43" t="s">
        <v>17</v>
      </c>
      <c r="D491" s="44" t="s">
        <v>18</v>
      </c>
      <c r="E491" s="45"/>
      <c r="F491" s="45"/>
      <c r="G491" s="46" t="s">
        <v>19</v>
      </c>
      <c r="H491" s="47" t="s">
        <v>20</v>
      </c>
      <c r="I491" s="48" t="s">
        <v>21</v>
      </c>
      <c r="J491" s="48"/>
      <c r="K491" s="49"/>
      <c r="L491" s="50">
        <v>0</v>
      </c>
      <c r="M491" s="53">
        <v>0</v>
      </c>
      <c r="N491" s="53">
        <f t="shared" si="112"/>
        <v>0</v>
      </c>
    </row>
    <row r="492" spans="1:14" ht="21.75" customHeight="1" x14ac:dyDescent="0.4">
      <c r="A492" s="42"/>
      <c r="B492" s="43"/>
      <c r="C492" s="43"/>
      <c r="D492" s="51"/>
      <c r="E492" s="45"/>
      <c r="F492" s="45" t="s">
        <v>21</v>
      </c>
      <c r="G492" s="46" t="s">
        <v>22</v>
      </c>
      <c r="H492" s="47" t="s">
        <v>20</v>
      </c>
      <c r="I492" s="48"/>
      <c r="J492" s="48"/>
      <c r="K492" s="49"/>
      <c r="L492" s="50">
        <f t="shared" ref="L492:M492" ca="1" si="113">SUM(L493:L494)</f>
        <v>15500</v>
      </c>
      <c r="M492" s="53">
        <f t="shared" si="113"/>
        <v>0</v>
      </c>
      <c r="N492" s="53">
        <f t="shared" ca="1" si="112"/>
        <v>0</v>
      </c>
    </row>
    <row r="493" spans="1:14" ht="21.75" customHeight="1" x14ac:dyDescent="0.4">
      <c r="A493" s="42"/>
      <c r="B493" s="43"/>
      <c r="C493" s="43"/>
      <c r="D493" s="51"/>
      <c r="E493" s="45"/>
      <c r="F493" s="45"/>
      <c r="G493" s="52" t="s">
        <v>110</v>
      </c>
      <c r="H493" s="47" t="s">
        <v>20</v>
      </c>
      <c r="I493" s="48"/>
      <c r="J493" s="48"/>
      <c r="K493" s="49"/>
      <c r="L493" s="53">
        <f ca="1">IFERROR(__xludf.DUMMYFUNCTION("IMPORTRANGE(""https://docs.google.com/spreadsheets/d/1C3CXT74ZlgGe6_JY_1olB1XN4rF0dxEuIIF-xsYjHgg/edit?usp=sharing"",""งบกองทุน!Ev21"")"),0)</f>
        <v>0</v>
      </c>
      <c r="M493" s="53">
        <v>0</v>
      </c>
      <c r="N493" s="53">
        <f t="shared" ca="1" si="112"/>
        <v>0</v>
      </c>
    </row>
    <row r="494" spans="1:14" ht="21.75" customHeight="1" x14ac:dyDescent="0.4">
      <c r="A494" s="42"/>
      <c r="B494" s="43"/>
      <c r="C494" s="43"/>
      <c r="D494" s="51"/>
      <c r="E494" s="45"/>
      <c r="F494" s="45"/>
      <c r="G494" s="52" t="s">
        <v>111</v>
      </c>
      <c r="H494" s="47" t="s">
        <v>20</v>
      </c>
      <c r="I494" s="48"/>
      <c r="J494" s="48"/>
      <c r="K494" s="49"/>
      <c r="L494" s="53">
        <f ca="1">IFERROR(__xludf.DUMMYFUNCTION("IMPORTRANGE(""https://docs.google.com/spreadsheets/d/1C3CXT74ZlgGe6_JY_1olB1XN4rF0dxEuIIF-xsYjHgg/edit?usp=sharing"",""งบกองทุน!Ew21"")"),15500)</f>
        <v>15500</v>
      </c>
      <c r="M494" s="53">
        <f>SUM(M495:M498)</f>
        <v>0</v>
      </c>
      <c r="N494" s="53">
        <f t="shared" ca="1" si="112"/>
        <v>0</v>
      </c>
    </row>
    <row r="495" spans="1:14" ht="21.75" customHeight="1" x14ac:dyDescent="0.4">
      <c r="A495" s="230"/>
      <c r="B495" s="231"/>
      <c r="C495" s="43"/>
      <c r="D495" s="232"/>
      <c r="E495" s="45"/>
      <c r="F495" s="45"/>
      <c r="G495" s="46" t="s">
        <v>112</v>
      </c>
      <c r="H495" s="47" t="s">
        <v>20</v>
      </c>
      <c r="I495" s="67"/>
      <c r="J495" s="67"/>
      <c r="K495" s="233"/>
      <c r="L495" s="53"/>
      <c r="M495" s="53">
        <v>0</v>
      </c>
      <c r="N495" s="53"/>
    </row>
    <row r="496" spans="1:14" ht="21.75" customHeight="1" x14ac:dyDescent="0.4">
      <c r="A496" s="230"/>
      <c r="B496" s="231"/>
      <c r="C496" s="43"/>
      <c r="D496" s="232"/>
      <c r="E496" s="45"/>
      <c r="F496" s="45"/>
      <c r="G496" s="46" t="s">
        <v>113</v>
      </c>
      <c r="H496" s="47" t="s">
        <v>20</v>
      </c>
      <c r="I496" s="67"/>
      <c r="J496" s="67"/>
      <c r="K496" s="233"/>
      <c r="L496" s="53"/>
      <c r="M496" s="53">
        <v>0</v>
      </c>
      <c r="N496" s="53"/>
    </row>
    <row r="497" spans="1:14" ht="21.75" customHeight="1" x14ac:dyDescent="0.4">
      <c r="A497" s="230"/>
      <c r="B497" s="231"/>
      <c r="C497" s="43"/>
      <c r="D497" s="232"/>
      <c r="E497" s="45"/>
      <c r="F497" s="45"/>
      <c r="G497" s="46" t="s">
        <v>114</v>
      </c>
      <c r="H497" s="47" t="s">
        <v>20</v>
      </c>
      <c r="I497" s="67"/>
      <c r="J497" s="67"/>
      <c r="K497" s="233"/>
      <c r="L497" s="53"/>
      <c r="M497" s="54">
        <v>0</v>
      </c>
      <c r="N497" s="53"/>
    </row>
    <row r="498" spans="1:14" ht="21.75" customHeight="1" x14ac:dyDescent="0.4">
      <c r="A498" s="230"/>
      <c r="B498" s="231"/>
      <c r="C498" s="43"/>
      <c r="D498" s="232"/>
      <c r="E498" s="45"/>
      <c r="F498" s="45"/>
      <c r="G498" s="46" t="s">
        <v>115</v>
      </c>
      <c r="H498" s="47" t="s">
        <v>20</v>
      </c>
      <c r="I498" s="67"/>
      <c r="J498" s="67"/>
      <c r="K498" s="233"/>
      <c r="L498" s="53"/>
      <c r="M498" s="54">
        <v>0</v>
      </c>
      <c r="N498" s="53"/>
    </row>
    <row r="499" spans="1:14" ht="21.75" customHeight="1" x14ac:dyDescent="0.4">
      <c r="A499" s="55"/>
      <c r="B499" s="56"/>
      <c r="C499" s="43" t="s">
        <v>17</v>
      </c>
      <c r="D499" s="57" t="s">
        <v>25</v>
      </c>
      <c r="E499" s="58"/>
      <c r="F499" s="58"/>
      <c r="G499" s="59"/>
      <c r="H499" s="60"/>
      <c r="I499" s="48"/>
      <c r="J499" s="48"/>
      <c r="K499" s="49"/>
      <c r="L499" s="61"/>
      <c r="M499" s="61"/>
      <c r="N499" s="61"/>
    </row>
    <row r="500" spans="1:14" ht="21.75" customHeight="1" x14ac:dyDescent="0.4">
      <c r="A500" s="55"/>
      <c r="B500" s="56"/>
      <c r="C500" s="56"/>
      <c r="D500" s="62">
        <v>1</v>
      </c>
      <c r="E500" s="63" t="s">
        <v>26</v>
      </c>
      <c r="F500" s="64"/>
      <c r="G500" s="65"/>
      <c r="H500" s="66"/>
      <c r="I500" s="67"/>
      <c r="J500" s="68">
        <v>0</v>
      </c>
      <c r="K500" s="49"/>
      <c r="L500" s="61"/>
      <c r="M500" s="61"/>
      <c r="N500" s="61"/>
    </row>
    <row r="501" spans="1:14" ht="21.75" customHeight="1" x14ac:dyDescent="0.4">
      <c r="A501" s="55"/>
      <c r="B501" s="56"/>
      <c r="C501" s="56"/>
      <c r="D501" s="69">
        <v>2</v>
      </c>
      <c r="E501" s="70" t="s">
        <v>27</v>
      </c>
      <c r="F501" s="71"/>
      <c r="G501" s="72"/>
      <c r="H501" s="66"/>
      <c r="I501" s="67"/>
      <c r="J501" s="68">
        <v>1</v>
      </c>
      <c r="K501" s="49"/>
      <c r="L501" s="61" t="s">
        <v>21</v>
      </c>
      <c r="M501" s="61" t="s">
        <v>21</v>
      </c>
      <c r="N501" s="61"/>
    </row>
    <row r="502" spans="1:14" ht="21.75" hidden="1" customHeight="1" x14ac:dyDescent="0.4">
      <c r="A502" s="376"/>
      <c r="B502" s="377"/>
      <c r="C502" s="377"/>
      <c r="D502" s="378"/>
      <c r="E502" s="379" t="s">
        <v>28</v>
      </c>
      <c r="F502" s="380"/>
      <c r="G502" s="381"/>
      <c r="H502" s="330"/>
      <c r="I502" s="331"/>
      <c r="J502" s="331">
        <v>0</v>
      </c>
      <c r="K502" s="382"/>
      <c r="L502" s="383"/>
      <c r="M502" s="383"/>
      <c r="N502" s="383"/>
    </row>
    <row r="503" spans="1:14" ht="21.75" hidden="1" customHeight="1" x14ac:dyDescent="0.4">
      <c r="A503" s="376"/>
      <c r="B503" s="377"/>
      <c r="C503" s="377"/>
      <c r="D503" s="378"/>
      <c r="E503" s="379" t="s">
        <v>29</v>
      </c>
      <c r="F503" s="380"/>
      <c r="G503" s="381"/>
      <c r="H503" s="330"/>
      <c r="I503" s="331"/>
      <c r="J503" s="331">
        <v>0</v>
      </c>
      <c r="K503" s="382"/>
      <c r="L503" s="383"/>
      <c r="M503" s="383"/>
      <c r="N503" s="383"/>
    </row>
    <row r="504" spans="1:14" ht="21.75" customHeight="1" x14ac:dyDescent="0.4">
      <c r="A504" s="55"/>
      <c r="B504" s="56"/>
      <c r="C504" s="56"/>
      <c r="D504" s="73"/>
      <c r="E504" s="75"/>
      <c r="F504" s="75" t="s">
        <v>199</v>
      </c>
      <c r="G504" s="76"/>
      <c r="H504" s="60" t="s">
        <v>103</v>
      </c>
      <c r="I504" s="67">
        <f ca="1">IFERROR(__xludf.DUMMYFUNCTION("IMPORTRANGE(""https://docs.google.com/spreadsheets/d/1C3CXT74ZlgGe6_JY_1olB1XN4rF0dxEuIIF-xsYjHgg/edit?usp=sharing"",""งบกองทุน!EZ21"")"),220)</f>
        <v>220</v>
      </c>
      <c r="J504" s="48">
        <f>+J510</f>
        <v>0</v>
      </c>
      <c r="K504" s="49">
        <f t="shared" ref="K504:K512" ca="1" si="114">IF(I$504&gt;0,J504*100/I$504,0)</f>
        <v>0</v>
      </c>
      <c r="L504" s="61"/>
      <c r="M504" s="61"/>
      <c r="N504" s="61"/>
    </row>
    <row r="505" spans="1:14" ht="21.75" customHeight="1" x14ac:dyDescent="0.4">
      <c r="A505" s="55"/>
      <c r="B505" s="56"/>
      <c r="C505" s="56"/>
      <c r="D505" s="73"/>
      <c r="E505" s="77"/>
      <c r="F505" s="75"/>
      <c r="G505" s="99" t="s">
        <v>200</v>
      </c>
      <c r="H505" s="60" t="s">
        <v>103</v>
      </c>
      <c r="I505" s="67">
        <v>0</v>
      </c>
      <c r="J505" s="68">
        <v>0</v>
      </c>
      <c r="K505" s="49">
        <f t="shared" ca="1" si="114"/>
        <v>0</v>
      </c>
      <c r="L505" s="61"/>
      <c r="M505" s="61"/>
      <c r="N505" s="61"/>
    </row>
    <row r="506" spans="1:14" ht="21.75" customHeight="1" x14ac:dyDescent="0.4">
      <c r="A506" s="55"/>
      <c r="B506" s="56"/>
      <c r="C506" s="56"/>
      <c r="D506" s="73"/>
      <c r="E506" s="77"/>
      <c r="F506" s="75"/>
      <c r="G506" s="99" t="s">
        <v>201</v>
      </c>
      <c r="H506" s="60" t="s">
        <v>103</v>
      </c>
      <c r="I506" s="67">
        <v>0</v>
      </c>
      <c r="J506" s="68">
        <v>0</v>
      </c>
      <c r="K506" s="49">
        <f t="shared" ca="1" si="114"/>
        <v>0</v>
      </c>
      <c r="L506" s="61"/>
      <c r="M506" s="61"/>
      <c r="N506" s="61"/>
    </row>
    <row r="507" spans="1:14" ht="21.75" customHeight="1" x14ac:dyDescent="0.4">
      <c r="A507" s="55"/>
      <c r="B507" s="56"/>
      <c r="C507" s="56"/>
      <c r="D507" s="73"/>
      <c r="E507" s="77"/>
      <c r="F507" s="75"/>
      <c r="G507" s="99" t="s">
        <v>202</v>
      </c>
      <c r="H507" s="60" t="s">
        <v>103</v>
      </c>
      <c r="I507" s="67">
        <v>0</v>
      </c>
      <c r="J507" s="68">
        <v>0</v>
      </c>
      <c r="K507" s="49">
        <f t="shared" ca="1" si="114"/>
        <v>0</v>
      </c>
      <c r="L507" s="61"/>
      <c r="M507" s="61"/>
      <c r="N507" s="61"/>
    </row>
    <row r="508" spans="1:14" ht="21.75" customHeight="1" x14ac:dyDescent="0.4">
      <c r="A508" s="55"/>
      <c r="B508" s="56"/>
      <c r="C508" s="56"/>
      <c r="D508" s="73"/>
      <c r="E508" s="77"/>
      <c r="F508" s="75"/>
      <c r="G508" s="99" t="s">
        <v>203</v>
      </c>
      <c r="H508" s="60" t="s">
        <v>103</v>
      </c>
      <c r="I508" s="67">
        <v>0</v>
      </c>
      <c r="J508" s="68">
        <v>0</v>
      </c>
      <c r="K508" s="49">
        <f t="shared" ca="1" si="114"/>
        <v>0</v>
      </c>
      <c r="L508" s="61"/>
      <c r="M508" s="61"/>
      <c r="N508" s="61"/>
    </row>
    <row r="509" spans="1:14" ht="21.75" customHeight="1" x14ac:dyDescent="0.4">
      <c r="A509" s="55"/>
      <c r="B509" s="56"/>
      <c r="C509" s="56"/>
      <c r="D509" s="73"/>
      <c r="E509" s="77"/>
      <c r="F509" s="75"/>
      <c r="G509" s="74" t="s">
        <v>204</v>
      </c>
      <c r="H509" s="60" t="s">
        <v>103</v>
      </c>
      <c r="I509" s="67">
        <v>0</v>
      </c>
      <c r="J509" s="68">
        <v>0</v>
      </c>
      <c r="K509" s="49">
        <f t="shared" ca="1" si="114"/>
        <v>0</v>
      </c>
      <c r="L509" s="61"/>
      <c r="M509" s="61"/>
      <c r="N509" s="61"/>
    </row>
    <row r="510" spans="1:14" ht="21.75" customHeight="1" x14ac:dyDescent="0.4">
      <c r="A510" s="55"/>
      <c r="B510" s="56"/>
      <c r="C510" s="56"/>
      <c r="D510" s="73"/>
      <c r="E510" s="77"/>
      <c r="F510" s="75"/>
      <c r="G510" s="74" t="s">
        <v>205</v>
      </c>
      <c r="H510" s="60" t="s">
        <v>103</v>
      </c>
      <c r="I510" s="67">
        <f t="shared" ref="I510:J510" si="115">I511+I512</f>
        <v>0</v>
      </c>
      <c r="J510" s="67">
        <f t="shared" si="115"/>
        <v>0</v>
      </c>
      <c r="K510" s="49">
        <f t="shared" ca="1" si="114"/>
        <v>0</v>
      </c>
      <c r="L510" s="61"/>
      <c r="M510" s="61"/>
      <c r="N510" s="61"/>
    </row>
    <row r="511" spans="1:14" ht="21.75" customHeight="1" x14ac:dyDescent="0.4">
      <c r="A511" s="55"/>
      <c r="B511" s="56"/>
      <c r="C511" s="56"/>
      <c r="D511" s="73"/>
      <c r="E511" s="77"/>
      <c r="F511" s="75"/>
      <c r="G511" s="334" t="s">
        <v>206</v>
      </c>
      <c r="H511" s="60" t="s">
        <v>103</v>
      </c>
      <c r="I511" s="67">
        <v>0</v>
      </c>
      <c r="J511" s="68">
        <v>0</v>
      </c>
      <c r="K511" s="49">
        <f t="shared" ca="1" si="114"/>
        <v>0</v>
      </c>
      <c r="L511" s="61"/>
      <c r="M511" s="61"/>
      <c r="N511" s="61"/>
    </row>
    <row r="512" spans="1:14" ht="21.75" customHeight="1" x14ac:dyDescent="0.4">
      <c r="A512" s="55"/>
      <c r="B512" s="56"/>
      <c r="C512" s="56"/>
      <c r="D512" s="73"/>
      <c r="E512" s="77"/>
      <c r="F512" s="75"/>
      <c r="G512" s="334" t="s">
        <v>207</v>
      </c>
      <c r="H512" s="60" t="s">
        <v>103</v>
      </c>
      <c r="I512" s="67">
        <v>0</v>
      </c>
      <c r="J512" s="68">
        <v>0</v>
      </c>
      <c r="K512" s="49">
        <f t="shared" ca="1" si="114"/>
        <v>0</v>
      </c>
      <c r="L512" s="61"/>
      <c r="M512" s="61"/>
      <c r="N512" s="61"/>
    </row>
    <row r="513" spans="1:14" ht="21.75" customHeight="1" x14ac:dyDescent="0.4">
      <c r="A513" s="55"/>
      <c r="B513" s="56"/>
      <c r="C513" s="56"/>
      <c r="D513" s="73"/>
      <c r="E513" s="75"/>
      <c r="F513" s="74" t="s">
        <v>208</v>
      </c>
      <c r="G513" s="76"/>
      <c r="H513" s="60" t="s">
        <v>103</v>
      </c>
      <c r="I513" s="67">
        <f ca="1">IFERROR(__xludf.DUMMYFUNCTION("IMPORTRANGE(""https://docs.google.com/spreadsheets/d/1C3CXT74ZlgGe6_JY_1olB1XN4rF0dxEuIIF-xsYjHgg/edit?usp=sharing"",""งบกองทุน!ff21"")"),2288)</f>
        <v>2288</v>
      </c>
      <c r="J513" s="48">
        <f>J514</f>
        <v>0</v>
      </c>
      <c r="K513" s="49">
        <f t="shared" ref="K513:K519" ca="1" si="116">IF(I$513&gt;0,J513*100/I$513,0)</f>
        <v>0</v>
      </c>
      <c r="L513" s="61"/>
      <c r="M513" s="61"/>
      <c r="N513" s="61"/>
    </row>
    <row r="514" spans="1:14" ht="21.75" customHeight="1" x14ac:dyDescent="0.4">
      <c r="A514" s="55"/>
      <c r="B514" s="56"/>
      <c r="C514" s="56"/>
      <c r="D514" s="73"/>
      <c r="E514" s="77"/>
      <c r="F514" s="75"/>
      <c r="G514" s="99" t="s">
        <v>205</v>
      </c>
      <c r="H514" s="60" t="s">
        <v>103</v>
      </c>
      <c r="I514" s="48">
        <f t="shared" ref="I514:J514" si="117">I515+I516</f>
        <v>0</v>
      </c>
      <c r="J514" s="48">
        <f t="shared" si="117"/>
        <v>0</v>
      </c>
      <c r="K514" s="49">
        <f t="shared" ca="1" si="116"/>
        <v>0</v>
      </c>
      <c r="L514" s="61"/>
      <c r="M514" s="61"/>
      <c r="N514" s="61"/>
    </row>
    <row r="515" spans="1:14" ht="21.75" customHeight="1" x14ac:dyDescent="0.4">
      <c r="A515" s="55"/>
      <c r="B515" s="56"/>
      <c r="C515" s="56"/>
      <c r="D515" s="73"/>
      <c r="E515" s="77"/>
      <c r="F515" s="75"/>
      <c r="G515" s="334" t="s">
        <v>206</v>
      </c>
      <c r="H515" s="60" t="s">
        <v>103</v>
      </c>
      <c r="I515" s="67">
        <v>0</v>
      </c>
      <c r="J515" s="68">
        <v>0</v>
      </c>
      <c r="K515" s="49">
        <f t="shared" ca="1" si="116"/>
        <v>0</v>
      </c>
      <c r="L515" s="61"/>
      <c r="M515" s="61"/>
      <c r="N515" s="61"/>
    </row>
    <row r="516" spans="1:14" ht="21.75" customHeight="1" x14ac:dyDescent="0.4">
      <c r="A516" s="55"/>
      <c r="B516" s="56"/>
      <c r="C516" s="56"/>
      <c r="D516" s="73"/>
      <c r="E516" s="77"/>
      <c r="F516" s="75"/>
      <c r="G516" s="334" t="s">
        <v>207</v>
      </c>
      <c r="H516" s="60" t="s">
        <v>103</v>
      </c>
      <c r="I516" s="67">
        <v>0</v>
      </c>
      <c r="J516" s="68">
        <v>0</v>
      </c>
      <c r="K516" s="49">
        <f t="shared" ca="1" si="116"/>
        <v>0</v>
      </c>
      <c r="L516" s="61"/>
      <c r="M516" s="61"/>
      <c r="N516" s="61"/>
    </row>
    <row r="517" spans="1:14" ht="21.75" customHeight="1" x14ac:dyDescent="0.4">
      <c r="A517" s="55"/>
      <c r="B517" s="56"/>
      <c r="C517" s="56"/>
      <c r="D517" s="73"/>
      <c r="E517" s="77"/>
      <c r="F517" s="75"/>
      <c r="G517" s="99" t="s">
        <v>209</v>
      </c>
      <c r="H517" s="60" t="s">
        <v>103</v>
      </c>
      <c r="I517" s="67">
        <f t="shared" ref="I517:J517" si="118">SUM(I518:I519)</f>
        <v>0</v>
      </c>
      <c r="J517" s="67">
        <f t="shared" si="118"/>
        <v>0</v>
      </c>
      <c r="K517" s="49">
        <f t="shared" ca="1" si="116"/>
        <v>0</v>
      </c>
      <c r="L517" s="61"/>
      <c r="M517" s="61"/>
      <c r="N517" s="61"/>
    </row>
    <row r="518" spans="1:14" ht="21.75" customHeight="1" x14ac:dyDescent="0.4">
      <c r="A518" s="55"/>
      <c r="B518" s="56"/>
      <c r="C518" s="56"/>
      <c r="D518" s="73"/>
      <c r="E518" s="77"/>
      <c r="F518" s="75"/>
      <c r="G518" s="334" t="s">
        <v>210</v>
      </c>
      <c r="H518" s="60" t="s">
        <v>103</v>
      </c>
      <c r="I518" s="67">
        <v>0</v>
      </c>
      <c r="J518" s="68">
        <v>0</v>
      </c>
      <c r="K518" s="49">
        <f t="shared" ca="1" si="116"/>
        <v>0</v>
      </c>
      <c r="L518" s="61"/>
      <c r="M518" s="61"/>
      <c r="N518" s="61"/>
    </row>
    <row r="519" spans="1:14" ht="21.75" customHeight="1" x14ac:dyDescent="0.4">
      <c r="A519" s="55"/>
      <c r="B519" s="56"/>
      <c r="C519" s="56"/>
      <c r="D519" s="73"/>
      <c r="E519" s="77"/>
      <c r="F519" s="75"/>
      <c r="G519" s="334" t="s">
        <v>211</v>
      </c>
      <c r="H519" s="60" t="s">
        <v>103</v>
      </c>
      <c r="I519" s="67">
        <v>0</v>
      </c>
      <c r="J519" s="68">
        <v>0</v>
      </c>
      <c r="K519" s="49">
        <f t="shared" ca="1" si="116"/>
        <v>0</v>
      </c>
      <c r="L519" s="61"/>
      <c r="M519" s="61"/>
      <c r="N519" s="61"/>
    </row>
    <row r="520" spans="1:14" ht="21.75" customHeight="1" x14ac:dyDescent="0.4">
      <c r="A520" s="335" t="s">
        <v>212</v>
      </c>
      <c r="B520" s="336"/>
      <c r="C520" s="336"/>
      <c r="D520" s="336"/>
      <c r="E520" s="336"/>
      <c r="F520" s="336"/>
      <c r="G520" s="337"/>
      <c r="H520" s="338"/>
      <c r="I520" s="339"/>
      <c r="J520" s="339"/>
      <c r="K520" s="340"/>
      <c r="L520" s="340"/>
      <c r="M520" s="340"/>
      <c r="N520" s="341"/>
    </row>
    <row r="521" spans="1:14" ht="21.75" customHeight="1" x14ac:dyDescent="0.4">
      <c r="A521" s="316"/>
      <c r="B521" s="45" t="s">
        <v>213</v>
      </c>
      <c r="C521" s="43"/>
      <c r="D521" s="51"/>
      <c r="E521" s="45"/>
      <c r="F521" s="45"/>
      <c r="G521" s="46"/>
      <c r="H521" s="342" t="s">
        <v>20</v>
      </c>
      <c r="I521" s="200">
        <f ca="1">IFERROR(__xludf.DUMMYFUNCTION("IMPORTRANGE(""https://docs.google.com/spreadsheets/d/1muirlRDkqiswvy_NRZ3Yh955hx-PF6_HhssUYiSJj8o/edit?usp=sharing"",""กองทุน!D21"")"),7774600)</f>
        <v>7774600</v>
      </c>
      <c r="J521" s="200">
        <f ca="1">IFERROR(__xludf.DUMMYFUNCTION("IMPORTRANGE(""https://docs.google.com/spreadsheets/d/1muirlRDkqiswvy_NRZ3Yh955hx-PF6_HhssUYiSJj8o/edit?usp=sharing"",""กองทุน!F21"")"),0)</f>
        <v>0</v>
      </c>
      <c r="K521" s="201">
        <f t="shared" ref="K521:K528" ca="1" si="119">IF(I521&gt;0,J521*100/I521,0)</f>
        <v>0</v>
      </c>
      <c r="L521" s="201"/>
      <c r="M521" s="201"/>
      <c r="N521" s="53"/>
    </row>
    <row r="522" spans="1:14" ht="21.75" customHeight="1" x14ac:dyDescent="0.4">
      <c r="A522" s="316"/>
      <c r="B522" s="43"/>
      <c r="C522" s="43"/>
      <c r="D522" s="51"/>
      <c r="E522" s="45"/>
      <c r="F522" s="45"/>
      <c r="G522" s="46"/>
      <c r="H522" s="342" t="s">
        <v>16</v>
      </c>
      <c r="I522" s="200">
        <f ca="1">IFERROR(__xludf.DUMMYFUNCTION("IMPORTRANGE(""https://docs.google.com/spreadsheets/d/1muirlRDkqiswvy_NRZ3Yh955hx-PF6_HhssUYiSJj8o/edit?usp=sharing"",""กองทุน!C21"")"),325)</f>
        <v>325</v>
      </c>
      <c r="J522" s="200">
        <f ca="1">IFERROR(__xludf.DUMMYFUNCTION("IMPORTRANGE(""https://docs.google.com/spreadsheets/d/1muirlRDkqiswvy_NRZ3Yh955hx-PF6_HhssUYiSJj8o/edit?usp=sharing"",""กองทุน!E21"")"),0)</f>
        <v>0</v>
      </c>
      <c r="K522" s="201">
        <f t="shared" ca="1" si="119"/>
        <v>0</v>
      </c>
      <c r="L522" s="201"/>
      <c r="M522" s="201"/>
      <c r="N522" s="53"/>
    </row>
    <row r="523" spans="1:14" ht="21.75" customHeight="1" x14ac:dyDescent="0.4">
      <c r="A523" s="316"/>
      <c r="B523" s="45" t="s">
        <v>214</v>
      </c>
      <c r="C523" s="43"/>
      <c r="D523" s="51"/>
      <c r="E523" s="45"/>
      <c r="F523" s="45"/>
      <c r="G523" s="46"/>
      <c r="H523" s="342" t="s">
        <v>20</v>
      </c>
      <c r="I523" s="200">
        <f ca="1">IFERROR(__xludf.DUMMYFUNCTION("IMPORTRANGE(""https://docs.google.com/spreadsheets/d/1muirlRDkqiswvy_NRZ3Yh955hx-PF6_HhssUYiSJj8o/edit?usp=sharing"",""กองทุน!I21"")"),13589782.32)</f>
        <v>13589782.32</v>
      </c>
      <c r="J523" s="200">
        <f ca="1">IFERROR(__xludf.DUMMYFUNCTION("IMPORTRANGE(""https://docs.google.com/spreadsheets/d/1muirlRDkqiswvy_NRZ3Yh955hx-PF6_HhssUYiSJj8o/edit?usp=sharing"",""กองทุน!K21"")"),31512.13)</f>
        <v>31512.13</v>
      </c>
      <c r="K523" s="201">
        <f t="shared" ca="1" si="119"/>
        <v>0.2318810504685111</v>
      </c>
      <c r="L523" s="201"/>
      <c r="M523" s="201"/>
      <c r="N523" s="53"/>
    </row>
    <row r="524" spans="1:14" ht="21.75" customHeight="1" x14ac:dyDescent="0.4">
      <c r="A524" s="316"/>
      <c r="B524" s="43"/>
      <c r="C524" s="43"/>
      <c r="D524" s="51"/>
      <c r="E524" s="45"/>
      <c r="F524" s="45"/>
      <c r="G524" s="46"/>
      <c r="H524" s="342" t="s">
        <v>16</v>
      </c>
      <c r="I524" s="200">
        <f ca="1">IFERROR(__xludf.DUMMYFUNCTION("IMPORTRANGE(""https://docs.google.com/spreadsheets/d/1muirlRDkqiswvy_NRZ3Yh955hx-PF6_HhssUYiSJj8o/edit?usp=sharing"",""กองทุน!H21"")"),323)</f>
        <v>323</v>
      </c>
      <c r="J524" s="200">
        <f ca="1">IFERROR(__xludf.DUMMYFUNCTION("IMPORTRANGE(""https://docs.google.com/spreadsheets/d/1muirlRDkqiswvy_NRZ3Yh955hx-PF6_HhssUYiSJj8o/edit?usp=sharing"",""กองทุน!J21"")"),7)</f>
        <v>7</v>
      </c>
      <c r="K524" s="201">
        <f t="shared" ca="1" si="119"/>
        <v>2.1671826625386998</v>
      </c>
      <c r="L524" s="201"/>
      <c r="M524" s="201"/>
      <c r="N524" s="53"/>
    </row>
    <row r="525" spans="1:14" ht="21.75" customHeight="1" x14ac:dyDescent="0.4">
      <c r="A525" s="316"/>
      <c r="B525" s="45" t="s">
        <v>215</v>
      </c>
      <c r="C525" s="43"/>
      <c r="D525" s="51"/>
      <c r="E525" s="45"/>
      <c r="F525" s="45"/>
      <c r="G525" s="46"/>
      <c r="H525" s="342" t="s">
        <v>20</v>
      </c>
      <c r="I525" s="200">
        <f ca="1">IFERROR(__xludf.DUMMYFUNCTION("IMPORTRANGE(""https://docs.google.com/spreadsheets/d/1muirlRDkqiswvy_NRZ3Yh955hx-PF6_HhssUYiSJj8o/edit?usp=sharing"",""กองทุน!N21"")"),742206.51)</f>
        <v>742206.51</v>
      </c>
      <c r="J525" s="200">
        <f ca="1">IFERROR(__xludf.DUMMYFUNCTION("IMPORTRANGE(""https://docs.google.com/spreadsheets/d/1muirlRDkqiswvy_NRZ3Yh955hx-PF6_HhssUYiSJj8o/edit?usp=sharing"",""กองทุน!P21"")"),0)</f>
        <v>0</v>
      </c>
      <c r="K525" s="201">
        <f t="shared" ca="1" si="119"/>
        <v>0</v>
      </c>
      <c r="L525" s="201"/>
      <c r="M525" s="201"/>
      <c r="N525" s="53"/>
    </row>
    <row r="526" spans="1:14" ht="21.75" customHeight="1" x14ac:dyDescent="0.4">
      <c r="A526" s="316"/>
      <c r="B526" s="45"/>
      <c r="C526" s="43"/>
      <c r="D526" s="51"/>
      <c r="E526" s="45"/>
      <c r="F526" s="45"/>
      <c r="G526" s="46"/>
      <c r="H526" s="342" t="s">
        <v>16</v>
      </c>
      <c r="I526" s="200">
        <f ca="1">IFERROR(__xludf.DUMMYFUNCTION("IMPORTRANGE(""https://docs.google.com/spreadsheets/d/1muirlRDkqiswvy_NRZ3Yh955hx-PF6_HhssUYiSJj8o/edit?usp=sharing"",""กองทุน!M21"")"),15)</f>
        <v>15</v>
      </c>
      <c r="J526" s="200">
        <f ca="1">IFERROR(__xludf.DUMMYFUNCTION("IMPORTRANGE(""https://docs.google.com/spreadsheets/d/1muirlRDkqiswvy_NRZ3Yh955hx-PF6_HhssUYiSJj8o/edit?usp=sharing"",""กองทุน!O21"")"),0)</f>
        <v>0</v>
      </c>
      <c r="K526" s="201">
        <f t="shared" ca="1" si="119"/>
        <v>0</v>
      </c>
      <c r="L526" s="201"/>
      <c r="M526" s="201"/>
      <c r="N526" s="53"/>
    </row>
    <row r="527" spans="1:14" ht="21.75" customHeight="1" x14ac:dyDescent="0.4">
      <c r="A527" s="316"/>
      <c r="B527" s="45" t="s">
        <v>216</v>
      </c>
      <c r="C527" s="43"/>
      <c r="D527" s="51"/>
      <c r="E527" s="45"/>
      <c r="F527" s="45"/>
      <c r="G527" s="46"/>
      <c r="H527" s="342" t="s">
        <v>20</v>
      </c>
      <c r="I527" s="200">
        <f ca="1">IFERROR(__xludf.DUMMYFUNCTION("IMPORTRANGE(""https://docs.google.com/spreadsheets/d/1muirlRDkqiswvy_NRZ3Yh955hx-PF6_HhssUYiSJj8o/edit?usp=sharing"",""กองทุน!S21"")"),4000000)</f>
        <v>4000000</v>
      </c>
      <c r="J527" s="200">
        <f ca="1">IFERROR(__xludf.DUMMYFUNCTION("IMPORTRANGE(""https://docs.google.com/spreadsheets/d/1muirlRDkqiswvy_NRZ3Yh955hx-PF6_HhssUYiSJj8o/edit?usp=sharing"",""กองทุน!U21"")"),0)</f>
        <v>0</v>
      </c>
      <c r="K527" s="201">
        <f t="shared" ca="1" si="119"/>
        <v>0</v>
      </c>
      <c r="L527" s="201"/>
      <c r="M527" s="201"/>
      <c r="N527" s="53"/>
    </row>
    <row r="528" spans="1:14" ht="21.75" customHeight="1" x14ac:dyDescent="0.4">
      <c r="A528" s="317"/>
      <c r="B528" s="319"/>
      <c r="C528" s="319"/>
      <c r="D528" s="318"/>
      <c r="E528" s="343"/>
      <c r="F528" s="343"/>
      <c r="G528" s="344"/>
      <c r="H528" s="345" t="s">
        <v>16</v>
      </c>
      <c r="I528" s="322">
        <f ca="1">IFERROR(__xludf.DUMMYFUNCTION("IMPORTRANGE(""https://docs.google.com/spreadsheets/d/1muirlRDkqiswvy_NRZ3Yh955hx-PF6_HhssUYiSJj8o/edit?usp=sharing"",""กองทุน!R21"")"),162)</f>
        <v>162</v>
      </c>
      <c r="J528" s="322">
        <f ca="1">IFERROR(__xludf.DUMMYFUNCTION("IMPORTRANGE(""https://docs.google.com/spreadsheets/d/1muirlRDkqiswvy_NRZ3Yh955hx-PF6_HhssUYiSJj8o/edit?usp=sharing"",""กองทุน!T21"")"),0)</f>
        <v>0</v>
      </c>
      <c r="K528" s="323">
        <f t="shared" ca="1" si="119"/>
        <v>0</v>
      </c>
      <c r="L528" s="323"/>
      <c r="M528" s="323"/>
      <c r="N528" s="346"/>
    </row>
    <row r="529" spans="1:14" ht="21.75" customHeight="1" x14ac:dyDescent="0.4">
      <c r="A529" s="347"/>
      <c r="B529" s="347"/>
      <c r="C529" s="347"/>
      <c r="D529" s="347"/>
      <c r="E529" s="348" t="s">
        <v>217</v>
      </c>
      <c r="F529" s="348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&amp;P/&amp;N&amp;R&amp;F</oddFooter>
  </headerFooter>
  <rowBreaks count="7" manualBreakCount="7">
    <brk id="65" max="16383" man="1"/>
    <brk id="128" max="16383" man="1"/>
    <brk id="197" max="16383" man="1"/>
    <brk id="274" max="16383" man="1"/>
    <brk id="329" max="16383" man="1"/>
    <brk id="389" max="16383" man="1"/>
    <brk id="45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L18" sqref="L18"/>
      <selection pane="bottomLeft" activeCell="L18" sqref="L18"/>
    </sheetView>
  </sheetViews>
  <sheetFormatPr defaultColWidth="12.625" defaultRowHeight="15" customHeight="1" x14ac:dyDescent="0.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87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4">
      <c r="A1" s="403" t="s">
        <v>0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</row>
    <row r="2" spans="1:14" ht="18" customHeight="1" x14ac:dyDescent="0.4">
      <c r="A2" s="403" t="s">
        <v>226</v>
      </c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404"/>
    </row>
    <row r="3" spans="1:14" ht="18" customHeight="1" x14ac:dyDescent="0.4">
      <c r="A3" s="403" t="s">
        <v>249</v>
      </c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04"/>
    </row>
    <row r="4" spans="1:14" ht="33.75" customHeight="1" x14ac:dyDescent="0.4">
      <c r="A4" s="2"/>
      <c r="B4" s="2"/>
      <c r="C4" s="2"/>
      <c r="D4" s="2"/>
      <c r="E4" s="2"/>
      <c r="F4" s="2"/>
      <c r="G4" s="2"/>
      <c r="H4" s="2"/>
      <c r="I4" s="2"/>
      <c r="J4" s="354" t="s">
        <v>2</v>
      </c>
      <c r="K4" s="4"/>
      <c r="L4" s="5"/>
      <c r="M4" s="355" t="s">
        <v>3</v>
      </c>
      <c r="N4" s="2"/>
    </row>
    <row r="5" spans="1:14" ht="21.75" customHeight="1" x14ac:dyDescent="0.55000000000000004">
      <c r="A5" s="405" t="s">
        <v>4</v>
      </c>
      <c r="B5" s="406"/>
      <c r="C5" s="406"/>
      <c r="D5" s="406"/>
      <c r="E5" s="406"/>
      <c r="F5" s="406"/>
      <c r="G5" s="407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2815905</v>
      </c>
      <c r="M6" s="16">
        <f t="shared" si="0"/>
        <v>314580.07</v>
      </c>
      <c r="N6" s="17">
        <f ca="1">IF(L6&gt;0,M6*100/L6,0)</f>
        <v>11.171544139450727</v>
      </c>
    </row>
    <row r="7" spans="1:14" ht="21.75" customHeight="1" x14ac:dyDescent="0.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1</v>
      </c>
      <c r="J9" s="38">
        <f t="shared" si="1"/>
        <v>1</v>
      </c>
      <c r="K9" s="41">
        <f t="shared" ref="K9:K10" ca="1" si="2">IF(I9&gt;0,J9*100/I9,0)</f>
        <v>100</v>
      </c>
      <c r="L9" s="40">
        <f ca="1">L11+L12</f>
        <v>486000</v>
      </c>
      <c r="M9" s="40">
        <f>SUM(M11:M12)</f>
        <v>47648.81</v>
      </c>
      <c r="N9" s="41">
        <f ca="1">IF(L9&gt;0,M9*100/L9,0)</f>
        <v>9.8042818930041147</v>
      </c>
    </row>
    <row r="10" spans="1:14" ht="21.75" customHeight="1" x14ac:dyDescent="0.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50</v>
      </c>
      <c r="J10" s="38">
        <f t="shared" si="3"/>
        <v>50</v>
      </c>
      <c r="K10" s="41">
        <f t="shared" ca="1" si="2"/>
        <v>100</v>
      </c>
      <c r="L10" s="40"/>
      <c r="M10" s="40"/>
      <c r="N10" s="41"/>
    </row>
    <row r="11" spans="1:14" ht="21.75" customHeight="1" x14ac:dyDescent="0.4">
      <c r="A11" s="42"/>
      <c r="B11" s="43"/>
      <c r="C11" s="43" t="s">
        <v>17</v>
      </c>
      <c r="D11" s="44" t="s">
        <v>18</v>
      </c>
      <c r="E11" s="45"/>
      <c r="F11" s="45"/>
      <c r="G11" s="46" t="s">
        <v>19</v>
      </c>
      <c r="H11" s="47" t="s">
        <v>20</v>
      </c>
      <c r="I11" s="48" t="s">
        <v>21</v>
      </c>
      <c r="J11" s="48"/>
      <c r="K11" s="49"/>
      <c r="L11" s="50">
        <v>0</v>
      </c>
      <c r="M11" s="50">
        <v>0</v>
      </c>
      <c r="N11" s="50">
        <f t="shared" ref="N11:N14" si="4">+IF(L11&gt;0,M11*100/L11,0)</f>
        <v>0</v>
      </c>
    </row>
    <row r="12" spans="1:14" ht="21.75" customHeight="1" x14ac:dyDescent="0.4">
      <c r="A12" s="42"/>
      <c r="B12" s="43"/>
      <c r="C12" s="43"/>
      <c r="D12" s="51"/>
      <c r="E12" s="45"/>
      <c r="F12" s="45" t="s">
        <v>21</v>
      </c>
      <c r="G12" s="46" t="s">
        <v>22</v>
      </c>
      <c r="H12" s="47" t="s">
        <v>20</v>
      </c>
      <c r="I12" s="48"/>
      <c r="J12" s="48"/>
      <c r="K12" s="49"/>
      <c r="L12" s="53">
        <f ca="1">IFERROR(__xludf.DUMMYFUNCTION("IMPORTRANGE(""https://docs.google.com/spreadsheets/d/1C3CXT74ZlgGe6_JY_1olB1XN4rF0dxEuIIF-xsYjHgg/edit?usp=sharing"",""พรบ!C22"")"),486000)</f>
        <v>486000</v>
      </c>
      <c r="M12" s="50">
        <f>SUM(M13:M14)</f>
        <v>47648.81</v>
      </c>
      <c r="N12" s="50">
        <f t="shared" ca="1" si="4"/>
        <v>9.8042818930041147</v>
      </c>
    </row>
    <row r="13" spans="1:14" ht="21.75" customHeight="1" x14ac:dyDescent="0.4">
      <c r="A13" s="42"/>
      <c r="B13" s="43"/>
      <c r="C13" s="43"/>
      <c r="D13" s="51"/>
      <c r="E13" s="45"/>
      <c r="F13" s="45"/>
      <c r="G13" s="52" t="s">
        <v>23</v>
      </c>
      <c r="H13" s="47" t="s">
        <v>20</v>
      </c>
      <c r="I13" s="48"/>
      <c r="J13" s="48"/>
      <c r="K13" s="49"/>
      <c r="L13" s="53">
        <f ca="1">IFERROR(__xludf.DUMMYFUNCTION("IMPORTRANGE(""https://docs.google.com/spreadsheets/d/1C3CXT74ZlgGe6_JY_1olB1XN4rF0dxEuIIF-xsYjHgg/edit?usp=sharing"",""พรบ!D22"")"),0)</f>
        <v>0</v>
      </c>
      <c r="M13" s="53">
        <v>0</v>
      </c>
      <c r="N13" s="53">
        <f t="shared" ca="1" si="4"/>
        <v>0</v>
      </c>
    </row>
    <row r="14" spans="1:14" ht="21.75" customHeight="1" x14ac:dyDescent="0.4">
      <c r="A14" s="42"/>
      <c r="B14" s="43"/>
      <c r="C14" s="43"/>
      <c r="D14" s="51"/>
      <c r="E14" s="45"/>
      <c r="F14" s="45"/>
      <c r="G14" s="52" t="s">
        <v>24</v>
      </c>
      <c r="H14" s="47" t="s">
        <v>20</v>
      </c>
      <c r="I14" s="48"/>
      <c r="J14" s="48"/>
      <c r="K14" s="49"/>
      <c r="L14" s="53">
        <f ca="1">IFERROR(__xludf.DUMMYFUNCTION("IMPORTRANGE(""https://docs.google.com/spreadsheets/d/1C3CXT74ZlgGe6_JY_1olB1XN4rF0dxEuIIF-xsYjHgg/edit?usp=sharing"",""พรบ!E22"")"),486000)</f>
        <v>486000</v>
      </c>
      <c r="M14" s="54">
        <v>47648.81</v>
      </c>
      <c r="N14" s="53">
        <f t="shared" ca="1" si="4"/>
        <v>9.8042818930041147</v>
      </c>
    </row>
    <row r="15" spans="1:14" ht="21.75" customHeight="1" x14ac:dyDescent="0.4">
      <c r="A15" s="55"/>
      <c r="B15" s="56"/>
      <c r="C15" s="43" t="s">
        <v>17</v>
      </c>
      <c r="D15" s="57" t="s">
        <v>25</v>
      </c>
      <c r="E15" s="58"/>
      <c r="F15" s="58"/>
      <c r="G15" s="59"/>
      <c r="H15" s="60"/>
      <c r="I15" s="48"/>
      <c r="J15" s="48"/>
      <c r="K15" s="49"/>
      <c r="L15" s="61"/>
      <c r="M15" s="61"/>
      <c r="N15" s="61"/>
    </row>
    <row r="16" spans="1:14" ht="21.75" customHeight="1" x14ac:dyDescent="0.4">
      <c r="A16" s="55"/>
      <c r="B16" s="56"/>
      <c r="C16" s="56"/>
      <c r="D16" s="62">
        <v>1</v>
      </c>
      <c r="E16" s="63" t="s">
        <v>26</v>
      </c>
      <c r="F16" s="64"/>
      <c r="G16" s="65"/>
      <c r="H16" s="66"/>
      <c r="I16" s="67"/>
      <c r="J16" s="68">
        <v>0</v>
      </c>
      <c r="K16" s="49"/>
      <c r="L16" s="61"/>
      <c r="M16" s="61"/>
      <c r="N16" s="61"/>
    </row>
    <row r="17" spans="1:14" ht="21.75" customHeight="1" x14ac:dyDescent="0.4">
      <c r="A17" s="55"/>
      <c r="B17" s="56"/>
      <c r="C17" s="56"/>
      <c r="D17" s="69">
        <v>2</v>
      </c>
      <c r="E17" s="70" t="s">
        <v>27</v>
      </c>
      <c r="F17" s="71"/>
      <c r="G17" s="72"/>
      <c r="H17" s="66"/>
      <c r="I17" s="67"/>
      <c r="J17" s="68">
        <v>1</v>
      </c>
      <c r="K17" s="49"/>
      <c r="L17" s="61" t="s">
        <v>21</v>
      </c>
      <c r="M17" s="61" t="s">
        <v>21</v>
      </c>
      <c r="N17" s="61"/>
    </row>
    <row r="18" spans="1:14" ht="21.75" customHeight="1" x14ac:dyDescent="0.4">
      <c r="A18" s="55"/>
      <c r="B18" s="56"/>
      <c r="C18" s="56"/>
      <c r="D18" s="73"/>
      <c r="E18" s="74" t="s">
        <v>28</v>
      </c>
      <c r="F18" s="75"/>
      <c r="G18" s="76"/>
      <c r="H18" s="66"/>
      <c r="I18" s="67"/>
      <c r="J18" s="68">
        <v>1</v>
      </c>
      <c r="K18" s="49"/>
      <c r="L18" s="61"/>
      <c r="M18" s="61"/>
      <c r="N18" s="61"/>
    </row>
    <row r="19" spans="1:14" ht="21.75" customHeight="1" x14ac:dyDescent="0.4">
      <c r="A19" s="55"/>
      <c r="B19" s="56"/>
      <c r="C19" s="56"/>
      <c r="D19" s="73"/>
      <c r="E19" s="74" t="s">
        <v>29</v>
      </c>
      <c r="F19" s="75"/>
      <c r="G19" s="76"/>
      <c r="H19" s="66"/>
      <c r="I19" s="67"/>
      <c r="J19" s="68">
        <v>1</v>
      </c>
      <c r="K19" s="49"/>
      <c r="L19" s="61"/>
      <c r="M19" s="61"/>
      <c r="N19" s="61"/>
    </row>
    <row r="20" spans="1:14" ht="21.75" customHeight="1" x14ac:dyDescent="0.4">
      <c r="A20" s="55"/>
      <c r="B20" s="56"/>
      <c r="C20" s="56"/>
      <c r="D20" s="73"/>
      <c r="E20" s="77"/>
      <c r="F20" s="74" t="s">
        <v>30</v>
      </c>
      <c r="G20" s="75"/>
      <c r="H20" s="78" t="s">
        <v>15</v>
      </c>
      <c r="I20" s="79">
        <f t="shared" ref="I20:J20" ca="1" si="5">+I22+I24+I26</f>
        <v>1</v>
      </c>
      <c r="J20" s="79">
        <f t="shared" si="5"/>
        <v>1</v>
      </c>
      <c r="K20" s="80">
        <f t="shared" ref="K20:K28" ca="1" si="6">IF(I20&gt;0,J20*100/I20,0)</f>
        <v>100</v>
      </c>
      <c r="L20" s="61"/>
      <c r="M20" s="61"/>
      <c r="N20" s="61"/>
    </row>
    <row r="21" spans="1:14" ht="21.75" customHeight="1" x14ac:dyDescent="0.4">
      <c r="A21" s="55"/>
      <c r="B21" s="56"/>
      <c r="C21" s="56"/>
      <c r="D21" s="73"/>
      <c r="E21" s="77"/>
      <c r="F21" s="75"/>
      <c r="G21" s="76"/>
      <c r="H21" s="78" t="s">
        <v>16</v>
      </c>
      <c r="I21" s="79">
        <f t="shared" ref="I21:J21" ca="1" si="7">+I23+I25+I27</f>
        <v>50</v>
      </c>
      <c r="J21" s="79">
        <f t="shared" si="7"/>
        <v>50</v>
      </c>
      <c r="K21" s="80">
        <f t="shared" ca="1" si="6"/>
        <v>100</v>
      </c>
      <c r="L21" s="61"/>
      <c r="M21" s="61"/>
      <c r="N21" s="61"/>
    </row>
    <row r="22" spans="1:14" ht="21.75" customHeight="1" x14ac:dyDescent="0.4">
      <c r="A22" s="55"/>
      <c r="B22" s="56"/>
      <c r="C22" s="56"/>
      <c r="D22" s="73"/>
      <c r="E22" s="77"/>
      <c r="F22" s="75"/>
      <c r="G22" s="75" t="s">
        <v>31</v>
      </c>
      <c r="H22" s="60" t="s">
        <v>15</v>
      </c>
      <c r="I22" s="48">
        <f ca="1">IFERROR(__xludf.DUMMYFUNCTION("IMPORTRANGE(""https://docs.google.com/spreadsheets/d/1C3CXT74ZlgGe6_JY_1olB1XN4rF0dxEuIIF-xsYjHgg/edit?usp=sharing"",""พรบ!H22"")"),0)</f>
        <v>0</v>
      </c>
      <c r="J22" s="67">
        <v>0</v>
      </c>
      <c r="K22" s="49">
        <f t="shared" ca="1" si="6"/>
        <v>0</v>
      </c>
      <c r="L22" s="61"/>
      <c r="M22" s="61"/>
      <c r="N22" s="61"/>
    </row>
    <row r="23" spans="1:14" ht="21.75" customHeight="1" x14ac:dyDescent="0.4">
      <c r="A23" s="55"/>
      <c r="B23" s="56"/>
      <c r="C23" s="56"/>
      <c r="D23" s="73"/>
      <c r="E23" s="77"/>
      <c r="F23" s="75"/>
      <c r="G23" s="76"/>
      <c r="H23" s="60" t="s">
        <v>16</v>
      </c>
      <c r="I23" s="48">
        <f ca="1">IFERROR(__xludf.DUMMYFUNCTION("IMPORTRANGE(""https://docs.google.com/spreadsheets/d/1C3CXT74ZlgGe6_JY_1olB1XN4rF0dxEuIIF-xsYjHgg/edit?usp=sharing"",""พรบ!I22"")"),0)</f>
        <v>0</v>
      </c>
      <c r="J23" s="67">
        <v>0</v>
      </c>
      <c r="K23" s="49">
        <f t="shared" ca="1" si="6"/>
        <v>0</v>
      </c>
      <c r="L23" s="61"/>
      <c r="M23" s="61"/>
      <c r="N23" s="61"/>
    </row>
    <row r="24" spans="1:14" ht="21.75" customHeight="1" x14ac:dyDescent="0.4">
      <c r="A24" s="55"/>
      <c r="B24" s="56"/>
      <c r="C24" s="56"/>
      <c r="D24" s="73"/>
      <c r="E24" s="77"/>
      <c r="F24" s="75"/>
      <c r="G24" s="75" t="s">
        <v>32</v>
      </c>
      <c r="H24" s="60" t="s">
        <v>15</v>
      </c>
      <c r="I24" s="48">
        <f ca="1">IFERROR(__xludf.DUMMYFUNCTION("IMPORTRANGE(""https://docs.google.com/spreadsheets/d/1C3CXT74ZlgGe6_JY_1olB1XN4rF0dxEuIIF-xsYjHgg/edit?usp=sharing"",""พรบ!J22"")"),0)</f>
        <v>0</v>
      </c>
      <c r="J24" s="67">
        <v>0</v>
      </c>
      <c r="K24" s="49">
        <f t="shared" ca="1" si="6"/>
        <v>0</v>
      </c>
      <c r="L24" s="61"/>
      <c r="M24" s="61"/>
      <c r="N24" s="61"/>
    </row>
    <row r="25" spans="1:14" ht="21.75" customHeight="1" x14ac:dyDescent="0.4">
      <c r="A25" s="55"/>
      <c r="B25" s="56"/>
      <c r="C25" s="56"/>
      <c r="D25" s="73"/>
      <c r="E25" s="77"/>
      <c r="F25" s="75"/>
      <c r="G25" s="76"/>
      <c r="H25" s="60" t="s">
        <v>16</v>
      </c>
      <c r="I25" s="48">
        <f ca="1">IFERROR(__xludf.DUMMYFUNCTION("IMPORTRANGE(""https://docs.google.com/spreadsheets/d/1C3CXT74ZlgGe6_JY_1olB1XN4rF0dxEuIIF-xsYjHgg/edit?usp=sharing"",""พรบ!K22"")"),0)</f>
        <v>0</v>
      </c>
      <c r="J25" s="67">
        <v>0</v>
      </c>
      <c r="K25" s="49">
        <f t="shared" ca="1" si="6"/>
        <v>0</v>
      </c>
      <c r="L25" s="61"/>
      <c r="M25" s="61"/>
      <c r="N25" s="61"/>
    </row>
    <row r="26" spans="1:14" ht="21.75" customHeight="1" x14ac:dyDescent="0.4">
      <c r="A26" s="55"/>
      <c r="B26" s="56"/>
      <c r="C26" s="56"/>
      <c r="D26" s="73"/>
      <c r="E26" s="77"/>
      <c r="F26" s="75"/>
      <c r="G26" s="75" t="s">
        <v>33</v>
      </c>
      <c r="H26" s="60" t="s">
        <v>15</v>
      </c>
      <c r="I26" s="48">
        <f ca="1">IFERROR(__xludf.DUMMYFUNCTION("IMPORTRANGE(""https://docs.google.com/spreadsheets/d/1C3CXT74ZlgGe6_JY_1olB1XN4rF0dxEuIIF-xsYjHgg/edit?usp=sharing"",""พรบ!L22"")"),1)</f>
        <v>1</v>
      </c>
      <c r="J26" s="68">
        <v>1</v>
      </c>
      <c r="K26" s="49">
        <f t="shared" ca="1" si="6"/>
        <v>100</v>
      </c>
      <c r="L26" s="61"/>
      <c r="M26" s="61"/>
      <c r="N26" s="61"/>
    </row>
    <row r="27" spans="1:14" ht="21.75" customHeight="1" x14ac:dyDescent="0.4">
      <c r="A27" s="55"/>
      <c r="B27" s="56"/>
      <c r="C27" s="56"/>
      <c r="D27" s="73"/>
      <c r="E27" s="77"/>
      <c r="F27" s="75"/>
      <c r="G27" s="76"/>
      <c r="H27" s="60" t="s">
        <v>16</v>
      </c>
      <c r="I27" s="48">
        <f ca="1">IFERROR(__xludf.DUMMYFUNCTION("IMPORTRANGE(""https://docs.google.com/spreadsheets/d/1C3CXT74ZlgGe6_JY_1olB1XN4rF0dxEuIIF-xsYjHgg/edit?usp=sharing"",""พรบ!M22"")"),50)</f>
        <v>50</v>
      </c>
      <c r="J27" s="68">
        <v>50</v>
      </c>
      <c r="K27" s="49">
        <f t="shared" ca="1" si="6"/>
        <v>100</v>
      </c>
      <c r="L27" s="61"/>
      <c r="M27" s="61"/>
      <c r="N27" s="61"/>
    </row>
    <row r="28" spans="1:14" ht="21.75" customHeight="1" x14ac:dyDescent="0.4">
      <c r="A28" s="55"/>
      <c r="B28" s="56"/>
      <c r="C28" s="56"/>
      <c r="D28" s="73"/>
      <c r="E28" s="77"/>
      <c r="F28" s="74" t="s">
        <v>34</v>
      </c>
      <c r="G28" s="75"/>
      <c r="H28" s="60" t="s">
        <v>16</v>
      </c>
      <c r="I28" s="48">
        <f ca="1">IFERROR(__xludf.DUMMYFUNCTION("IMPORTRANGE(""https://docs.google.com/spreadsheets/d/1C3CXT74ZlgGe6_JY_1olB1XN4rF0dxEuIIF-xsYjHgg/edit?usp=sharing"",""พรบ!N22"")"),0)</f>
        <v>0</v>
      </c>
      <c r="J28" s="67">
        <v>0</v>
      </c>
      <c r="K28" s="49">
        <f t="shared" ca="1" si="6"/>
        <v>0</v>
      </c>
      <c r="L28" s="61"/>
      <c r="M28" s="61"/>
      <c r="N28" s="61"/>
    </row>
    <row r="29" spans="1:14" ht="21.75" customHeight="1" x14ac:dyDescent="0.4">
      <c r="A29" s="55"/>
      <c r="B29" s="56"/>
      <c r="C29" s="56"/>
      <c r="D29" s="73"/>
      <c r="E29" s="74" t="s">
        <v>35</v>
      </c>
      <c r="F29" s="75"/>
      <c r="G29" s="76"/>
      <c r="H29" s="66"/>
      <c r="I29" s="67"/>
      <c r="J29" s="68">
        <v>0</v>
      </c>
      <c r="K29" s="49"/>
      <c r="L29" s="61"/>
      <c r="M29" s="61"/>
      <c r="N29" s="61"/>
    </row>
    <row r="30" spans="1:14" ht="21.75" customHeight="1" x14ac:dyDescent="0.4">
      <c r="A30" s="55"/>
      <c r="B30" s="56"/>
      <c r="C30" s="56"/>
      <c r="D30" s="81">
        <v>3</v>
      </c>
      <c r="E30" s="82" t="s">
        <v>36</v>
      </c>
      <c r="F30" s="83"/>
      <c r="G30" s="84"/>
      <c r="H30" s="66"/>
      <c r="I30" s="67"/>
      <c r="J30" s="85">
        <v>0</v>
      </c>
      <c r="K30" s="49"/>
      <c r="L30" s="61"/>
      <c r="M30" s="61"/>
      <c r="N30" s="61"/>
    </row>
    <row r="31" spans="1:14" ht="21.75" customHeight="1" x14ac:dyDescent="0.4">
      <c r="A31" s="86" t="s">
        <v>37</v>
      </c>
      <c r="B31" s="87"/>
      <c r="C31" s="88"/>
      <c r="D31" s="87"/>
      <c r="E31" s="89"/>
      <c r="F31" s="89"/>
      <c r="G31" s="90"/>
      <c r="H31" s="91"/>
      <c r="I31" s="92"/>
      <c r="J31" s="92"/>
      <c r="K31" s="93"/>
      <c r="L31" s="94"/>
      <c r="M31" s="94"/>
      <c r="N31" s="95"/>
    </row>
    <row r="32" spans="1:14" ht="21.75" customHeight="1" x14ac:dyDescent="0.4">
      <c r="A32" s="34"/>
      <c r="B32" s="35" t="s">
        <v>38</v>
      </c>
      <c r="C32" s="35"/>
      <c r="D32" s="36"/>
      <c r="E32" s="35"/>
      <c r="F32" s="35"/>
      <c r="G32" s="96"/>
      <c r="H32" s="37" t="s">
        <v>16</v>
      </c>
      <c r="I32" s="38">
        <f t="shared" ref="I32:J32" ca="1" si="8">+I44</f>
        <v>4</v>
      </c>
      <c r="J32" s="38">
        <f t="shared" si="8"/>
        <v>0</v>
      </c>
      <c r="K32" s="41">
        <f t="shared" ref="K32:K33" ca="1" si="9">IF(I32&gt;0,J32*100/I32,0)</f>
        <v>0</v>
      </c>
      <c r="L32" s="97">
        <f ca="1">L34+L35</f>
        <v>122100</v>
      </c>
      <c r="M32" s="97">
        <f>SUM(M34:M35)</f>
        <v>0</v>
      </c>
      <c r="N32" s="41">
        <f ca="1">IF(L32&gt;0,M32*100/L32,0)</f>
        <v>0</v>
      </c>
    </row>
    <row r="33" spans="1:14" ht="21.75" customHeight="1" x14ac:dyDescent="0.4">
      <c r="A33" s="34"/>
      <c r="B33" s="35"/>
      <c r="C33" s="35"/>
      <c r="D33" s="36" t="s">
        <v>39</v>
      </c>
      <c r="E33" s="35"/>
      <c r="F33" s="35"/>
      <c r="G33" s="96"/>
      <c r="H33" s="37" t="s">
        <v>40</v>
      </c>
      <c r="I33" s="38">
        <f ca="1">I48</f>
        <v>1</v>
      </c>
      <c r="J33" s="38">
        <f>+J48</f>
        <v>0</v>
      </c>
      <c r="K33" s="41">
        <f t="shared" ca="1" si="9"/>
        <v>0</v>
      </c>
      <c r="L33" s="97"/>
      <c r="M33" s="97"/>
      <c r="N33" s="41"/>
    </row>
    <row r="34" spans="1:14" ht="21.75" customHeight="1" x14ac:dyDescent="0.4">
      <c r="A34" s="42"/>
      <c r="B34" s="43"/>
      <c r="C34" s="43" t="s">
        <v>17</v>
      </c>
      <c r="D34" s="44" t="s">
        <v>18</v>
      </c>
      <c r="E34" s="45"/>
      <c r="F34" s="45"/>
      <c r="G34" s="46" t="s">
        <v>19</v>
      </c>
      <c r="H34" s="47" t="s">
        <v>20</v>
      </c>
      <c r="I34" s="48" t="s">
        <v>21</v>
      </c>
      <c r="J34" s="48"/>
      <c r="K34" s="49"/>
      <c r="L34" s="53">
        <v>0</v>
      </c>
      <c r="M34" s="50">
        <v>0</v>
      </c>
      <c r="N34" s="50">
        <f t="shared" ref="N34:N37" si="10">+IF(L34&gt;0,M34*100/L34,0)</f>
        <v>0</v>
      </c>
    </row>
    <row r="35" spans="1:14" ht="21.75" customHeight="1" x14ac:dyDescent="0.4">
      <c r="A35" s="42"/>
      <c r="B35" s="43"/>
      <c r="C35" s="43"/>
      <c r="D35" s="51"/>
      <c r="E35" s="45"/>
      <c r="F35" s="45" t="s">
        <v>21</v>
      </c>
      <c r="G35" s="46" t="s">
        <v>22</v>
      </c>
      <c r="H35" s="47" t="s">
        <v>20</v>
      </c>
      <c r="I35" s="48"/>
      <c r="J35" s="48"/>
      <c r="K35" s="49"/>
      <c r="L35" s="53">
        <f ca="1">IFERROR(__xludf.DUMMYFUNCTION("IMPORTRANGE(""https://docs.google.com/spreadsheets/d/1C3CXT74ZlgGe6_JY_1olB1XN4rF0dxEuIIF-xsYjHgg/edit?usp=sharing"",""พรบ!O22"")"),122100)</f>
        <v>122100</v>
      </c>
      <c r="M35" s="50">
        <f>SUM(M36:M37)</f>
        <v>0</v>
      </c>
      <c r="N35" s="50">
        <f t="shared" ca="1" si="10"/>
        <v>0</v>
      </c>
    </row>
    <row r="36" spans="1:14" ht="21.75" customHeight="1" x14ac:dyDescent="0.4">
      <c r="A36" s="42"/>
      <c r="B36" s="43"/>
      <c r="C36" s="43"/>
      <c r="D36" s="51"/>
      <c r="E36" s="45"/>
      <c r="F36" s="45"/>
      <c r="G36" s="52" t="s">
        <v>23</v>
      </c>
      <c r="H36" s="47" t="s">
        <v>20</v>
      </c>
      <c r="I36" s="48"/>
      <c r="J36" s="48"/>
      <c r="K36" s="49"/>
      <c r="L36" s="53">
        <f ca="1">IFERROR(__xludf.DUMMYFUNCTION("IMPORTRANGE(""https://docs.google.com/spreadsheets/d/1C3CXT74ZlgGe6_JY_1olB1XN4rF0dxEuIIF-xsYjHgg/edit?usp=sharing"",""พรบ!P22"")"),0)</f>
        <v>0</v>
      </c>
      <c r="M36" s="53">
        <v>0</v>
      </c>
      <c r="N36" s="53">
        <f t="shared" ca="1" si="10"/>
        <v>0</v>
      </c>
    </row>
    <row r="37" spans="1:14" ht="21.75" customHeight="1" x14ac:dyDescent="0.4">
      <c r="A37" s="42"/>
      <c r="B37" s="43"/>
      <c r="C37" s="43"/>
      <c r="D37" s="51"/>
      <c r="E37" s="45"/>
      <c r="F37" s="45"/>
      <c r="G37" s="52" t="s">
        <v>24</v>
      </c>
      <c r="H37" s="47" t="s">
        <v>20</v>
      </c>
      <c r="I37" s="48"/>
      <c r="J37" s="48"/>
      <c r="K37" s="49"/>
      <c r="L37" s="53">
        <f ca="1">IFERROR(__xludf.DUMMYFUNCTION("IMPORTRANGE(""https://docs.google.com/spreadsheets/d/1C3CXT74ZlgGe6_JY_1olB1XN4rF0dxEuIIF-xsYjHgg/edit?usp=sharing"",""พรบ!Q22"")"),122100)</f>
        <v>122100</v>
      </c>
      <c r="M37" s="54">
        <v>0</v>
      </c>
      <c r="N37" s="53">
        <f t="shared" ca="1" si="10"/>
        <v>0</v>
      </c>
    </row>
    <row r="38" spans="1:14" ht="21.75" customHeight="1" x14ac:dyDescent="0.4">
      <c r="A38" s="55"/>
      <c r="B38" s="56"/>
      <c r="C38" s="43" t="s">
        <v>17</v>
      </c>
      <c r="D38" s="57" t="s">
        <v>25</v>
      </c>
      <c r="E38" s="58"/>
      <c r="F38" s="58"/>
      <c r="G38" s="59"/>
      <c r="H38" s="60"/>
      <c r="I38" s="48"/>
      <c r="J38" s="48"/>
      <c r="K38" s="49"/>
      <c r="L38" s="61"/>
      <c r="M38" s="61"/>
      <c r="N38" s="61"/>
    </row>
    <row r="39" spans="1:14" ht="21.75" customHeight="1" x14ac:dyDescent="0.4">
      <c r="A39" s="55"/>
      <c r="B39" s="56"/>
      <c r="C39" s="56"/>
      <c r="D39" s="62">
        <v>1</v>
      </c>
      <c r="E39" s="63" t="s">
        <v>26</v>
      </c>
      <c r="F39" s="64"/>
      <c r="G39" s="65"/>
      <c r="H39" s="66"/>
      <c r="I39" s="67"/>
      <c r="J39" s="68">
        <v>0</v>
      </c>
      <c r="K39" s="49"/>
      <c r="L39" s="61"/>
      <c r="M39" s="61"/>
      <c r="N39" s="61"/>
    </row>
    <row r="40" spans="1:14" ht="21.75" customHeight="1" x14ac:dyDescent="0.4">
      <c r="A40" s="55"/>
      <c r="B40" s="56"/>
      <c r="C40" s="56"/>
      <c r="D40" s="69">
        <v>2</v>
      </c>
      <c r="E40" s="70" t="s">
        <v>27</v>
      </c>
      <c r="F40" s="71"/>
      <c r="G40" s="72"/>
      <c r="H40" s="66"/>
      <c r="I40" s="67"/>
      <c r="J40" s="68">
        <v>1</v>
      </c>
      <c r="K40" s="49"/>
      <c r="L40" s="61" t="s">
        <v>21</v>
      </c>
      <c r="M40" s="61" t="s">
        <v>21</v>
      </c>
      <c r="N40" s="61"/>
    </row>
    <row r="41" spans="1:14" ht="21.75" customHeight="1" x14ac:dyDescent="0.4">
      <c r="A41" s="55"/>
      <c r="B41" s="56"/>
      <c r="C41" s="56"/>
      <c r="D41" s="73"/>
      <c r="E41" s="74" t="s">
        <v>28</v>
      </c>
      <c r="F41" s="75"/>
      <c r="G41" s="76"/>
      <c r="H41" s="66"/>
      <c r="I41" s="67"/>
      <c r="J41" s="68">
        <v>1</v>
      </c>
      <c r="K41" s="49"/>
      <c r="L41" s="61"/>
      <c r="M41" s="61"/>
      <c r="N41" s="61"/>
    </row>
    <row r="42" spans="1:14" ht="21.75" customHeight="1" x14ac:dyDescent="0.4">
      <c r="A42" s="55"/>
      <c r="B42" s="56"/>
      <c r="C42" s="56"/>
      <c r="D42" s="73"/>
      <c r="E42" s="74" t="s">
        <v>29</v>
      </c>
      <c r="F42" s="75"/>
      <c r="G42" s="76"/>
      <c r="H42" s="66"/>
      <c r="I42" s="67"/>
      <c r="K42" s="49"/>
      <c r="L42" s="61"/>
      <c r="M42" s="61"/>
      <c r="N42" s="61"/>
    </row>
    <row r="43" spans="1:14" ht="21.75" customHeight="1" x14ac:dyDescent="0.4">
      <c r="A43" s="55"/>
      <c r="B43" s="56"/>
      <c r="C43" s="56"/>
      <c r="D43" s="73"/>
      <c r="E43" s="75"/>
      <c r="F43" s="75" t="s">
        <v>227</v>
      </c>
      <c r="G43" s="75"/>
      <c r="H43" s="60" t="s">
        <v>42</v>
      </c>
      <c r="I43" s="48">
        <f ca="1">IFERROR(__xludf.DUMMYFUNCTION("IMPORTRANGE(""https://docs.google.com/spreadsheets/d/1C3CXT74ZlgGe6_JY_1olB1XN4rF0dxEuIIF-xsYjHgg/edit?usp=sharing"",""พรบ!R22"")"),1)</f>
        <v>1</v>
      </c>
      <c r="J43" s="68">
        <v>0</v>
      </c>
      <c r="K43" s="49">
        <f t="shared" ref="K43:K48" ca="1" si="11">IF(I43&gt;0,J43*100/I43,0)</f>
        <v>0</v>
      </c>
      <c r="L43" s="61"/>
      <c r="M43" s="61"/>
      <c r="N43" s="61"/>
    </row>
    <row r="44" spans="1:14" ht="21.75" customHeight="1" x14ac:dyDescent="0.4">
      <c r="A44" s="55"/>
      <c r="B44" s="56"/>
      <c r="C44" s="56"/>
      <c r="D44" s="73"/>
      <c r="E44" s="77"/>
      <c r="F44" s="74" t="s">
        <v>43</v>
      </c>
      <c r="G44" s="75"/>
      <c r="H44" s="60" t="s">
        <v>16</v>
      </c>
      <c r="I44" s="48">
        <f ca="1">IFERROR(__xludf.DUMMYFUNCTION("IMPORTRANGE(""https://docs.google.com/spreadsheets/d/1C3CXT74ZlgGe6_JY_1olB1XN4rF0dxEuIIF-xsYjHgg/edit?usp=sharing"",""พรบ!S22"")"),4)</f>
        <v>4</v>
      </c>
      <c r="J44" s="68">
        <v>0</v>
      </c>
      <c r="K44" s="49">
        <f t="shared" ca="1" si="11"/>
        <v>0</v>
      </c>
      <c r="L44" s="61"/>
      <c r="M44" s="61"/>
      <c r="N44" s="61"/>
    </row>
    <row r="45" spans="1:14" ht="21.75" customHeight="1" x14ac:dyDescent="0.4">
      <c r="A45" s="55"/>
      <c r="B45" s="56"/>
      <c r="C45" s="56"/>
      <c r="D45" s="73"/>
      <c r="E45" s="77"/>
      <c r="F45" s="75"/>
      <c r="G45" s="98" t="s">
        <v>44</v>
      </c>
      <c r="H45" s="60" t="s">
        <v>16</v>
      </c>
      <c r="I45" s="48">
        <f ca="1">IFERROR(__xludf.DUMMYFUNCTION("IMPORTRANGE(""https://docs.google.com/spreadsheets/d/1C3CXT74ZlgGe6_JY_1olB1XN4rF0dxEuIIF-xsYjHgg/edit?usp=sharing"",""พรบ!T22"")"),4)</f>
        <v>4</v>
      </c>
      <c r="J45" s="68">
        <v>0</v>
      </c>
      <c r="K45" s="49">
        <f t="shared" ca="1" si="11"/>
        <v>0</v>
      </c>
      <c r="L45" s="61"/>
      <c r="M45" s="61"/>
      <c r="N45" s="61"/>
    </row>
    <row r="46" spans="1:14" ht="21.75" customHeight="1" x14ac:dyDescent="0.4">
      <c r="A46" s="55"/>
      <c r="B46" s="56"/>
      <c r="C46" s="56"/>
      <c r="D46" s="73"/>
      <c r="E46" s="77"/>
      <c r="F46" s="75"/>
      <c r="G46" s="98" t="s">
        <v>45</v>
      </c>
      <c r="H46" s="60" t="s">
        <v>16</v>
      </c>
      <c r="I46" s="48">
        <f ca="1">IFERROR(__xludf.DUMMYFUNCTION("IMPORTRANGE(""https://docs.google.com/spreadsheets/d/1C3CXT74ZlgGe6_JY_1olB1XN4rF0dxEuIIF-xsYjHgg/edit?usp=sharing"",""พรบ!U22"")"),4)</f>
        <v>4</v>
      </c>
      <c r="J46" s="68">
        <v>0</v>
      </c>
      <c r="K46" s="49">
        <f t="shared" ca="1" si="11"/>
        <v>0</v>
      </c>
      <c r="L46" s="61"/>
      <c r="M46" s="61"/>
      <c r="N46" s="61"/>
    </row>
    <row r="47" spans="1:14" ht="21.75" customHeight="1" x14ac:dyDescent="0.4">
      <c r="A47" s="55"/>
      <c r="B47" s="56"/>
      <c r="C47" s="56"/>
      <c r="D47" s="73"/>
      <c r="E47" s="77"/>
      <c r="F47" s="75"/>
      <c r="G47" s="99" t="s">
        <v>46</v>
      </c>
      <c r="H47" s="60" t="s">
        <v>16</v>
      </c>
      <c r="I47" s="48">
        <f ca="1">IFERROR(__xludf.DUMMYFUNCTION("IMPORTRANGE(""https://docs.google.com/spreadsheets/d/1C3CXT74ZlgGe6_JY_1olB1XN4rF0dxEuIIF-xsYjHgg/edit?usp=sharing"",""พรบ!V22"")"),4)</f>
        <v>4</v>
      </c>
      <c r="J47" s="68">
        <v>0</v>
      </c>
      <c r="K47" s="49">
        <f t="shared" ca="1" si="11"/>
        <v>0</v>
      </c>
      <c r="L47" s="61"/>
      <c r="M47" s="61"/>
      <c r="N47" s="61"/>
    </row>
    <row r="48" spans="1:14" ht="21.75" customHeight="1" x14ac:dyDescent="0.4">
      <c r="A48" s="55"/>
      <c r="B48" s="56"/>
      <c r="C48" s="56"/>
      <c r="D48" s="73"/>
      <c r="E48" s="77"/>
      <c r="F48" s="75" t="s">
        <v>47</v>
      </c>
      <c r="G48" s="75"/>
      <c r="H48" s="60" t="s">
        <v>40</v>
      </c>
      <c r="I48" s="48">
        <f ca="1">IFERROR(__xludf.DUMMYFUNCTION("IMPORTRANGE(""https://docs.google.com/spreadsheets/d/1C3CXT74ZlgGe6_JY_1olB1XN4rF0dxEuIIF-xsYjHgg/edit?usp=sharing"",""พรบ!W22"")"),1)</f>
        <v>1</v>
      </c>
      <c r="J48" s="68">
        <v>0</v>
      </c>
      <c r="K48" s="49">
        <f t="shared" ca="1" si="11"/>
        <v>0</v>
      </c>
      <c r="L48" s="61"/>
      <c r="M48" s="61"/>
      <c r="N48" s="61"/>
    </row>
    <row r="49" spans="1:14" ht="21.75" customHeight="1" x14ac:dyDescent="0.4">
      <c r="A49" s="55"/>
      <c r="B49" s="56"/>
      <c r="C49" s="56"/>
      <c r="D49" s="73"/>
      <c r="E49" s="74" t="s">
        <v>35</v>
      </c>
      <c r="F49" s="75"/>
      <c r="G49" s="76"/>
      <c r="H49" s="66"/>
      <c r="I49" s="67"/>
      <c r="J49" s="68">
        <v>0</v>
      </c>
      <c r="K49" s="49"/>
      <c r="L49" s="61"/>
      <c r="M49" s="61"/>
      <c r="N49" s="61"/>
    </row>
    <row r="50" spans="1:14" ht="21.75" customHeight="1" x14ac:dyDescent="0.4">
      <c r="A50" s="55"/>
      <c r="B50" s="56"/>
      <c r="C50" s="56"/>
      <c r="D50" s="81">
        <v>3</v>
      </c>
      <c r="E50" s="82" t="s">
        <v>36</v>
      </c>
      <c r="F50" s="83"/>
      <c r="G50" s="84"/>
      <c r="H50" s="66"/>
      <c r="I50" s="67"/>
      <c r="J50" s="85">
        <v>0</v>
      </c>
      <c r="K50" s="49"/>
      <c r="L50" s="61"/>
      <c r="M50" s="61"/>
      <c r="N50" s="61"/>
    </row>
    <row r="51" spans="1:14" ht="21.75" customHeight="1" x14ac:dyDescent="0.4">
      <c r="A51" s="86" t="s">
        <v>48</v>
      </c>
      <c r="B51" s="100"/>
      <c r="C51" s="101"/>
      <c r="D51" s="100"/>
      <c r="E51" s="102"/>
      <c r="F51" s="102"/>
      <c r="G51" s="103"/>
      <c r="H51" s="91"/>
      <c r="I51" s="92"/>
      <c r="J51" s="92"/>
      <c r="K51" s="93"/>
      <c r="L51" s="94"/>
      <c r="M51" s="94"/>
      <c r="N51" s="95"/>
    </row>
    <row r="52" spans="1:14" ht="21.75" customHeight="1" x14ac:dyDescent="0.4">
      <c r="A52" s="34"/>
      <c r="B52" s="35" t="s">
        <v>49</v>
      </c>
      <c r="C52" s="104"/>
      <c r="D52" s="36"/>
      <c r="E52" s="35"/>
      <c r="F52" s="35"/>
      <c r="G52" s="96"/>
      <c r="H52" s="37" t="s">
        <v>16</v>
      </c>
      <c r="I52" s="38">
        <f ca="1">I62</f>
        <v>0</v>
      </c>
      <c r="J52" s="38">
        <f>+J62</f>
        <v>0</v>
      </c>
      <c r="K52" s="41">
        <f ca="1">IF(I52&gt;0,J52*100/I52,0)</f>
        <v>0</v>
      </c>
      <c r="L52" s="40">
        <f ca="1">L53+L54</f>
        <v>0</v>
      </c>
      <c r="M52" s="40">
        <f>SUM(M53:M54)</f>
        <v>0</v>
      </c>
      <c r="N52" s="41">
        <f ca="1">IF(L52&gt;0,M52*100/L52,0)</f>
        <v>0</v>
      </c>
    </row>
    <row r="53" spans="1:14" ht="21.75" customHeight="1" x14ac:dyDescent="0.4">
      <c r="A53" s="42"/>
      <c r="B53" s="43"/>
      <c r="C53" s="43" t="s">
        <v>17</v>
      </c>
      <c r="D53" s="44" t="s">
        <v>18</v>
      </c>
      <c r="E53" s="45"/>
      <c r="F53" s="45"/>
      <c r="G53" s="46" t="s">
        <v>19</v>
      </c>
      <c r="H53" s="47" t="s">
        <v>20</v>
      </c>
      <c r="I53" s="48" t="s">
        <v>21</v>
      </c>
      <c r="J53" s="48"/>
      <c r="K53" s="49"/>
      <c r="L53" s="50">
        <v>0</v>
      </c>
      <c r="M53" s="50">
        <v>0</v>
      </c>
      <c r="N53" s="50">
        <f t="shared" ref="N53:N56" si="12">+IF(L53&gt;0,M53*100/L53,0)</f>
        <v>0</v>
      </c>
    </row>
    <row r="54" spans="1:14" ht="21.75" customHeight="1" x14ac:dyDescent="0.4">
      <c r="A54" s="42"/>
      <c r="B54" s="43"/>
      <c r="C54" s="43"/>
      <c r="D54" s="51"/>
      <c r="E54" s="45"/>
      <c r="F54" s="45" t="s">
        <v>21</v>
      </c>
      <c r="G54" s="46" t="s">
        <v>22</v>
      </c>
      <c r="H54" s="47" t="s">
        <v>20</v>
      </c>
      <c r="I54" s="48"/>
      <c r="J54" s="48"/>
      <c r="K54" s="49"/>
      <c r="L54" s="50">
        <f t="shared" ref="L54:M54" ca="1" si="13">SUM(L55:L56)</f>
        <v>0</v>
      </c>
      <c r="M54" s="50">
        <f t="shared" si="13"/>
        <v>0</v>
      </c>
      <c r="N54" s="50">
        <f t="shared" ca="1" si="12"/>
        <v>0</v>
      </c>
    </row>
    <row r="55" spans="1:14" ht="21.75" customHeight="1" x14ac:dyDescent="0.4">
      <c r="A55" s="42"/>
      <c r="B55" s="43"/>
      <c r="C55" s="43"/>
      <c r="D55" s="51"/>
      <c r="E55" s="45"/>
      <c r="F55" s="45"/>
      <c r="G55" s="52" t="s">
        <v>23</v>
      </c>
      <c r="H55" s="47" t="s">
        <v>20</v>
      </c>
      <c r="I55" s="48"/>
      <c r="J55" s="48"/>
      <c r="K55" s="49"/>
      <c r="L55" s="53">
        <f ca="1">IFERROR(__xludf.DUMMYFUNCTION("IMPORTRANGE(""https://docs.google.com/spreadsheets/d/1C3CXT74ZlgGe6_JY_1olB1XN4rF0dxEuIIF-xsYjHgg/edit?usp=sharing"",""พรบ!Y22"")"),0)</f>
        <v>0</v>
      </c>
      <c r="M55" s="53">
        <v>0</v>
      </c>
      <c r="N55" s="53">
        <f t="shared" ca="1" si="12"/>
        <v>0</v>
      </c>
    </row>
    <row r="56" spans="1:14" ht="21.75" customHeight="1" x14ac:dyDescent="0.4">
      <c r="A56" s="42"/>
      <c r="B56" s="43"/>
      <c r="C56" s="43"/>
      <c r="D56" s="51"/>
      <c r="E56" s="45"/>
      <c r="F56" s="45"/>
      <c r="G56" s="52" t="s">
        <v>24</v>
      </c>
      <c r="H56" s="47" t="s">
        <v>20</v>
      </c>
      <c r="I56" s="48"/>
      <c r="J56" s="67"/>
      <c r="K56" s="233"/>
      <c r="L56" s="53">
        <f ca="1">IFERROR(__xludf.DUMMYFUNCTION("IMPORTRANGE(""https://docs.google.com/spreadsheets/d/1C3CXT74ZlgGe6_JY_1olB1XN4rF0dxEuIIF-xsYjHgg/edit?usp=sharing"",""พรบ!Z22"")"),0)</f>
        <v>0</v>
      </c>
      <c r="M56" s="53">
        <v>0</v>
      </c>
      <c r="N56" s="53">
        <f t="shared" ca="1" si="12"/>
        <v>0</v>
      </c>
    </row>
    <row r="57" spans="1:14" ht="21.75" customHeight="1" x14ac:dyDescent="0.4">
      <c r="A57" s="55"/>
      <c r="B57" s="56"/>
      <c r="C57" s="43" t="s">
        <v>17</v>
      </c>
      <c r="D57" s="57" t="s">
        <v>250</v>
      </c>
      <c r="E57" s="58"/>
      <c r="F57" s="58"/>
      <c r="G57" s="59"/>
      <c r="H57" s="60"/>
      <c r="I57" s="48"/>
      <c r="J57" s="67"/>
      <c r="K57" s="233"/>
      <c r="L57" s="53"/>
      <c r="M57" s="53"/>
      <c r="N57" s="61"/>
    </row>
    <row r="58" spans="1:14" ht="21.75" customHeight="1" x14ac:dyDescent="0.4">
      <c r="A58" s="55"/>
      <c r="B58" s="56"/>
      <c r="C58" s="56"/>
      <c r="D58" s="62">
        <v>1</v>
      </c>
      <c r="E58" s="63" t="s">
        <v>26</v>
      </c>
      <c r="F58" s="64"/>
      <c r="G58" s="65"/>
      <c r="H58" s="66"/>
      <c r="I58" s="67"/>
      <c r="J58" s="67">
        <v>0</v>
      </c>
      <c r="K58" s="233"/>
      <c r="L58" s="53"/>
      <c r="M58" s="53"/>
      <c r="N58" s="61"/>
    </row>
    <row r="59" spans="1:14" ht="21.75" customHeight="1" x14ac:dyDescent="0.4">
      <c r="A59" s="55"/>
      <c r="B59" s="56"/>
      <c r="C59" s="56"/>
      <c r="D59" s="69">
        <v>2</v>
      </c>
      <c r="E59" s="70" t="s">
        <v>27</v>
      </c>
      <c r="F59" s="71"/>
      <c r="G59" s="72"/>
      <c r="H59" s="66"/>
      <c r="I59" s="67"/>
      <c r="J59" s="67">
        <v>0</v>
      </c>
      <c r="K59" s="233"/>
      <c r="L59" s="53" t="s">
        <v>21</v>
      </c>
      <c r="M59" s="53" t="s">
        <v>21</v>
      </c>
      <c r="N59" s="61"/>
    </row>
    <row r="60" spans="1:14" ht="21.75" customHeight="1" x14ac:dyDescent="0.4">
      <c r="A60" s="55"/>
      <c r="B60" s="56"/>
      <c r="C60" s="56"/>
      <c r="D60" s="73"/>
      <c r="E60" s="74" t="s">
        <v>28</v>
      </c>
      <c r="F60" s="75"/>
      <c r="G60" s="76"/>
      <c r="H60" s="66"/>
      <c r="I60" s="67"/>
      <c r="J60" s="67">
        <v>0</v>
      </c>
      <c r="K60" s="233"/>
      <c r="L60" s="53"/>
      <c r="M60" s="53"/>
      <c r="N60" s="61"/>
    </row>
    <row r="61" spans="1:14" ht="21.75" customHeight="1" x14ac:dyDescent="0.4">
      <c r="A61" s="55"/>
      <c r="B61" s="56"/>
      <c r="C61" s="56"/>
      <c r="D61" s="73"/>
      <c r="E61" s="74" t="s">
        <v>29</v>
      </c>
      <c r="F61" s="75"/>
      <c r="G61" s="76"/>
      <c r="H61" s="66"/>
      <c r="I61" s="67"/>
      <c r="J61" s="67">
        <v>0</v>
      </c>
      <c r="K61" s="233"/>
      <c r="L61" s="53"/>
      <c r="M61" s="53"/>
      <c r="N61" s="61"/>
    </row>
    <row r="62" spans="1:14" ht="21.75" customHeight="1" x14ac:dyDescent="0.4">
      <c r="A62" s="55"/>
      <c r="B62" s="56"/>
      <c r="C62" s="56"/>
      <c r="D62" s="73"/>
      <c r="E62" s="77"/>
      <c r="F62" s="74" t="s">
        <v>50</v>
      </c>
      <c r="G62" s="76"/>
      <c r="H62" s="60" t="s">
        <v>16</v>
      </c>
      <c r="I62" s="67">
        <f ca="1">IFERROR(__xludf.DUMMYFUNCTION("IMPORTRANGE(""https://docs.google.com/spreadsheets/d/1C3CXT74ZlgGe6_JY_1olB1XN4rF0dxEuIIF-xsYjHgg/edit?usp=sharing"",""พรบ!AA22"")"),0)</f>
        <v>0</v>
      </c>
      <c r="J62" s="67">
        <v>0</v>
      </c>
      <c r="K62" s="233">
        <f t="shared" ref="K62:K63" ca="1" si="14">IF(I62&gt;0,J62*100/I62,0)</f>
        <v>0</v>
      </c>
      <c r="L62" s="53"/>
      <c r="M62" s="53"/>
      <c r="N62" s="61"/>
    </row>
    <row r="63" spans="1:14" ht="21.75" customHeight="1" x14ac:dyDescent="0.4">
      <c r="A63" s="55"/>
      <c r="B63" s="56"/>
      <c r="C63" s="56"/>
      <c r="D63" s="73"/>
      <c r="E63" s="77"/>
      <c r="F63" s="74" t="s">
        <v>51</v>
      </c>
      <c r="G63" s="76"/>
      <c r="H63" s="60" t="s">
        <v>16</v>
      </c>
      <c r="I63" s="67">
        <f ca="1">I62</f>
        <v>0</v>
      </c>
      <c r="J63" s="67">
        <v>0</v>
      </c>
      <c r="K63" s="233">
        <f t="shared" ca="1" si="14"/>
        <v>0</v>
      </c>
      <c r="L63" s="53"/>
      <c r="M63" s="53"/>
      <c r="N63" s="61"/>
    </row>
    <row r="64" spans="1:14" ht="21.75" customHeight="1" x14ac:dyDescent="0.4">
      <c r="A64" s="55"/>
      <c r="B64" s="56"/>
      <c r="C64" s="56"/>
      <c r="D64" s="73"/>
      <c r="E64" s="74" t="s">
        <v>35</v>
      </c>
      <c r="F64" s="75"/>
      <c r="G64" s="76"/>
      <c r="H64" s="66"/>
      <c r="I64" s="67"/>
      <c r="J64" s="67">
        <v>0</v>
      </c>
      <c r="K64" s="233"/>
      <c r="L64" s="53"/>
      <c r="M64" s="53"/>
      <c r="N64" s="61"/>
    </row>
    <row r="65" spans="1:14" ht="21.75" customHeight="1" x14ac:dyDescent="0.4">
      <c r="A65" s="105"/>
      <c r="B65" s="106"/>
      <c r="C65" s="106"/>
      <c r="D65" s="107">
        <v>3</v>
      </c>
      <c r="E65" s="108" t="s">
        <v>36</v>
      </c>
      <c r="F65" s="109"/>
      <c r="G65" s="110"/>
      <c r="H65" s="111"/>
      <c r="I65" s="112"/>
      <c r="J65" s="356">
        <v>0</v>
      </c>
      <c r="K65" s="357"/>
      <c r="L65" s="358"/>
      <c r="M65" s="358"/>
      <c r="N65" s="115"/>
    </row>
    <row r="66" spans="1:14" ht="21.75" customHeight="1" x14ac:dyDescent="0.4">
      <c r="A66" s="116" t="s">
        <v>52</v>
      </c>
      <c r="B66" s="117"/>
      <c r="C66" s="117"/>
      <c r="D66" s="117"/>
      <c r="E66" s="118"/>
      <c r="F66" s="118"/>
      <c r="G66" s="119"/>
      <c r="H66" s="120"/>
      <c r="I66" s="121"/>
      <c r="J66" s="121"/>
      <c r="K66" s="122"/>
      <c r="L66" s="123"/>
      <c r="M66" s="123"/>
      <c r="N66" s="123"/>
    </row>
    <row r="67" spans="1:14" ht="21.75" customHeight="1" x14ac:dyDescent="0.4">
      <c r="A67" s="124" t="s">
        <v>53</v>
      </c>
      <c r="B67" s="125"/>
      <c r="C67" s="125"/>
      <c r="D67" s="126"/>
      <c r="E67" s="126"/>
      <c r="F67" s="126"/>
      <c r="G67" s="127"/>
      <c r="H67" s="128"/>
      <c r="I67" s="129"/>
      <c r="J67" s="129"/>
      <c r="K67" s="130"/>
      <c r="L67" s="130"/>
      <c r="M67" s="130"/>
      <c r="N67" s="131"/>
    </row>
    <row r="68" spans="1:14" ht="21.75" customHeight="1" x14ac:dyDescent="0.4">
      <c r="A68" s="132"/>
      <c r="B68" s="133" t="s">
        <v>54</v>
      </c>
      <c r="C68" s="134"/>
      <c r="D68" s="133"/>
      <c r="E68" s="133"/>
      <c r="F68" s="133"/>
      <c r="G68" s="135"/>
      <c r="H68" s="136" t="s">
        <v>16</v>
      </c>
      <c r="I68" s="137">
        <f t="shared" ref="I68:J68" ca="1" si="15">I126+I129</f>
        <v>100</v>
      </c>
      <c r="J68" s="137">
        <f t="shared" si="15"/>
        <v>0</v>
      </c>
      <c r="K68" s="138">
        <f ca="1">IF(I68&gt;0,J68*100/I68,0)</f>
        <v>0</v>
      </c>
      <c r="L68" s="139">
        <f t="shared" ref="L68:M68" ca="1" si="16">SUM(L70:L71)</f>
        <v>891700</v>
      </c>
      <c r="M68" s="139">
        <f t="shared" si="16"/>
        <v>106421.02</v>
      </c>
      <c r="N68" s="138">
        <f ca="1">IF(L68&gt;0,M68*100/L68,0)</f>
        <v>11.934621509476282</v>
      </c>
    </row>
    <row r="69" spans="1:14" ht="21.75" customHeight="1" x14ac:dyDescent="0.4">
      <c r="A69" s="132"/>
      <c r="B69" s="133" t="s">
        <v>55</v>
      </c>
      <c r="C69" s="134"/>
      <c r="D69" s="133"/>
      <c r="E69" s="133"/>
      <c r="F69" s="133"/>
      <c r="G69" s="135"/>
      <c r="H69" s="136"/>
      <c r="I69" s="137"/>
      <c r="J69" s="137"/>
      <c r="K69" s="138"/>
      <c r="L69" s="139"/>
      <c r="M69" s="139"/>
      <c r="N69" s="138"/>
    </row>
    <row r="70" spans="1:14" ht="21.75" customHeight="1" x14ac:dyDescent="0.4">
      <c r="A70" s="42"/>
      <c r="B70" s="43"/>
      <c r="C70" s="43" t="s">
        <v>17</v>
      </c>
      <c r="D70" s="44" t="s">
        <v>18</v>
      </c>
      <c r="E70" s="45"/>
      <c r="F70" s="45"/>
      <c r="G70" s="46" t="s">
        <v>19</v>
      </c>
      <c r="H70" s="47" t="s">
        <v>20</v>
      </c>
      <c r="I70" s="48" t="s">
        <v>21</v>
      </c>
      <c r="J70" s="48"/>
      <c r="K70" s="49"/>
      <c r="L70" s="50">
        <v>0</v>
      </c>
      <c r="M70" s="50">
        <v>0</v>
      </c>
      <c r="N70" s="50">
        <f t="shared" ref="N70:N77" si="17">+IF(L70&gt;0,M70*100/L70,0)</f>
        <v>0</v>
      </c>
    </row>
    <row r="71" spans="1:14" ht="21.75" customHeight="1" x14ac:dyDescent="0.4">
      <c r="A71" s="42"/>
      <c r="B71" s="43"/>
      <c r="C71" s="43"/>
      <c r="D71" s="51"/>
      <c r="E71" s="45"/>
      <c r="F71" s="45" t="s">
        <v>21</v>
      </c>
      <c r="G71" s="46" t="s">
        <v>22</v>
      </c>
      <c r="H71" s="47" t="s">
        <v>20</v>
      </c>
      <c r="I71" s="48"/>
      <c r="J71" s="48"/>
      <c r="K71" s="49"/>
      <c r="L71" s="50">
        <f ca="1">L72+L73</f>
        <v>891700</v>
      </c>
      <c r="M71" s="140">
        <f>SUM(M72:M73)</f>
        <v>106421.02</v>
      </c>
      <c r="N71" s="50">
        <f t="shared" ca="1" si="17"/>
        <v>11.934621509476282</v>
      </c>
    </row>
    <row r="72" spans="1:14" ht="21.75" customHeight="1" x14ac:dyDescent="0.4">
      <c r="A72" s="42"/>
      <c r="B72" s="43"/>
      <c r="C72" s="43"/>
      <c r="D72" s="51"/>
      <c r="E72" s="45"/>
      <c r="F72" s="45"/>
      <c r="G72" s="52" t="s">
        <v>23</v>
      </c>
      <c r="H72" s="47" t="s">
        <v>20</v>
      </c>
      <c r="I72" s="48"/>
      <c r="J72" s="48"/>
      <c r="K72" s="49"/>
      <c r="L72" s="53">
        <f ca="1">IFERROR(__xludf.DUMMYFUNCTION("IMPORTRANGE(""https://docs.google.com/spreadsheets/d/1C3CXT74ZlgGe6_JY_1olB1XN4rF0dxEuIIF-xsYjHgg/edit?usp=sharing"",""พรบ!AD22"")"),331400)</f>
        <v>331400</v>
      </c>
      <c r="M72" s="54">
        <v>18681.66</v>
      </c>
      <c r="N72" s="53">
        <f t="shared" ca="1" si="17"/>
        <v>5.6371937235968614</v>
      </c>
    </row>
    <row r="73" spans="1:14" ht="21.75" customHeight="1" x14ac:dyDescent="0.4">
      <c r="A73" s="42"/>
      <c r="B73" s="43"/>
      <c r="C73" s="43"/>
      <c r="D73" s="51"/>
      <c r="E73" s="45"/>
      <c r="F73" s="45"/>
      <c r="G73" s="52" t="s">
        <v>24</v>
      </c>
      <c r="H73" s="47" t="s">
        <v>20</v>
      </c>
      <c r="I73" s="48"/>
      <c r="J73" s="48"/>
      <c r="K73" s="49"/>
      <c r="L73" s="53">
        <f t="shared" ref="L73:M73" ca="1" si="18">L77+L92+L104+L117+L132</f>
        <v>560300</v>
      </c>
      <c r="M73" s="53">
        <f t="shared" si="18"/>
        <v>87739.36</v>
      </c>
      <c r="N73" s="53">
        <f t="shared" ca="1" si="17"/>
        <v>15.659353917544173</v>
      </c>
    </row>
    <row r="74" spans="1:14" ht="21.75" customHeight="1" x14ac:dyDescent="0.4">
      <c r="A74" s="141"/>
      <c r="B74" s="142"/>
      <c r="C74" s="143" t="s">
        <v>56</v>
      </c>
      <c r="D74" s="143"/>
      <c r="E74" s="143"/>
      <c r="F74" s="143"/>
      <c r="G74" s="144"/>
      <c r="H74" s="145" t="s">
        <v>57</v>
      </c>
      <c r="I74" s="146">
        <f t="shared" ref="I74:J74" ca="1" si="19">I83</f>
        <v>4</v>
      </c>
      <c r="J74" s="146">
        <f t="shared" si="19"/>
        <v>0</v>
      </c>
      <c r="K74" s="147">
        <f ca="1">IF(I74&gt;0,J74*100/I74,0)</f>
        <v>0</v>
      </c>
      <c r="L74" s="148">
        <f ca="1">L75+L76</f>
        <v>7500</v>
      </c>
      <c r="M74" s="148">
        <f>SUM(M75:M76)</f>
        <v>0</v>
      </c>
      <c r="N74" s="148">
        <f t="shared" ca="1" si="17"/>
        <v>0</v>
      </c>
    </row>
    <row r="75" spans="1:14" ht="21.75" customHeight="1" x14ac:dyDescent="0.4">
      <c r="A75" s="42"/>
      <c r="B75" s="43"/>
      <c r="C75" s="43" t="s">
        <v>17</v>
      </c>
      <c r="D75" s="44" t="s">
        <v>18</v>
      </c>
      <c r="E75" s="45"/>
      <c r="F75" s="45"/>
      <c r="G75" s="46" t="s">
        <v>19</v>
      </c>
      <c r="H75" s="47" t="s">
        <v>20</v>
      </c>
      <c r="I75" s="48" t="s">
        <v>21</v>
      </c>
      <c r="J75" s="48"/>
      <c r="K75" s="49"/>
      <c r="L75" s="50">
        <v>0</v>
      </c>
      <c r="M75" s="50">
        <v>0</v>
      </c>
      <c r="N75" s="50">
        <f t="shared" si="17"/>
        <v>0</v>
      </c>
    </row>
    <row r="76" spans="1:14" ht="21.75" customHeight="1" x14ac:dyDescent="0.4">
      <c r="A76" s="42"/>
      <c r="B76" s="43"/>
      <c r="C76" s="43"/>
      <c r="D76" s="51"/>
      <c r="E76" s="45"/>
      <c r="F76" s="45" t="s">
        <v>21</v>
      </c>
      <c r="G76" s="46" t="s">
        <v>22</v>
      </c>
      <c r="H76" s="47" t="s">
        <v>20</v>
      </c>
      <c r="I76" s="48"/>
      <c r="J76" s="48"/>
      <c r="K76" s="49"/>
      <c r="L76" s="50">
        <f t="shared" ref="L76:M76" ca="1" si="20">L77</f>
        <v>7500</v>
      </c>
      <c r="M76" s="50">
        <f t="shared" si="20"/>
        <v>0</v>
      </c>
      <c r="N76" s="50">
        <f t="shared" ca="1" si="17"/>
        <v>0</v>
      </c>
    </row>
    <row r="77" spans="1:14" ht="21.75" customHeight="1" x14ac:dyDescent="0.4">
      <c r="A77" s="42"/>
      <c r="B77" s="43"/>
      <c r="C77" s="43"/>
      <c r="D77" s="51"/>
      <c r="E77" s="45"/>
      <c r="F77" s="45"/>
      <c r="G77" s="52" t="s">
        <v>24</v>
      </c>
      <c r="H77" s="47" t="s">
        <v>20</v>
      </c>
      <c r="I77" s="48"/>
      <c r="J77" s="48"/>
      <c r="K77" s="49"/>
      <c r="L77" s="53">
        <f ca="1">IFERROR(__xludf.DUMMYFUNCTION("IMPORTRANGE(""https://docs.google.com/spreadsheets/d/1C3CXT74ZlgGe6_JY_1olB1XN4rF0dxEuIIF-xsYjHgg/edit?usp=sharing"",""พรบ!AF22"")"),7500)</f>
        <v>7500</v>
      </c>
      <c r="M77" s="54">
        <v>0</v>
      </c>
      <c r="N77" s="53">
        <f t="shared" ca="1" si="17"/>
        <v>0</v>
      </c>
    </row>
    <row r="78" spans="1:14" ht="21.75" customHeight="1" x14ac:dyDescent="0.4">
      <c r="A78" s="55"/>
      <c r="B78" s="56"/>
      <c r="C78" s="43" t="s">
        <v>17</v>
      </c>
      <c r="D78" s="57" t="s">
        <v>25</v>
      </c>
      <c r="E78" s="58"/>
      <c r="F78" s="58"/>
      <c r="G78" s="59"/>
      <c r="H78" s="60"/>
      <c r="I78" s="48"/>
      <c r="J78" s="48"/>
      <c r="K78" s="49"/>
      <c r="L78" s="61"/>
      <c r="M78" s="61"/>
      <c r="N78" s="61"/>
    </row>
    <row r="79" spans="1:14" ht="21.75" customHeight="1" x14ac:dyDescent="0.4">
      <c r="A79" s="55"/>
      <c r="B79" s="56"/>
      <c r="C79" s="56"/>
      <c r="D79" s="62">
        <v>1</v>
      </c>
      <c r="E79" s="63" t="s">
        <v>26</v>
      </c>
      <c r="F79" s="64"/>
      <c r="G79" s="65"/>
      <c r="H79" s="66"/>
      <c r="I79" s="67"/>
      <c r="J79" s="68">
        <v>0</v>
      </c>
      <c r="K79" s="49"/>
      <c r="L79" s="61"/>
      <c r="M79" s="61"/>
      <c r="N79" s="61"/>
    </row>
    <row r="80" spans="1:14" ht="21.75" customHeight="1" x14ac:dyDescent="0.4">
      <c r="A80" s="55"/>
      <c r="B80" s="56"/>
      <c r="C80" s="56"/>
      <c r="D80" s="69">
        <v>2</v>
      </c>
      <c r="E80" s="70" t="s">
        <v>27</v>
      </c>
      <c r="F80" s="71"/>
      <c r="G80" s="72"/>
      <c r="H80" s="66"/>
      <c r="I80" s="67"/>
      <c r="J80" s="68">
        <v>1</v>
      </c>
      <c r="K80" s="49"/>
      <c r="L80" s="61" t="s">
        <v>21</v>
      </c>
      <c r="M80" s="61" t="s">
        <v>21</v>
      </c>
      <c r="N80" s="61"/>
    </row>
    <row r="81" spans="1:14" ht="21.75" customHeight="1" x14ac:dyDescent="0.4">
      <c r="A81" s="55"/>
      <c r="B81" s="56"/>
      <c r="C81" s="56"/>
      <c r="D81" s="73"/>
      <c r="E81" s="74" t="s">
        <v>28</v>
      </c>
      <c r="F81" s="75"/>
      <c r="G81" s="76"/>
      <c r="H81" s="66"/>
      <c r="I81" s="67"/>
      <c r="J81" s="68">
        <v>1</v>
      </c>
      <c r="K81" s="49"/>
      <c r="L81" s="61"/>
      <c r="M81" s="61"/>
      <c r="N81" s="61"/>
    </row>
    <row r="82" spans="1:14" ht="21.75" customHeight="1" x14ac:dyDescent="0.4">
      <c r="A82" s="55"/>
      <c r="B82" s="56"/>
      <c r="C82" s="56"/>
      <c r="D82" s="73"/>
      <c r="E82" s="74" t="s">
        <v>29</v>
      </c>
      <c r="F82" s="75"/>
      <c r="G82" s="76"/>
      <c r="H82" s="66"/>
      <c r="I82" s="67"/>
      <c r="J82" s="68">
        <v>0</v>
      </c>
      <c r="K82" s="49"/>
      <c r="L82" s="61"/>
      <c r="M82" s="61"/>
      <c r="N82" s="61"/>
    </row>
    <row r="83" spans="1:14" ht="21.75" customHeight="1" x14ac:dyDescent="0.4">
      <c r="A83" s="55"/>
      <c r="B83" s="56"/>
      <c r="C83" s="56"/>
      <c r="D83" s="73"/>
      <c r="E83" s="77"/>
      <c r="F83" s="74" t="s">
        <v>58</v>
      </c>
      <c r="G83" s="76"/>
      <c r="H83" s="60" t="s">
        <v>57</v>
      </c>
      <c r="I83" s="67">
        <f ca="1">IFERROR(__xludf.DUMMYFUNCTION("IMPORTRANGE(""https://docs.google.com/spreadsheets/d/1C3CXT74ZlgGe6_JY_1olB1XN4rF0dxEuIIF-xsYjHgg/edit?usp=sharing"",""พรบ!AG22"")"),4)</f>
        <v>4</v>
      </c>
      <c r="J83" s="68">
        <v>0</v>
      </c>
      <c r="K83" s="49">
        <f ca="1">IF(I83&gt;0,J83*100/I83,0)</f>
        <v>0</v>
      </c>
      <c r="L83" s="61"/>
      <c r="M83" s="61"/>
      <c r="N83" s="61"/>
    </row>
    <row r="84" spans="1:14" ht="21.75" customHeight="1" x14ac:dyDescent="0.4">
      <c r="A84" s="55"/>
      <c r="B84" s="56"/>
      <c r="C84" s="56"/>
      <c r="D84" s="73"/>
      <c r="E84" s="75"/>
      <c r="F84" s="75" t="s">
        <v>59</v>
      </c>
      <c r="G84" s="76"/>
      <c r="H84" s="66" t="s">
        <v>16</v>
      </c>
      <c r="I84" s="67"/>
      <c r="J84" s="67">
        <f>J85+J86</f>
        <v>0</v>
      </c>
      <c r="K84" s="49"/>
      <c r="L84" s="61"/>
      <c r="M84" s="61"/>
      <c r="N84" s="61"/>
    </row>
    <row r="85" spans="1:14" ht="21.75" customHeight="1" x14ac:dyDescent="0.4">
      <c r="A85" s="55"/>
      <c r="B85" s="56"/>
      <c r="C85" s="56"/>
      <c r="D85" s="73"/>
      <c r="E85" s="75"/>
      <c r="F85" s="75"/>
      <c r="G85" s="76" t="s">
        <v>60</v>
      </c>
      <c r="H85" s="66" t="s">
        <v>16</v>
      </c>
      <c r="I85" s="67"/>
      <c r="J85" s="68">
        <v>0</v>
      </c>
      <c r="K85" s="49"/>
      <c r="L85" s="61"/>
      <c r="M85" s="61"/>
      <c r="N85" s="61"/>
    </row>
    <row r="86" spans="1:14" ht="21.75" customHeight="1" x14ac:dyDescent="0.4">
      <c r="A86" s="55"/>
      <c r="B86" s="56"/>
      <c r="C86" s="56"/>
      <c r="D86" s="73"/>
      <c r="E86" s="75"/>
      <c r="F86" s="75"/>
      <c r="G86" s="76" t="s">
        <v>61</v>
      </c>
      <c r="H86" s="66" t="s">
        <v>16</v>
      </c>
      <c r="I86" s="67"/>
      <c r="J86" s="68">
        <v>0</v>
      </c>
      <c r="K86" s="49"/>
      <c r="L86" s="61"/>
      <c r="M86" s="61"/>
      <c r="N86" s="61"/>
    </row>
    <row r="87" spans="1:14" ht="21.75" customHeight="1" x14ac:dyDescent="0.4">
      <c r="A87" s="55"/>
      <c r="B87" s="56"/>
      <c r="C87" s="56"/>
      <c r="D87" s="73"/>
      <c r="E87" s="74" t="s">
        <v>35</v>
      </c>
      <c r="F87" s="75"/>
      <c r="G87" s="76"/>
      <c r="H87" s="66"/>
      <c r="I87" s="67"/>
      <c r="J87" s="68">
        <v>0</v>
      </c>
      <c r="K87" s="49"/>
      <c r="L87" s="61"/>
      <c r="M87" s="61"/>
      <c r="N87" s="61"/>
    </row>
    <row r="88" spans="1:14" ht="21.75" customHeight="1" x14ac:dyDescent="0.4">
      <c r="A88" s="55"/>
      <c r="B88" s="56"/>
      <c r="C88" s="56"/>
      <c r="D88" s="81">
        <v>3</v>
      </c>
      <c r="E88" s="82" t="s">
        <v>36</v>
      </c>
      <c r="F88" s="83"/>
      <c r="G88" s="84"/>
      <c r="H88" s="66"/>
      <c r="I88" s="67"/>
      <c r="J88" s="85">
        <v>0</v>
      </c>
      <c r="K88" s="49"/>
      <c r="L88" s="61"/>
      <c r="M88" s="61"/>
      <c r="N88" s="61"/>
    </row>
    <row r="89" spans="1:14" ht="21.75" customHeight="1" x14ac:dyDescent="0.4">
      <c r="A89" s="141"/>
      <c r="B89" s="142"/>
      <c r="C89" s="143" t="s">
        <v>62</v>
      </c>
      <c r="D89" s="143"/>
      <c r="E89" s="143"/>
      <c r="F89" s="143"/>
      <c r="G89" s="144"/>
      <c r="H89" s="149" t="s">
        <v>63</v>
      </c>
      <c r="I89" s="150">
        <f t="shared" ref="I89:J89" ca="1" si="21">I98</f>
        <v>2</v>
      </c>
      <c r="J89" s="150">
        <f t="shared" si="21"/>
        <v>0</v>
      </c>
      <c r="K89" s="151">
        <f ca="1">IF(I89&gt;0,J89*100/I89,0)</f>
        <v>0</v>
      </c>
      <c r="L89" s="148">
        <f ca="1">L90+L91</f>
        <v>28000</v>
      </c>
      <c r="M89" s="148">
        <f>SUM(M90:M91)</f>
        <v>0</v>
      </c>
      <c r="N89" s="148">
        <f t="shared" ref="N89:N92" ca="1" si="22">+IF(L89&gt;0,M89*100/L89,0)</f>
        <v>0</v>
      </c>
    </row>
    <row r="90" spans="1:14" ht="21.75" customHeight="1" x14ac:dyDescent="0.4">
      <c r="A90" s="42"/>
      <c r="B90" s="43"/>
      <c r="C90" s="43" t="s">
        <v>17</v>
      </c>
      <c r="D90" s="44" t="s">
        <v>18</v>
      </c>
      <c r="E90" s="45"/>
      <c r="F90" s="45"/>
      <c r="G90" s="46" t="s">
        <v>19</v>
      </c>
      <c r="H90" s="47" t="s">
        <v>20</v>
      </c>
      <c r="I90" s="48" t="s">
        <v>21</v>
      </c>
      <c r="J90" s="48"/>
      <c r="K90" s="49"/>
      <c r="L90" s="50">
        <v>0</v>
      </c>
      <c r="M90" s="50">
        <v>0</v>
      </c>
      <c r="N90" s="50">
        <f t="shared" si="22"/>
        <v>0</v>
      </c>
    </row>
    <row r="91" spans="1:14" ht="21.75" customHeight="1" x14ac:dyDescent="0.4">
      <c r="A91" s="42"/>
      <c r="B91" s="43"/>
      <c r="C91" s="43"/>
      <c r="D91" s="51"/>
      <c r="E91" s="45"/>
      <c r="F91" s="45" t="s">
        <v>21</v>
      </c>
      <c r="G91" s="46" t="s">
        <v>22</v>
      </c>
      <c r="H91" s="47" t="s">
        <v>20</v>
      </c>
      <c r="I91" s="48"/>
      <c r="J91" s="48"/>
      <c r="K91" s="49"/>
      <c r="L91" s="50">
        <f t="shared" ref="L91:M91" ca="1" si="23">L92</f>
        <v>28000</v>
      </c>
      <c r="M91" s="50">
        <f t="shared" si="23"/>
        <v>0</v>
      </c>
      <c r="N91" s="50">
        <f t="shared" ca="1" si="22"/>
        <v>0</v>
      </c>
    </row>
    <row r="92" spans="1:14" ht="21.75" customHeight="1" x14ac:dyDescent="0.4">
      <c r="A92" s="42"/>
      <c r="B92" s="43"/>
      <c r="C92" s="43"/>
      <c r="D92" s="51"/>
      <c r="E92" s="45"/>
      <c r="F92" s="45"/>
      <c r="G92" s="52" t="s">
        <v>24</v>
      </c>
      <c r="H92" s="47" t="s">
        <v>20</v>
      </c>
      <c r="I92" s="48"/>
      <c r="J92" s="48"/>
      <c r="K92" s="49"/>
      <c r="L92" s="53">
        <f ca="1">IFERROR(__xludf.DUMMYFUNCTION("IMPORTRANGE(""https://docs.google.com/spreadsheets/d/1C3CXT74ZlgGe6_JY_1olB1XN4rF0dxEuIIF-xsYjHgg/edit?usp=sharing"",""พรบ!AH22"")"),28000)</f>
        <v>28000</v>
      </c>
      <c r="M92" s="54">
        <v>0</v>
      </c>
      <c r="N92" s="53">
        <f t="shared" ca="1" si="22"/>
        <v>0</v>
      </c>
    </row>
    <row r="93" spans="1:14" ht="21.75" customHeight="1" x14ac:dyDescent="0.4">
      <c r="A93" s="55"/>
      <c r="B93" s="56"/>
      <c r="C93" s="43" t="s">
        <v>17</v>
      </c>
      <c r="D93" s="57" t="s">
        <v>25</v>
      </c>
      <c r="E93" s="58"/>
      <c r="F93" s="58"/>
      <c r="G93" s="59"/>
      <c r="H93" s="60"/>
      <c r="I93" s="48"/>
      <c r="J93" s="48"/>
      <c r="K93" s="49"/>
      <c r="L93" s="61"/>
      <c r="M93" s="61"/>
      <c r="N93" s="61"/>
    </row>
    <row r="94" spans="1:14" ht="21.75" customHeight="1" x14ac:dyDescent="0.4">
      <c r="A94" s="55"/>
      <c r="B94" s="56"/>
      <c r="C94" s="56"/>
      <c r="D94" s="62">
        <v>1</v>
      </c>
      <c r="E94" s="63" t="s">
        <v>26</v>
      </c>
      <c r="F94" s="64"/>
      <c r="G94" s="65"/>
      <c r="H94" s="66"/>
      <c r="I94" s="67"/>
      <c r="J94" s="68">
        <v>0</v>
      </c>
      <c r="K94" s="49"/>
      <c r="L94" s="61"/>
      <c r="M94" s="61"/>
      <c r="N94" s="61"/>
    </row>
    <row r="95" spans="1:14" ht="21.75" customHeight="1" x14ac:dyDescent="0.4">
      <c r="A95" s="55"/>
      <c r="B95" s="56"/>
      <c r="C95" s="56"/>
      <c r="D95" s="69">
        <v>2</v>
      </c>
      <c r="E95" s="70" t="s">
        <v>27</v>
      </c>
      <c r="F95" s="71"/>
      <c r="G95" s="72"/>
      <c r="H95" s="66"/>
      <c r="I95" s="67"/>
      <c r="J95" s="68">
        <v>1</v>
      </c>
      <c r="K95" s="49"/>
      <c r="L95" s="61" t="s">
        <v>21</v>
      </c>
      <c r="M95" s="61" t="s">
        <v>21</v>
      </c>
      <c r="N95" s="61"/>
    </row>
    <row r="96" spans="1:14" ht="21.75" customHeight="1" x14ac:dyDescent="0.4">
      <c r="A96" s="55"/>
      <c r="B96" s="56"/>
      <c r="C96" s="56"/>
      <c r="D96" s="73"/>
      <c r="E96" s="74" t="s">
        <v>28</v>
      </c>
      <c r="F96" s="75"/>
      <c r="G96" s="76"/>
      <c r="H96" s="66"/>
      <c r="I96" s="67"/>
      <c r="J96" s="68">
        <v>1</v>
      </c>
      <c r="K96" s="49"/>
      <c r="L96" s="61"/>
      <c r="M96" s="61"/>
      <c r="N96" s="61"/>
    </row>
    <row r="97" spans="1:14" ht="21.75" customHeight="1" x14ac:dyDescent="0.4">
      <c r="A97" s="55"/>
      <c r="B97" s="56"/>
      <c r="C97" s="56"/>
      <c r="D97" s="73"/>
      <c r="E97" s="74" t="s">
        <v>29</v>
      </c>
      <c r="F97" s="75"/>
      <c r="G97" s="76"/>
      <c r="H97" s="66"/>
      <c r="I97" s="67"/>
      <c r="J97" s="68">
        <v>1</v>
      </c>
      <c r="K97" s="49"/>
      <c r="L97" s="61"/>
      <c r="M97" s="61"/>
      <c r="N97" s="61"/>
    </row>
    <row r="98" spans="1:14" ht="21.75" customHeight="1" x14ac:dyDescent="0.4">
      <c r="A98" s="55"/>
      <c r="B98" s="56"/>
      <c r="C98" s="56"/>
      <c r="D98" s="73"/>
      <c r="E98" s="77"/>
      <c r="F98" s="74" t="s">
        <v>64</v>
      </c>
      <c r="G98" s="76"/>
      <c r="H98" s="60" t="s">
        <v>63</v>
      </c>
      <c r="I98" s="67">
        <f ca="1">IFERROR(__xludf.DUMMYFUNCTION("IMPORTRANGE(""https://docs.google.com/spreadsheets/d/1C3CXT74ZlgGe6_JY_1olB1XN4rF0dxEuIIF-xsYjHgg/edit?usp=sharing"",""พรบ!AI22"")"),2)</f>
        <v>2</v>
      </c>
      <c r="J98" s="68">
        <v>0</v>
      </c>
      <c r="K98" s="49">
        <f ca="1">IF(I98&gt;0,J98*100/I98,0)</f>
        <v>0</v>
      </c>
      <c r="L98" s="53">
        <f ca="1">IFERROR(__xludf.DUMMYFUNCTION("IMPORTRANGE(""https://docs.google.com/spreadsheets/d/1C3CXT74ZlgGe6_JY_1olB1XN4rF0dxEuIIF-xsYjHgg/edit?usp=sharing"",""กปร!C22"")"),24000)</f>
        <v>24000</v>
      </c>
      <c r="M98" s="359">
        <v>0</v>
      </c>
      <c r="N98" s="53">
        <f ca="1">+IF(L98&gt;0,M98*100/L98,0)</f>
        <v>0</v>
      </c>
    </row>
    <row r="99" spans="1:14" ht="21.75" customHeight="1" x14ac:dyDescent="0.4">
      <c r="A99" s="55"/>
      <c r="B99" s="56"/>
      <c r="C99" s="56"/>
      <c r="D99" s="73"/>
      <c r="E99" s="74" t="s">
        <v>35</v>
      </c>
      <c r="F99" s="75"/>
      <c r="G99" s="76"/>
      <c r="H99" s="66"/>
      <c r="I99" s="67"/>
      <c r="J99" s="68">
        <v>0</v>
      </c>
      <c r="K99" s="49"/>
      <c r="L99" s="61"/>
      <c r="M99" s="61"/>
      <c r="N99" s="61"/>
    </row>
    <row r="100" spans="1:14" ht="21.75" customHeight="1" x14ac:dyDescent="0.4">
      <c r="A100" s="55"/>
      <c r="B100" s="56"/>
      <c r="C100" s="56"/>
      <c r="D100" s="81">
        <v>3</v>
      </c>
      <c r="E100" s="82" t="s">
        <v>36</v>
      </c>
      <c r="F100" s="83"/>
      <c r="G100" s="84"/>
      <c r="H100" s="66"/>
      <c r="I100" s="67"/>
      <c r="J100" s="85">
        <v>0</v>
      </c>
      <c r="K100" s="49"/>
      <c r="L100" s="61"/>
      <c r="M100" s="61"/>
      <c r="N100" s="61"/>
    </row>
    <row r="101" spans="1:14" ht="21.75" customHeight="1" x14ac:dyDescent="0.4">
      <c r="A101" s="141"/>
      <c r="B101" s="142"/>
      <c r="C101" s="143" t="s">
        <v>65</v>
      </c>
      <c r="D101" s="143"/>
      <c r="E101" s="143"/>
      <c r="F101" s="143"/>
      <c r="G101" s="144"/>
      <c r="H101" s="149" t="s">
        <v>63</v>
      </c>
      <c r="I101" s="150">
        <f t="shared" ref="I101:J101" ca="1" si="24">I111</f>
        <v>1</v>
      </c>
      <c r="J101" s="150">
        <f t="shared" si="24"/>
        <v>0</v>
      </c>
      <c r="K101" s="151">
        <f ca="1">IF(I101&gt;0,J101*100/I101,0)</f>
        <v>0</v>
      </c>
      <c r="L101" s="148">
        <f ca="1">L102+L103</f>
        <v>15000</v>
      </c>
      <c r="M101" s="148">
        <f>SUM(M102:M103)</f>
        <v>0</v>
      </c>
      <c r="N101" s="148">
        <f t="shared" ref="N101:N104" ca="1" si="25">+IF(L101&gt;0,M101*100/L101,0)</f>
        <v>0</v>
      </c>
    </row>
    <row r="102" spans="1:14" ht="21.75" customHeight="1" x14ac:dyDescent="0.4">
      <c r="A102" s="42"/>
      <c r="B102" s="43"/>
      <c r="C102" s="43" t="s">
        <v>17</v>
      </c>
      <c r="D102" s="44" t="s">
        <v>18</v>
      </c>
      <c r="E102" s="45"/>
      <c r="F102" s="45"/>
      <c r="G102" s="46" t="s">
        <v>19</v>
      </c>
      <c r="H102" s="47" t="s">
        <v>20</v>
      </c>
      <c r="I102" s="48" t="s">
        <v>21</v>
      </c>
      <c r="J102" s="48"/>
      <c r="K102" s="49"/>
      <c r="L102" s="50">
        <v>0</v>
      </c>
      <c r="M102" s="50">
        <v>0</v>
      </c>
      <c r="N102" s="50">
        <f t="shared" si="25"/>
        <v>0</v>
      </c>
    </row>
    <row r="103" spans="1:14" ht="21.75" customHeight="1" x14ac:dyDescent="0.4">
      <c r="A103" s="42"/>
      <c r="B103" s="43"/>
      <c r="C103" s="43"/>
      <c r="D103" s="51"/>
      <c r="E103" s="45"/>
      <c r="F103" s="45" t="s">
        <v>21</v>
      </c>
      <c r="G103" s="46" t="s">
        <v>22</v>
      </c>
      <c r="H103" s="47" t="s">
        <v>20</v>
      </c>
      <c r="I103" s="48"/>
      <c r="J103" s="48"/>
      <c r="K103" s="49"/>
      <c r="L103" s="50">
        <f ca="1">SUM(L104)</f>
        <v>15000</v>
      </c>
      <c r="M103" s="50">
        <f>M104</f>
        <v>0</v>
      </c>
      <c r="N103" s="50">
        <f t="shared" ca="1" si="25"/>
        <v>0</v>
      </c>
    </row>
    <row r="104" spans="1:14" ht="21.75" customHeight="1" x14ac:dyDescent="0.4">
      <c r="A104" s="42"/>
      <c r="B104" s="43"/>
      <c r="C104" s="43"/>
      <c r="D104" s="51"/>
      <c r="E104" s="45"/>
      <c r="F104" s="45"/>
      <c r="G104" s="52" t="s">
        <v>24</v>
      </c>
      <c r="H104" s="47" t="s">
        <v>20</v>
      </c>
      <c r="I104" s="48"/>
      <c r="J104" s="48"/>
      <c r="K104" s="49"/>
      <c r="L104" s="53">
        <f ca="1">IFERROR(__xludf.DUMMYFUNCTION("IMPORTRANGE(""https://docs.google.com/spreadsheets/d/1C3CXT74ZlgGe6_JY_1olB1XN4rF0dxEuIIF-xsYjHgg/edit?usp=sharing"",""พรบ!AJ22"")"),15000)</f>
        <v>15000</v>
      </c>
      <c r="M104" s="54">
        <v>0</v>
      </c>
      <c r="N104" s="53">
        <f t="shared" ca="1" si="25"/>
        <v>0</v>
      </c>
    </row>
    <row r="105" spans="1:14" ht="21.75" customHeight="1" x14ac:dyDescent="0.4">
      <c r="A105" s="55"/>
      <c r="B105" s="56"/>
      <c r="C105" s="43" t="s">
        <v>17</v>
      </c>
      <c r="D105" s="57" t="s">
        <v>25</v>
      </c>
      <c r="E105" s="58"/>
      <c r="F105" s="58"/>
      <c r="G105" s="59"/>
      <c r="H105" s="60"/>
      <c r="I105" s="48"/>
      <c r="J105" s="48"/>
      <c r="K105" s="49"/>
      <c r="L105" s="61"/>
      <c r="M105" s="61"/>
      <c r="N105" s="61"/>
    </row>
    <row r="106" spans="1:14" ht="21.75" customHeight="1" x14ac:dyDescent="0.4">
      <c r="A106" s="55"/>
      <c r="B106" s="56"/>
      <c r="C106" s="56"/>
      <c r="D106" s="62">
        <v>1</v>
      </c>
      <c r="E106" s="63" t="s">
        <v>26</v>
      </c>
      <c r="F106" s="64"/>
      <c r="G106" s="65"/>
      <c r="H106" s="66"/>
      <c r="I106" s="67"/>
      <c r="J106" s="68">
        <v>0</v>
      </c>
      <c r="K106" s="49"/>
      <c r="L106" s="61"/>
      <c r="M106" s="61"/>
      <c r="N106" s="61"/>
    </row>
    <row r="107" spans="1:14" ht="21.75" customHeight="1" x14ac:dyDescent="0.4">
      <c r="A107" s="55"/>
      <c r="B107" s="56"/>
      <c r="C107" s="56"/>
      <c r="D107" s="69">
        <v>2</v>
      </c>
      <c r="E107" s="70" t="s">
        <v>27</v>
      </c>
      <c r="F107" s="71"/>
      <c r="G107" s="72"/>
      <c r="H107" s="66"/>
      <c r="I107" s="67"/>
      <c r="J107" s="68">
        <v>1</v>
      </c>
      <c r="K107" s="49"/>
      <c r="L107" s="61" t="s">
        <v>21</v>
      </c>
      <c r="M107" s="61" t="s">
        <v>21</v>
      </c>
      <c r="N107" s="61"/>
    </row>
    <row r="108" spans="1:14" ht="21.75" customHeight="1" x14ac:dyDescent="0.4">
      <c r="A108" s="55"/>
      <c r="B108" s="56"/>
      <c r="C108" s="56"/>
      <c r="D108" s="73"/>
      <c r="E108" s="74" t="s">
        <v>28</v>
      </c>
      <c r="F108" s="75"/>
      <c r="G108" s="76"/>
      <c r="H108" s="66"/>
      <c r="I108" s="67"/>
      <c r="J108" s="68">
        <v>1</v>
      </c>
      <c r="K108" s="49"/>
      <c r="L108" s="61"/>
      <c r="M108" s="61"/>
      <c r="N108" s="61"/>
    </row>
    <row r="109" spans="1:14" ht="21.75" customHeight="1" x14ac:dyDescent="0.4">
      <c r="A109" s="55"/>
      <c r="B109" s="56"/>
      <c r="C109" s="56"/>
      <c r="D109" s="73"/>
      <c r="E109" s="74" t="s">
        <v>29</v>
      </c>
      <c r="F109" s="75"/>
      <c r="G109" s="76"/>
      <c r="H109" s="66"/>
      <c r="I109" s="67"/>
      <c r="J109" s="68">
        <v>1</v>
      </c>
      <c r="K109" s="49"/>
      <c r="L109" s="61"/>
      <c r="M109" s="61"/>
      <c r="N109" s="61"/>
    </row>
    <row r="110" spans="1:14" ht="21.75" customHeight="1" x14ac:dyDescent="0.4">
      <c r="A110" s="55"/>
      <c r="B110" s="56"/>
      <c r="C110" s="56"/>
      <c r="D110" s="73"/>
      <c r="E110" s="77"/>
      <c r="F110" s="74" t="s">
        <v>66</v>
      </c>
      <c r="G110" s="76"/>
      <c r="H110" s="60" t="s">
        <v>63</v>
      </c>
      <c r="I110" s="67">
        <f ca="1">IFERROR(__xludf.DUMMYFUNCTION("IMPORTRANGE(""https://docs.google.com/spreadsheets/d/1C3CXT74ZlgGe6_JY_1olB1XN4rF0dxEuIIF-xsYjHgg/edit?usp=sharing"",""พรบ!AK22"")"),1)</f>
        <v>1</v>
      </c>
      <c r="J110" s="68">
        <v>0</v>
      </c>
      <c r="K110" s="49">
        <f t="shared" ref="K110:K111" ca="1" si="26">IF(I110&gt;0,J110*100/I110,0)</f>
        <v>0</v>
      </c>
      <c r="L110" s="53">
        <f ca="1">IFERROR(__xludf.DUMMYFUNCTION("IMPORTRANGE(""https://docs.google.com/spreadsheets/d/1C3CXT74ZlgGe6_JY_1olB1XN4rF0dxEuIIF-xsYjHgg/edit?usp=sharing"",""กปร!D22"")"),5000)</f>
        <v>5000</v>
      </c>
      <c r="M110" s="359">
        <v>0</v>
      </c>
      <c r="N110" s="53">
        <f t="shared" ref="N110:N111" ca="1" si="27">+IF(L110&gt;0,M110*100/L110,0)</f>
        <v>0</v>
      </c>
    </row>
    <row r="111" spans="1:14" ht="21.75" customHeight="1" x14ac:dyDescent="0.4">
      <c r="A111" s="55"/>
      <c r="B111" s="56"/>
      <c r="C111" s="56"/>
      <c r="D111" s="73"/>
      <c r="E111" s="77"/>
      <c r="F111" s="74" t="s">
        <v>67</v>
      </c>
      <c r="G111" s="76"/>
      <c r="H111" s="60" t="s">
        <v>63</v>
      </c>
      <c r="I111" s="67">
        <f ca="1">IFERROR(__xludf.DUMMYFUNCTION("IMPORTRANGE(""https://docs.google.com/spreadsheets/d/1C3CXT74ZlgGe6_JY_1olB1XN4rF0dxEuIIF-xsYjHgg/edit?usp=sharing"",""พรบ!AL22"")"),1)</f>
        <v>1</v>
      </c>
      <c r="J111" s="68">
        <v>0</v>
      </c>
      <c r="K111" s="49">
        <f t="shared" ca="1" si="26"/>
        <v>0</v>
      </c>
      <c r="L111" s="53">
        <f ca="1">IFERROR(__xludf.DUMMYFUNCTION("IMPORTRANGE(""https://docs.google.com/spreadsheets/d/1C3CXT74ZlgGe6_JY_1olB1XN4rF0dxEuIIF-xsYjHgg/edit?usp=sharing"",""กปร!E22"")"),8000)</f>
        <v>8000</v>
      </c>
      <c r="M111" s="359">
        <v>0</v>
      </c>
      <c r="N111" s="53">
        <f t="shared" ca="1" si="27"/>
        <v>0</v>
      </c>
    </row>
    <row r="112" spans="1:14" ht="21.75" customHeight="1" x14ac:dyDescent="0.4">
      <c r="A112" s="55"/>
      <c r="B112" s="56"/>
      <c r="C112" s="56"/>
      <c r="D112" s="73"/>
      <c r="E112" s="74" t="s">
        <v>35</v>
      </c>
      <c r="F112" s="75"/>
      <c r="G112" s="76"/>
      <c r="H112" s="66"/>
      <c r="I112" s="67"/>
      <c r="J112" s="68">
        <v>0</v>
      </c>
      <c r="K112" s="49"/>
      <c r="L112" s="61"/>
      <c r="M112" s="61"/>
      <c r="N112" s="61"/>
    </row>
    <row r="113" spans="1:14" ht="21.75" customHeight="1" x14ac:dyDescent="0.4">
      <c r="A113" s="55"/>
      <c r="B113" s="56"/>
      <c r="C113" s="56"/>
      <c r="D113" s="81">
        <v>3</v>
      </c>
      <c r="E113" s="82" t="s">
        <v>36</v>
      </c>
      <c r="F113" s="83"/>
      <c r="G113" s="84"/>
      <c r="H113" s="66"/>
      <c r="I113" s="67"/>
      <c r="J113" s="85">
        <v>0</v>
      </c>
      <c r="K113" s="49"/>
      <c r="L113" s="61"/>
      <c r="M113" s="61"/>
      <c r="N113" s="61"/>
    </row>
    <row r="114" spans="1:14" ht="21.75" customHeight="1" x14ac:dyDescent="0.4">
      <c r="A114" s="141"/>
      <c r="B114" s="142"/>
      <c r="C114" s="143" t="s">
        <v>68</v>
      </c>
      <c r="D114" s="143"/>
      <c r="E114" s="143"/>
      <c r="F114" s="143"/>
      <c r="G114" s="144"/>
      <c r="H114" s="152" t="s">
        <v>69</v>
      </c>
      <c r="I114" s="150">
        <f t="shared" ref="I114:J114" ca="1" si="28">I125</f>
        <v>16000</v>
      </c>
      <c r="J114" s="150">
        <f t="shared" si="28"/>
        <v>0</v>
      </c>
      <c r="K114" s="151">
        <f ca="1">IF(I114&gt;0,J114*100/I114,0)</f>
        <v>0</v>
      </c>
      <c r="L114" s="148">
        <f ca="1">L115+L116</f>
        <v>8400</v>
      </c>
      <c r="M114" s="148">
        <f>SUM(M115:M116)</f>
        <v>0</v>
      </c>
      <c r="N114" s="148">
        <f t="shared" ref="N114:N117" ca="1" si="29">+IF(L114&gt;0,M114*100/L114,0)</f>
        <v>0</v>
      </c>
    </row>
    <row r="115" spans="1:14" ht="21.75" customHeight="1" x14ac:dyDescent="0.4">
      <c r="A115" s="42"/>
      <c r="B115" s="43"/>
      <c r="C115" s="43" t="s">
        <v>17</v>
      </c>
      <c r="D115" s="44" t="s">
        <v>18</v>
      </c>
      <c r="E115" s="45"/>
      <c r="F115" s="45"/>
      <c r="G115" s="46" t="s">
        <v>19</v>
      </c>
      <c r="H115" s="47" t="s">
        <v>20</v>
      </c>
      <c r="I115" s="48" t="s">
        <v>21</v>
      </c>
      <c r="J115" s="48"/>
      <c r="K115" s="49"/>
      <c r="L115" s="50">
        <v>0</v>
      </c>
      <c r="M115" s="50">
        <v>0</v>
      </c>
      <c r="N115" s="50">
        <f t="shared" si="29"/>
        <v>0</v>
      </c>
    </row>
    <row r="116" spans="1:14" ht="21.75" customHeight="1" x14ac:dyDescent="0.4">
      <c r="A116" s="42"/>
      <c r="B116" s="43"/>
      <c r="C116" s="43"/>
      <c r="D116" s="51"/>
      <c r="E116" s="45"/>
      <c r="F116" s="45" t="s">
        <v>21</v>
      </c>
      <c r="G116" s="46" t="s">
        <v>22</v>
      </c>
      <c r="H116" s="47" t="s">
        <v>20</v>
      </c>
      <c r="I116" s="48"/>
      <c r="J116" s="48"/>
      <c r="K116" s="49"/>
      <c r="L116" s="50">
        <f ca="1">SUM(L117)</f>
        <v>8400</v>
      </c>
      <c r="M116" s="50">
        <f>M117</f>
        <v>0</v>
      </c>
      <c r="N116" s="50">
        <f t="shared" ca="1" si="29"/>
        <v>0</v>
      </c>
    </row>
    <row r="117" spans="1:14" ht="21.75" customHeight="1" x14ac:dyDescent="0.4">
      <c r="A117" s="42"/>
      <c r="B117" s="43"/>
      <c r="C117" s="43"/>
      <c r="D117" s="51"/>
      <c r="E117" s="45"/>
      <c r="F117" s="45"/>
      <c r="G117" s="52" t="s">
        <v>24</v>
      </c>
      <c r="H117" s="47" t="s">
        <v>20</v>
      </c>
      <c r="I117" s="48"/>
      <c r="J117" s="48"/>
      <c r="K117" s="49"/>
      <c r="L117" s="53">
        <f ca="1">IFERROR(__xludf.DUMMYFUNCTION("IMPORTRANGE(""https://docs.google.com/spreadsheets/d/1C3CXT74ZlgGe6_JY_1olB1XN4rF0dxEuIIF-xsYjHgg/edit?usp=sharing"",""พรบ!AM22"")"),8400)</f>
        <v>8400</v>
      </c>
      <c r="M117" s="54">
        <v>0</v>
      </c>
      <c r="N117" s="53">
        <f t="shared" ca="1" si="29"/>
        <v>0</v>
      </c>
    </row>
    <row r="118" spans="1:14" ht="21.75" customHeight="1" x14ac:dyDescent="0.4">
      <c r="A118" s="55"/>
      <c r="B118" s="56"/>
      <c r="C118" s="43" t="s">
        <v>17</v>
      </c>
      <c r="D118" s="57" t="s">
        <v>25</v>
      </c>
      <c r="E118" s="58"/>
      <c r="F118" s="58"/>
      <c r="G118" s="59"/>
      <c r="H118" s="60"/>
      <c r="I118" s="48"/>
      <c r="J118" s="48"/>
      <c r="K118" s="49"/>
      <c r="L118" s="61"/>
      <c r="M118" s="61"/>
      <c r="N118" s="61"/>
    </row>
    <row r="119" spans="1:14" ht="21.75" customHeight="1" x14ac:dyDescent="0.4">
      <c r="A119" s="55"/>
      <c r="B119" s="56"/>
      <c r="C119" s="56"/>
      <c r="D119" s="62">
        <v>1</v>
      </c>
      <c r="E119" s="63" t="s">
        <v>26</v>
      </c>
      <c r="F119" s="64"/>
      <c r="G119" s="65"/>
      <c r="H119" s="66"/>
      <c r="I119" s="67"/>
      <c r="J119" s="68">
        <v>0</v>
      </c>
      <c r="K119" s="49"/>
      <c r="L119" s="61"/>
      <c r="M119" s="61"/>
      <c r="N119" s="61"/>
    </row>
    <row r="120" spans="1:14" ht="21.75" customHeight="1" x14ac:dyDescent="0.4">
      <c r="A120" s="55"/>
      <c r="B120" s="56"/>
      <c r="C120" s="56"/>
      <c r="D120" s="69">
        <v>2</v>
      </c>
      <c r="E120" s="70" t="s">
        <v>27</v>
      </c>
      <c r="F120" s="71"/>
      <c r="G120" s="72"/>
      <c r="H120" s="66"/>
      <c r="I120" s="67"/>
      <c r="J120" s="68">
        <v>1</v>
      </c>
      <c r="K120" s="49"/>
      <c r="L120" s="61" t="s">
        <v>21</v>
      </c>
      <c r="M120" s="61" t="s">
        <v>21</v>
      </c>
      <c r="N120" s="61"/>
    </row>
    <row r="121" spans="1:14" ht="21.75" customHeight="1" x14ac:dyDescent="0.4">
      <c r="A121" s="55"/>
      <c r="B121" s="56"/>
      <c r="C121" s="56"/>
      <c r="D121" s="73"/>
      <c r="E121" s="74" t="s">
        <v>28</v>
      </c>
      <c r="F121" s="75"/>
      <c r="G121" s="76"/>
      <c r="H121" s="66"/>
      <c r="I121" s="67"/>
      <c r="J121" s="68">
        <v>1</v>
      </c>
      <c r="K121" s="49"/>
      <c r="L121" s="61"/>
      <c r="M121" s="61"/>
      <c r="N121" s="61"/>
    </row>
    <row r="122" spans="1:14" ht="21.75" customHeight="1" x14ac:dyDescent="0.4">
      <c r="A122" s="55"/>
      <c r="B122" s="56"/>
      <c r="C122" s="56"/>
      <c r="D122" s="73"/>
      <c r="E122" s="74" t="s">
        <v>29</v>
      </c>
      <c r="F122" s="75"/>
      <c r="G122" s="76"/>
      <c r="H122" s="66"/>
      <c r="I122" s="67"/>
      <c r="J122" s="68">
        <v>0</v>
      </c>
      <c r="K122" s="49"/>
      <c r="L122" s="61"/>
      <c r="M122" s="61"/>
      <c r="N122" s="61"/>
    </row>
    <row r="123" spans="1:14" ht="21.75" customHeight="1" x14ac:dyDescent="0.4">
      <c r="A123" s="55"/>
      <c r="B123" s="56"/>
      <c r="C123" s="56"/>
      <c r="D123" s="73"/>
      <c r="E123" s="75"/>
      <c r="F123" s="75" t="s">
        <v>70</v>
      </c>
      <c r="G123" s="76"/>
      <c r="H123" s="60"/>
      <c r="I123" s="67"/>
      <c r="J123" s="67"/>
      <c r="K123" s="49"/>
      <c r="L123" s="61"/>
      <c r="M123" s="61"/>
      <c r="N123" s="61"/>
    </row>
    <row r="124" spans="1:14" ht="21.75" customHeight="1" x14ac:dyDescent="0.4">
      <c r="A124" s="55"/>
      <c r="B124" s="56"/>
      <c r="C124" s="56"/>
      <c r="D124" s="73"/>
      <c r="E124" s="77"/>
      <c r="F124" s="75"/>
      <c r="G124" s="74" t="s">
        <v>71</v>
      </c>
      <c r="H124" s="60" t="s">
        <v>69</v>
      </c>
      <c r="I124" s="67">
        <f ca="1">IFERROR(__xludf.DUMMYFUNCTION("IMPORTRANGE(""https://docs.google.com/spreadsheets/d/1C3CXT74ZlgGe6_JY_1olB1XN4rF0dxEuIIF-xsYjHgg/edit?usp=sharing"",""พรบ!AO22"")"),16000)</f>
        <v>16000</v>
      </c>
      <c r="J124" s="68">
        <v>0</v>
      </c>
      <c r="K124" s="49">
        <f t="shared" ref="K124:K126" ca="1" si="30">IF(I124&gt;0,J124*100/I124,0)</f>
        <v>0</v>
      </c>
      <c r="L124" s="61"/>
      <c r="M124" s="61"/>
      <c r="N124" s="61"/>
    </row>
    <row r="125" spans="1:14" ht="21.75" customHeight="1" x14ac:dyDescent="0.4">
      <c r="A125" s="55"/>
      <c r="B125" s="56"/>
      <c r="C125" s="56"/>
      <c r="D125" s="73"/>
      <c r="E125" s="77"/>
      <c r="F125" s="75"/>
      <c r="G125" s="74" t="s">
        <v>72</v>
      </c>
      <c r="H125" s="60" t="s">
        <v>69</v>
      </c>
      <c r="I125" s="67">
        <f ca="1">IFERROR(__xludf.DUMMYFUNCTION("IMPORTRANGE(""https://docs.google.com/spreadsheets/d/1C3CXT74ZlgGe6_JY_1olB1XN4rF0dxEuIIF-xsYjHgg/edit?usp=sharing"",""พรบ!AP22"")"),16000)</f>
        <v>16000</v>
      </c>
      <c r="J125" s="68">
        <v>0</v>
      </c>
      <c r="K125" s="49">
        <f t="shared" ca="1" si="30"/>
        <v>0</v>
      </c>
      <c r="L125" s="53">
        <f ca="1">IFERROR(__xludf.DUMMYFUNCTION("IMPORTRANGE(""https://docs.google.com/spreadsheets/d/1C3CXT74ZlgGe6_JY_1olB1XN4rF0dxEuIIF-xsYjHgg/edit?usp=sharing"",""กปร!F22"")"),4400)</f>
        <v>4400</v>
      </c>
      <c r="M125" s="359">
        <v>0</v>
      </c>
      <c r="N125" s="53">
        <f t="shared" ref="N125:N126" ca="1" si="31">+IF(L125&gt;0,M125*100/L125,0)</f>
        <v>0</v>
      </c>
    </row>
    <row r="126" spans="1:14" ht="21.75" customHeight="1" x14ac:dyDescent="0.4">
      <c r="A126" s="55"/>
      <c r="B126" s="56"/>
      <c r="C126" s="56"/>
      <c r="D126" s="73"/>
      <c r="E126" s="77"/>
      <c r="F126" s="75" t="s">
        <v>73</v>
      </c>
      <c r="G126" s="76"/>
      <c r="H126" s="60" t="s">
        <v>16</v>
      </c>
      <c r="I126" s="67">
        <f ca="1">IFERROR(__xludf.DUMMYFUNCTION("IMPORTRANGE(""https://docs.google.com/spreadsheets/d/1C3CXT74ZlgGe6_JY_1olB1XN4rF0dxEuIIF-xsYjHgg/edit?usp=sharing"",""พรบ!AQ22"")"),0)</f>
        <v>0</v>
      </c>
      <c r="J126" s="67">
        <v>0</v>
      </c>
      <c r="K126" s="49">
        <f t="shared" ca="1" si="30"/>
        <v>0</v>
      </c>
      <c r="L126" s="53">
        <f ca="1">IFERROR(__xludf.DUMMYFUNCTION("IMPORTRANGE(""https://docs.google.com/spreadsheets/d/1C3CXT74ZlgGe6_JY_1olB1XN4rF0dxEuIIF-xsYjHgg/edit?usp=sharing"",""กปร!G22"")"),0)</f>
        <v>0</v>
      </c>
      <c r="M126" s="53">
        <v>0</v>
      </c>
      <c r="N126" s="53">
        <f t="shared" ca="1" si="31"/>
        <v>0</v>
      </c>
    </row>
    <row r="127" spans="1:14" ht="21.75" customHeight="1" x14ac:dyDescent="0.4">
      <c r="A127" s="55"/>
      <c r="B127" s="56"/>
      <c r="C127" s="56"/>
      <c r="D127" s="73"/>
      <c r="E127" s="74" t="s">
        <v>35</v>
      </c>
      <c r="F127" s="75"/>
      <c r="G127" s="76"/>
      <c r="H127" s="66"/>
      <c r="I127" s="67"/>
      <c r="J127" s="68">
        <v>0</v>
      </c>
      <c r="K127" s="49"/>
      <c r="L127" s="61"/>
      <c r="M127" s="61"/>
      <c r="N127" s="61"/>
    </row>
    <row r="128" spans="1:14" ht="21.75" customHeight="1" x14ac:dyDescent="0.4">
      <c r="A128" s="105"/>
      <c r="B128" s="106"/>
      <c r="C128" s="106"/>
      <c r="D128" s="107">
        <v>3</v>
      </c>
      <c r="E128" s="108" t="s">
        <v>36</v>
      </c>
      <c r="F128" s="109"/>
      <c r="G128" s="110"/>
      <c r="H128" s="111"/>
      <c r="I128" s="112"/>
      <c r="J128" s="113">
        <v>0</v>
      </c>
      <c r="K128" s="114"/>
      <c r="L128" s="115"/>
      <c r="M128" s="115"/>
      <c r="N128" s="115"/>
    </row>
    <row r="129" spans="1:14" ht="21.75" customHeight="1" x14ac:dyDescent="0.4">
      <c r="A129" s="141"/>
      <c r="B129" s="142"/>
      <c r="C129" s="153" t="s">
        <v>228</v>
      </c>
      <c r="D129" s="143"/>
      <c r="E129" s="143"/>
      <c r="F129" s="143"/>
      <c r="G129" s="144"/>
      <c r="H129" s="152" t="s">
        <v>16</v>
      </c>
      <c r="I129" s="150">
        <f t="shared" ref="I129:J129" ca="1" si="32">I138</f>
        <v>100</v>
      </c>
      <c r="J129" s="150">
        <f t="shared" si="32"/>
        <v>0</v>
      </c>
      <c r="K129" s="151">
        <f ca="1">IF(I129&gt;0,J129*100/I129,0)</f>
        <v>0</v>
      </c>
      <c r="L129" s="148">
        <f ca="1">L130+L131</f>
        <v>501400</v>
      </c>
      <c r="M129" s="148">
        <f>SUM(M130:M131)</f>
        <v>87739.36</v>
      </c>
      <c r="N129" s="148">
        <f t="shared" ref="N129:N132" ca="1" si="33">+IF(L129&gt;0,M129*100/L129,0)</f>
        <v>17.498875149581174</v>
      </c>
    </row>
    <row r="130" spans="1:14" ht="21.75" customHeight="1" x14ac:dyDescent="0.4">
      <c r="A130" s="42"/>
      <c r="B130" s="43"/>
      <c r="C130" s="43" t="s">
        <v>17</v>
      </c>
      <c r="D130" s="44" t="s">
        <v>18</v>
      </c>
      <c r="E130" s="45"/>
      <c r="F130" s="45"/>
      <c r="G130" s="46" t="s">
        <v>19</v>
      </c>
      <c r="H130" s="47" t="s">
        <v>20</v>
      </c>
      <c r="I130" s="48" t="s">
        <v>21</v>
      </c>
      <c r="J130" s="48"/>
      <c r="K130" s="49"/>
      <c r="L130" s="50">
        <v>0</v>
      </c>
      <c r="M130" s="50">
        <v>0</v>
      </c>
      <c r="N130" s="50">
        <f t="shared" si="33"/>
        <v>0</v>
      </c>
    </row>
    <row r="131" spans="1:14" ht="21.75" customHeight="1" x14ac:dyDescent="0.4">
      <c r="A131" s="42"/>
      <c r="B131" s="43"/>
      <c r="C131" s="43"/>
      <c r="D131" s="51"/>
      <c r="E131" s="45"/>
      <c r="F131" s="45" t="s">
        <v>21</v>
      </c>
      <c r="G131" s="46" t="s">
        <v>22</v>
      </c>
      <c r="H131" s="47" t="s">
        <v>20</v>
      </c>
      <c r="I131" s="48"/>
      <c r="J131" s="48"/>
      <c r="K131" s="49"/>
      <c r="L131" s="50">
        <f ca="1">SUM(L132)</f>
        <v>501400</v>
      </c>
      <c r="M131" s="50">
        <f>M132</f>
        <v>87739.36</v>
      </c>
      <c r="N131" s="50">
        <f t="shared" ca="1" si="33"/>
        <v>17.498875149581174</v>
      </c>
    </row>
    <row r="132" spans="1:14" ht="21.75" customHeight="1" x14ac:dyDescent="0.4">
      <c r="A132" s="42"/>
      <c r="B132" s="43"/>
      <c r="C132" s="43"/>
      <c r="D132" s="51"/>
      <c r="E132" s="45"/>
      <c r="F132" s="45"/>
      <c r="G132" s="52" t="s">
        <v>24</v>
      </c>
      <c r="H132" s="47" t="s">
        <v>20</v>
      </c>
      <c r="I132" s="48"/>
      <c r="J132" s="48"/>
      <c r="K132" s="49"/>
      <c r="L132" s="53">
        <f ca="1">IFERROR(__xludf.DUMMYFUNCTION("IMPORTRANGE(""https://docs.google.com/spreadsheets/d/1C3CXT74ZlgGe6_JY_1olB1XN4rF0dxEuIIF-xsYjHgg/edit?usp=sharing"",""พรบ!AR22"")"),501400)</f>
        <v>501400</v>
      </c>
      <c r="M132" s="54">
        <v>87739.36</v>
      </c>
      <c r="N132" s="53">
        <f t="shared" ca="1" si="33"/>
        <v>17.498875149581174</v>
      </c>
    </row>
    <row r="133" spans="1:14" ht="21.75" customHeight="1" x14ac:dyDescent="0.4">
      <c r="A133" s="55"/>
      <c r="B133" s="56"/>
      <c r="C133" s="43" t="s">
        <v>17</v>
      </c>
      <c r="D133" s="57" t="s">
        <v>25</v>
      </c>
      <c r="E133" s="58"/>
      <c r="F133" s="58"/>
      <c r="G133" s="59"/>
      <c r="H133" s="60"/>
      <c r="I133" s="48"/>
      <c r="J133" s="48"/>
      <c r="K133" s="49"/>
      <c r="L133" s="61"/>
      <c r="M133" s="61"/>
      <c r="N133" s="61"/>
    </row>
    <row r="134" spans="1:14" ht="21.75" customHeight="1" x14ac:dyDescent="0.4">
      <c r="A134" s="55"/>
      <c r="B134" s="56"/>
      <c r="C134" s="56"/>
      <c r="D134" s="62">
        <v>1</v>
      </c>
      <c r="E134" s="63" t="s">
        <v>26</v>
      </c>
      <c r="F134" s="64"/>
      <c r="G134" s="65"/>
      <c r="H134" s="66"/>
      <c r="I134" s="67"/>
      <c r="J134" s="68">
        <v>0</v>
      </c>
      <c r="K134" s="49"/>
      <c r="L134" s="61"/>
      <c r="M134" s="61"/>
      <c r="N134" s="61"/>
    </row>
    <row r="135" spans="1:14" ht="21.75" customHeight="1" x14ac:dyDescent="0.4">
      <c r="A135" s="55"/>
      <c r="B135" s="56"/>
      <c r="C135" s="56"/>
      <c r="D135" s="69">
        <v>2</v>
      </c>
      <c r="E135" s="70" t="s">
        <v>27</v>
      </c>
      <c r="F135" s="71"/>
      <c r="G135" s="72"/>
      <c r="H135" s="66"/>
      <c r="I135" s="67"/>
      <c r="J135" s="68">
        <v>1</v>
      </c>
      <c r="K135" s="49"/>
      <c r="L135" s="61" t="s">
        <v>21</v>
      </c>
      <c r="M135" s="61" t="s">
        <v>21</v>
      </c>
      <c r="N135" s="61"/>
    </row>
    <row r="136" spans="1:14" ht="21.75" customHeight="1" x14ac:dyDescent="0.4">
      <c r="A136" s="55"/>
      <c r="B136" s="56"/>
      <c r="C136" s="56"/>
      <c r="D136" s="73"/>
      <c r="E136" s="74" t="s">
        <v>28</v>
      </c>
      <c r="F136" s="75"/>
      <c r="G136" s="76"/>
      <c r="H136" s="66"/>
      <c r="I136" s="67"/>
      <c r="J136" s="68">
        <v>1</v>
      </c>
      <c r="K136" s="49"/>
      <c r="L136" s="61"/>
      <c r="M136" s="61"/>
      <c r="N136" s="61"/>
    </row>
    <row r="137" spans="1:14" ht="21.75" customHeight="1" x14ac:dyDescent="0.4">
      <c r="A137" s="55"/>
      <c r="B137" s="56"/>
      <c r="C137" s="56"/>
      <c r="D137" s="73"/>
      <c r="E137" s="74" t="s">
        <v>29</v>
      </c>
      <c r="F137" s="75"/>
      <c r="G137" s="76"/>
      <c r="H137" s="66"/>
      <c r="I137" s="67"/>
      <c r="J137" s="68">
        <v>1</v>
      </c>
      <c r="K137" s="49"/>
      <c r="L137" s="61"/>
      <c r="M137" s="61"/>
      <c r="N137" s="61"/>
    </row>
    <row r="138" spans="1:14" ht="21.75" customHeight="1" x14ac:dyDescent="0.4">
      <c r="A138" s="55"/>
      <c r="B138" s="56"/>
      <c r="C138" s="56"/>
      <c r="D138" s="73"/>
      <c r="E138" s="77"/>
      <c r="F138" s="75" t="s">
        <v>75</v>
      </c>
      <c r="G138" s="76"/>
      <c r="H138" s="60" t="s">
        <v>16</v>
      </c>
      <c r="I138" s="67">
        <f ca="1">IFERROR(__xludf.DUMMYFUNCTION("IMPORTRANGE(""https://docs.google.com/spreadsheets/d/1C3CXT74ZlgGe6_JY_1olB1XN4rF0dxEuIIF-xsYjHgg/edit?usp=sharing"",""พรบ!AS22"")"),100)</f>
        <v>100</v>
      </c>
      <c r="J138" s="68">
        <v>0</v>
      </c>
      <c r="K138" s="49">
        <f ca="1">IF(I138&gt;0,J138*100/I138,0)</f>
        <v>0</v>
      </c>
      <c r="L138" s="53">
        <f ca="1">IFERROR(__xludf.DUMMYFUNCTION("IMPORTRANGE(""https://docs.google.com/spreadsheets/d/1C3CXT74ZlgGe6_JY_1olB1XN4rF0dxEuIIF-xsYjHgg/edit?usp=sharing"",""กปร!H22"")"),75000)</f>
        <v>75000</v>
      </c>
      <c r="M138" s="359">
        <v>0</v>
      </c>
      <c r="N138" s="53">
        <f ca="1">+IF(L138&gt;0,M138*100/L138,0)</f>
        <v>0</v>
      </c>
    </row>
    <row r="139" spans="1:14" ht="21.75" customHeight="1" x14ac:dyDescent="0.4">
      <c r="A139" s="55"/>
      <c r="B139" s="56"/>
      <c r="C139" s="56"/>
      <c r="D139" s="73"/>
      <c r="E139" s="77"/>
      <c r="F139" s="74" t="s">
        <v>34</v>
      </c>
      <c r="G139" s="76"/>
      <c r="H139" s="60"/>
      <c r="I139" s="67"/>
      <c r="J139" s="67"/>
      <c r="K139" s="49"/>
      <c r="L139" s="61"/>
      <c r="M139" s="61"/>
      <c r="N139" s="61"/>
    </row>
    <row r="140" spans="1:14" ht="21.75" customHeight="1" x14ac:dyDescent="0.4">
      <c r="A140" s="55"/>
      <c r="B140" s="56"/>
      <c r="C140" s="56"/>
      <c r="D140" s="73"/>
      <c r="E140" s="77"/>
      <c r="F140" s="75"/>
      <c r="G140" s="99" t="s">
        <v>76</v>
      </c>
      <c r="H140" s="60" t="s">
        <v>16</v>
      </c>
      <c r="I140" s="67">
        <f ca="1">IFERROR(__xludf.DUMMYFUNCTION("IMPORTRANGE(""https://docs.google.com/spreadsheets/d/1C3CXT74ZlgGe6_JY_1olB1XN4rF0dxEuIIF-xsYjHgg/edit?usp=sharing"",""พรบ!AT22"")"),1)</f>
        <v>1</v>
      </c>
      <c r="J140" s="67">
        <v>0</v>
      </c>
      <c r="K140" s="49">
        <f t="shared" ref="K140:K141" ca="1" si="34">IF(I140&gt;0,J140*100/I140,0)</f>
        <v>0</v>
      </c>
      <c r="L140" s="53">
        <f ca="1">IFERROR(__xludf.DUMMYFUNCTION("IMPORTRANGE(""https://docs.google.com/spreadsheets/d/1C3CXT74ZlgGe6_JY_1olB1XN4rF0dxEuIIF-xsYjHgg/edit?usp=sharing"",""กปร!I22"")"),0)</f>
        <v>0</v>
      </c>
      <c r="M140" s="53">
        <v>0</v>
      </c>
      <c r="N140" s="53">
        <f t="shared" ref="N140:N141" ca="1" si="35">+IF(L140&gt;0,M140*100/L140,0)</f>
        <v>0</v>
      </c>
    </row>
    <row r="141" spans="1:14" ht="21.75" customHeight="1" x14ac:dyDescent="0.4">
      <c r="A141" s="55"/>
      <c r="B141" s="56"/>
      <c r="C141" s="56"/>
      <c r="D141" s="73"/>
      <c r="E141" s="77"/>
      <c r="F141" s="75"/>
      <c r="G141" s="99" t="s">
        <v>77</v>
      </c>
      <c r="H141" s="60" t="s">
        <v>40</v>
      </c>
      <c r="I141" s="67">
        <f ca="1">IFERROR(__xludf.DUMMYFUNCTION("IMPORTRANGE(""https://docs.google.com/spreadsheets/d/1C3CXT74ZlgGe6_JY_1olB1XN4rF0dxEuIIF-xsYjHgg/edit?usp=sharing"",""พรบ!AU22"")"),0)</f>
        <v>0</v>
      </c>
      <c r="J141" s="68">
        <v>0</v>
      </c>
      <c r="K141" s="49">
        <f t="shared" ca="1" si="34"/>
        <v>0</v>
      </c>
      <c r="L141" s="53">
        <f ca="1">IFERROR(__xludf.DUMMYFUNCTION("IMPORTRANGE(""https://docs.google.com/spreadsheets/d/1C3CXT74ZlgGe6_JY_1olB1XN4rF0dxEuIIF-xsYjHgg/edit?usp=sharing"",""กปร!J22"")"),80000)</f>
        <v>80000</v>
      </c>
      <c r="M141" s="359">
        <v>0</v>
      </c>
      <c r="N141" s="53">
        <f t="shared" ca="1" si="35"/>
        <v>0</v>
      </c>
    </row>
    <row r="142" spans="1:14" ht="21.75" customHeight="1" x14ac:dyDescent="0.4">
      <c r="A142" s="55"/>
      <c r="B142" s="56"/>
      <c r="C142" s="56"/>
      <c r="D142" s="73"/>
      <c r="E142" s="74" t="s">
        <v>35</v>
      </c>
      <c r="F142" s="75"/>
      <c r="G142" s="76"/>
      <c r="H142" s="66"/>
      <c r="I142" s="67"/>
      <c r="J142" s="68">
        <v>0</v>
      </c>
      <c r="K142" s="49"/>
      <c r="L142" s="61"/>
      <c r="M142" s="61"/>
      <c r="N142" s="61"/>
    </row>
    <row r="143" spans="1:14" ht="21.75" customHeight="1" x14ac:dyDescent="0.4">
      <c r="A143" s="105"/>
      <c r="B143" s="106"/>
      <c r="C143" s="106"/>
      <c r="D143" s="107">
        <v>3</v>
      </c>
      <c r="E143" s="108" t="s">
        <v>36</v>
      </c>
      <c r="F143" s="109"/>
      <c r="G143" s="110"/>
      <c r="H143" s="111"/>
      <c r="I143" s="112"/>
      <c r="J143" s="113">
        <v>0</v>
      </c>
      <c r="K143" s="114"/>
      <c r="L143" s="115"/>
      <c r="M143" s="115"/>
      <c r="N143" s="115"/>
    </row>
    <row r="144" spans="1:14" ht="21.75" customHeight="1" x14ac:dyDescent="0.4">
      <c r="A144" s="132"/>
      <c r="B144" s="133" t="s">
        <v>78</v>
      </c>
      <c r="C144" s="134"/>
      <c r="D144" s="133"/>
      <c r="E144" s="133"/>
      <c r="F144" s="133"/>
      <c r="G144" s="135"/>
      <c r="H144" s="136" t="s">
        <v>16</v>
      </c>
      <c r="I144" s="137">
        <f t="shared" ref="I144:J144" ca="1" si="36">+I149+I158</f>
        <v>15</v>
      </c>
      <c r="J144" s="137">
        <f t="shared" si="36"/>
        <v>15</v>
      </c>
      <c r="K144" s="138">
        <f ca="1">IF(I144&gt;0,J144*100/I144,0)</f>
        <v>100</v>
      </c>
      <c r="L144" s="139">
        <f ca="1">L145+L146</f>
        <v>21125</v>
      </c>
      <c r="M144" s="139">
        <f>SUM(M145:M146)</f>
        <v>20125</v>
      </c>
      <c r="N144" s="138">
        <f ca="1">IF(L144&gt;0,M144*100/L144,0)</f>
        <v>95.26627218934911</v>
      </c>
    </row>
    <row r="145" spans="1:14" ht="21.75" customHeight="1" x14ac:dyDescent="0.4">
      <c r="A145" s="42"/>
      <c r="B145" s="43"/>
      <c r="C145" s="43" t="s">
        <v>17</v>
      </c>
      <c r="D145" s="44" t="s">
        <v>18</v>
      </c>
      <c r="E145" s="45"/>
      <c r="F145" s="45"/>
      <c r="G145" s="46" t="s">
        <v>19</v>
      </c>
      <c r="H145" s="47" t="s">
        <v>20</v>
      </c>
      <c r="I145" s="48" t="s">
        <v>21</v>
      </c>
      <c r="J145" s="48"/>
      <c r="K145" s="49"/>
      <c r="L145" s="50">
        <v>0</v>
      </c>
      <c r="M145" s="50">
        <v>0</v>
      </c>
      <c r="N145" s="50">
        <f t="shared" ref="N145:N148" si="37">+IF(L145&gt;0,M145*100/L145,0)</f>
        <v>0</v>
      </c>
    </row>
    <row r="146" spans="1:14" ht="21.75" customHeight="1" x14ac:dyDescent="0.4">
      <c r="A146" s="42"/>
      <c r="B146" s="43"/>
      <c r="C146" s="43"/>
      <c r="D146" s="51"/>
      <c r="E146" s="45"/>
      <c r="F146" s="45" t="s">
        <v>21</v>
      </c>
      <c r="G146" s="46" t="s">
        <v>22</v>
      </c>
      <c r="H146" s="47" t="s">
        <v>20</v>
      </c>
      <c r="I146" s="48"/>
      <c r="J146" s="48"/>
      <c r="K146" s="49"/>
      <c r="L146" s="50">
        <f t="shared" ref="L146:M146" ca="1" si="38">SUM(L147:L148)</f>
        <v>21125</v>
      </c>
      <c r="M146" s="50">
        <f t="shared" si="38"/>
        <v>20125</v>
      </c>
      <c r="N146" s="50">
        <f t="shared" ca="1" si="37"/>
        <v>95.26627218934911</v>
      </c>
    </row>
    <row r="147" spans="1:14" ht="21.75" customHeight="1" x14ac:dyDescent="0.4">
      <c r="A147" s="42"/>
      <c r="B147" s="43"/>
      <c r="C147" s="43"/>
      <c r="D147" s="51"/>
      <c r="E147" s="45"/>
      <c r="F147" s="45"/>
      <c r="G147" s="52" t="s">
        <v>23</v>
      </c>
      <c r="H147" s="47" t="s">
        <v>20</v>
      </c>
      <c r="I147" s="48"/>
      <c r="J147" s="48"/>
      <c r="K147" s="49"/>
      <c r="L147" s="53">
        <f ca="1">IFERROR(__xludf.DUMMYFUNCTION("IMPORTRANGE(""https://docs.google.com/spreadsheets/d/1C3CXT74ZlgGe6_JY_1olB1XN4rF0dxEuIIF-xsYjHgg/edit?usp=sharing"",""พรบ!Ax22"")"),0)</f>
        <v>0</v>
      </c>
      <c r="M147" s="53">
        <v>0</v>
      </c>
      <c r="N147" s="53">
        <f t="shared" ca="1" si="37"/>
        <v>0</v>
      </c>
    </row>
    <row r="148" spans="1:14" ht="21.75" customHeight="1" x14ac:dyDescent="0.4">
      <c r="A148" s="42"/>
      <c r="B148" s="43"/>
      <c r="C148" s="43"/>
      <c r="D148" s="51"/>
      <c r="E148" s="45"/>
      <c r="F148" s="45"/>
      <c r="G148" s="52" t="s">
        <v>24</v>
      </c>
      <c r="H148" s="47" t="s">
        <v>20</v>
      </c>
      <c r="I148" s="48"/>
      <c r="J148" s="48"/>
      <c r="K148" s="49"/>
      <c r="L148" s="53">
        <f ca="1">IFERROR(__xludf.DUMMYFUNCTION("IMPORTRANGE(""https://docs.google.com/spreadsheets/d/1C3CXT74ZlgGe6_JY_1olB1XN4rF0dxEuIIF-xsYjHgg/edit?usp=sharing"",""พรบ!AY22"")"),21125)</f>
        <v>21125</v>
      </c>
      <c r="M148" s="54">
        <v>20125</v>
      </c>
      <c r="N148" s="53">
        <f t="shared" ca="1" si="37"/>
        <v>95.26627218934911</v>
      </c>
    </row>
    <row r="149" spans="1:14" ht="21.75" customHeight="1" x14ac:dyDescent="0.4">
      <c r="A149" s="55"/>
      <c r="B149" s="155"/>
      <c r="C149" s="134" t="s">
        <v>79</v>
      </c>
      <c r="D149" s="133"/>
      <c r="E149" s="133"/>
      <c r="F149" s="133"/>
      <c r="G149" s="135"/>
      <c r="H149" s="136" t="s">
        <v>16</v>
      </c>
      <c r="I149" s="137">
        <f ca="1">I155</f>
        <v>15</v>
      </c>
      <c r="J149" s="137">
        <f>+J155</f>
        <v>15</v>
      </c>
      <c r="K149" s="138">
        <f ca="1">IF(I149&gt;0,J149*100/I149,0)</f>
        <v>100</v>
      </c>
      <c r="L149" s="140"/>
      <c r="M149" s="140"/>
      <c r="N149" s="140"/>
    </row>
    <row r="150" spans="1:14" ht="21.75" customHeight="1" x14ac:dyDescent="0.4">
      <c r="A150" s="55"/>
      <c r="B150" s="56"/>
      <c r="C150" s="43" t="s">
        <v>17</v>
      </c>
      <c r="D150" s="57" t="s">
        <v>25</v>
      </c>
      <c r="E150" s="58"/>
      <c r="F150" s="58"/>
      <c r="G150" s="59"/>
      <c r="H150" s="60"/>
      <c r="I150" s="48"/>
      <c r="J150" s="48"/>
      <c r="K150" s="49"/>
      <c r="L150" s="61"/>
      <c r="M150" s="61"/>
      <c r="N150" s="61"/>
    </row>
    <row r="151" spans="1:14" ht="21.75" customHeight="1" x14ac:dyDescent="0.4">
      <c r="A151" s="55"/>
      <c r="B151" s="56"/>
      <c r="C151" s="56"/>
      <c r="D151" s="62">
        <v>1</v>
      </c>
      <c r="E151" s="63" t="s">
        <v>26</v>
      </c>
      <c r="F151" s="64"/>
      <c r="G151" s="65"/>
      <c r="H151" s="66"/>
      <c r="I151" s="67"/>
      <c r="J151" s="68">
        <v>0</v>
      </c>
      <c r="K151" s="49"/>
      <c r="L151" s="61"/>
      <c r="M151" s="61"/>
      <c r="N151" s="61"/>
    </row>
    <row r="152" spans="1:14" ht="21.75" customHeight="1" x14ac:dyDescent="0.4">
      <c r="A152" s="55"/>
      <c r="B152" s="56"/>
      <c r="C152" s="56"/>
      <c r="D152" s="69">
        <v>2</v>
      </c>
      <c r="E152" s="70" t="s">
        <v>27</v>
      </c>
      <c r="F152" s="71"/>
      <c r="G152" s="72"/>
      <c r="H152" s="66"/>
      <c r="I152" s="67"/>
      <c r="J152" s="68">
        <v>1</v>
      </c>
      <c r="K152" s="49"/>
      <c r="L152" s="61" t="s">
        <v>21</v>
      </c>
      <c r="M152" s="61" t="s">
        <v>21</v>
      </c>
      <c r="N152" s="61"/>
    </row>
    <row r="153" spans="1:14" ht="21.75" customHeight="1" x14ac:dyDescent="0.4">
      <c r="A153" s="55"/>
      <c r="B153" s="56"/>
      <c r="C153" s="56"/>
      <c r="D153" s="73"/>
      <c r="E153" s="74" t="s">
        <v>28</v>
      </c>
      <c r="F153" s="75"/>
      <c r="G153" s="76"/>
      <c r="H153" s="66"/>
      <c r="I153" s="67"/>
      <c r="J153" s="68">
        <v>1</v>
      </c>
      <c r="K153" s="49"/>
      <c r="L153" s="61"/>
      <c r="M153" s="61"/>
      <c r="N153" s="61"/>
    </row>
    <row r="154" spans="1:14" ht="21.75" customHeight="1" x14ac:dyDescent="0.4">
      <c r="A154" s="55"/>
      <c r="B154" s="56"/>
      <c r="C154" s="56"/>
      <c r="D154" s="73"/>
      <c r="E154" s="74" t="s">
        <v>29</v>
      </c>
      <c r="F154" s="75"/>
      <c r="G154" s="76"/>
      <c r="H154" s="66"/>
      <c r="I154" s="67"/>
      <c r="J154" s="68">
        <v>1</v>
      </c>
      <c r="K154" s="49"/>
      <c r="L154" s="61"/>
      <c r="M154" s="61"/>
      <c r="N154" s="61"/>
    </row>
    <row r="155" spans="1:14" ht="21.75" customHeight="1" x14ac:dyDescent="0.4">
      <c r="A155" s="55"/>
      <c r="B155" s="56"/>
      <c r="C155" s="56"/>
      <c r="D155" s="73"/>
      <c r="E155" s="77"/>
      <c r="F155" s="75"/>
      <c r="G155" s="99" t="s">
        <v>50</v>
      </c>
      <c r="H155" s="66" t="s">
        <v>16</v>
      </c>
      <c r="I155" s="67">
        <f ca="1">IFERROR(__xludf.DUMMYFUNCTION("IMPORTRANGE(""https://docs.google.com/spreadsheets/d/1C3CXT74ZlgGe6_JY_1olB1XN4rF0dxEuIIF-xsYjHgg/edit?usp=sharing"",""พรบ!BA22"")"),15)</f>
        <v>15</v>
      </c>
      <c r="J155" s="68">
        <v>15</v>
      </c>
      <c r="K155" s="49">
        <f ca="1">IF(I155&gt;0,J155*100/I155,0)</f>
        <v>100</v>
      </c>
      <c r="L155" s="61"/>
      <c r="M155" s="61"/>
      <c r="N155" s="61"/>
    </row>
    <row r="156" spans="1:14" ht="21.75" customHeight="1" x14ac:dyDescent="0.4">
      <c r="A156" s="55"/>
      <c r="B156" s="56"/>
      <c r="C156" s="56"/>
      <c r="D156" s="73"/>
      <c r="E156" s="74" t="s">
        <v>35</v>
      </c>
      <c r="F156" s="75"/>
      <c r="G156" s="76"/>
      <c r="H156" s="66"/>
      <c r="I156" s="67"/>
      <c r="J156" s="68">
        <v>0</v>
      </c>
      <c r="K156" s="49"/>
      <c r="L156" s="61"/>
      <c r="M156" s="61"/>
      <c r="N156" s="61"/>
    </row>
    <row r="157" spans="1:14" ht="21.75" customHeight="1" x14ac:dyDescent="0.4">
      <c r="A157" s="55"/>
      <c r="B157" s="56"/>
      <c r="C157" s="56"/>
      <c r="D157" s="81">
        <v>3</v>
      </c>
      <c r="E157" s="82" t="s">
        <v>36</v>
      </c>
      <c r="F157" s="83"/>
      <c r="G157" s="84"/>
      <c r="H157" s="66"/>
      <c r="I157" s="67"/>
      <c r="J157" s="85">
        <v>0</v>
      </c>
      <c r="K157" s="49"/>
      <c r="L157" s="61"/>
      <c r="M157" s="61"/>
      <c r="N157" s="61"/>
    </row>
    <row r="158" spans="1:14" ht="21.75" customHeight="1" x14ac:dyDescent="0.4">
      <c r="A158" s="55"/>
      <c r="B158" s="56"/>
      <c r="C158" s="134" t="s">
        <v>81</v>
      </c>
      <c r="D158" s="156"/>
      <c r="E158" s="133"/>
      <c r="F158" s="133"/>
      <c r="G158" s="135"/>
      <c r="H158" s="136" t="s">
        <v>16</v>
      </c>
      <c r="I158" s="137">
        <f>I164</f>
        <v>0</v>
      </c>
      <c r="J158" s="137">
        <f>+J164</f>
        <v>0</v>
      </c>
      <c r="K158" s="138">
        <f>IF(I158&gt;0,J158*100/I158,0)</f>
        <v>0</v>
      </c>
      <c r="L158" s="61"/>
      <c r="M158" s="61"/>
      <c r="N158" s="61"/>
    </row>
    <row r="159" spans="1:14" ht="21.75" customHeight="1" x14ac:dyDescent="0.4">
      <c r="A159" s="55"/>
      <c r="B159" s="56"/>
      <c r="C159" s="43" t="s">
        <v>17</v>
      </c>
      <c r="D159" s="57" t="s">
        <v>25</v>
      </c>
      <c r="E159" s="58"/>
      <c r="F159" s="58"/>
      <c r="G159" s="59"/>
      <c r="H159" s="60"/>
      <c r="I159" s="48"/>
      <c r="J159" s="48"/>
      <c r="K159" s="49"/>
      <c r="L159" s="61"/>
      <c r="M159" s="61"/>
      <c r="N159" s="61"/>
    </row>
    <row r="160" spans="1:14" ht="21.75" customHeight="1" x14ac:dyDescent="0.4">
      <c r="A160" s="55"/>
      <c r="B160" s="56"/>
      <c r="C160" s="56"/>
      <c r="D160" s="62">
        <v>1</v>
      </c>
      <c r="E160" s="63" t="s">
        <v>26</v>
      </c>
      <c r="F160" s="64"/>
      <c r="G160" s="65"/>
      <c r="H160" s="66"/>
      <c r="I160" s="67"/>
      <c r="J160" s="67">
        <v>0</v>
      </c>
      <c r="K160" s="49"/>
      <c r="L160" s="61"/>
      <c r="M160" s="61"/>
      <c r="N160" s="61"/>
    </row>
    <row r="161" spans="1:14" ht="21.75" customHeight="1" x14ac:dyDescent="0.4">
      <c r="A161" s="55"/>
      <c r="B161" s="56"/>
      <c r="C161" s="56"/>
      <c r="D161" s="69">
        <v>2</v>
      </c>
      <c r="E161" s="70" t="s">
        <v>27</v>
      </c>
      <c r="F161" s="71"/>
      <c r="G161" s="72"/>
      <c r="H161" s="66"/>
      <c r="I161" s="67"/>
      <c r="J161" s="67">
        <v>0</v>
      </c>
      <c r="K161" s="49"/>
      <c r="L161" s="61" t="s">
        <v>21</v>
      </c>
      <c r="M161" s="61" t="s">
        <v>21</v>
      </c>
      <c r="N161" s="61"/>
    </row>
    <row r="162" spans="1:14" ht="21.75" customHeight="1" x14ac:dyDescent="0.4">
      <c r="A162" s="55"/>
      <c r="B162" s="56"/>
      <c r="C162" s="56"/>
      <c r="D162" s="73"/>
      <c r="E162" s="74" t="s">
        <v>28</v>
      </c>
      <c r="F162" s="75"/>
      <c r="G162" s="76"/>
      <c r="H162" s="66"/>
      <c r="I162" s="67"/>
      <c r="J162" s="67">
        <v>0</v>
      </c>
      <c r="K162" s="49"/>
      <c r="L162" s="61"/>
      <c r="M162" s="61"/>
      <c r="N162" s="61"/>
    </row>
    <row r="163" spans="1:14" ht="21.75" customHeight="1" x14ac:dyDescent="0.4">
      <c r="A163" s="55"/>
      <c r="B163" s="56"/>
      <c r="C163" s="56"/>
      <c r="D163" s="73"/>
      <c r="E163" s="74" t="s">
        <v>29</v>
      </c>
      <c r="F163" s="75"/>
      <c r="G163" s="76"/>
      <c r="H163" s="66"/>
      <c r="I163" s="67"/>
      <c r="J163" s="67">
        <v>0</v>
      </c>
      <c r="K163" s="49"/>
      <c r="L163" s="61"/>
      <c r="M163" s="61"/>
      <c r="N163" s="61"/>
    </row>
    <row r="164" spans="1:14" ht="21.75" customHeight="1" x14ac:dyDescent="0.4">
      <c r="A164" s="55"/>
      <c r="B164" s="56"/>
      <c r="C164" s="56"/>
      <c r="D164" s="73"/>
      <c r="E164" s="75"/>
      <c r="F164" s="74" t="s">
        <v>82</v>
      </c>
      <c r="G164" s="75"/>
      <c r="H164" s="66" t="s">
        <v>16</v>
      </c>
      <c r="I164" s="67">
        <v>0</v>
      </c>
      <c r="J164" s="67">
        <v>0</v>
      </c>
      <c r="K164" s="49">
        <f>IF(I164&gt;0,J164*100/I164,0)</f>
        <v>0</v>
      </c>
      <c r="L164" s="61"/>
      <c r="M164" s="61"/>
      <c r="N164" s="61"/>
    </row>
    <row r="165" spans="1:14" ht="21.75" customHeight="1" x14ac:dyDescent="0.4">
      <c r="A165" s="55"/>
      <c r="B165" s="56"/>
      <c r="C165" s="56"/>
      <c r="D165" s="73"/>
      <c r="E165" s="74" t="s">
        <v>35</v>
      </c>
      <c r="F165" s="75"/>
      <c r="G165" s="76"/>
      <c r="H165" s="66"/>
      <c r="I165" s="67"/>
      <c r="J165" s="67">
        <v>0</v>
      </c>
      <c r="K165" s="49"/>
      <c r="L165" s="61"/>
      <c r="M165" s="61"/>
      <c r="N165" s="61"/>
    </row>
    <row r="166" spans="1:14" ht="21.75" customHeight="1" x14ac:dyDescent="0.4">
      <c r="A166" s="105"/>
      <c r="B166" s="106"/>
      <c r="C166" s="106"/>
      <c r="D166" s="107">
        <v>3</v>
      </c>
      <c r="E166" s="108" t="s">
        <v>36</v>
      </c>
      <c r="F166" s="109"/>
      <c r="G166" s="110"/>
      <c r="H166" s="111"/>
      <c r="I166" s="112"/>
      <c r="J166" s="356">
        <v>0</v>
      </c>
      <c r="K166" s="114"/>
      <c r="L166" s="115"/>
      <c r="M166" s="115"/>
      <c r="N166" s="115"/>
    </row>
    <row r="167" spans="1:14" ht="21.75" customHeight="1" x14ac:dyDescent="0.4">
      <c r="A167" s="157" t="s">
        <v>83</v>
      </c>
      <c r="B167" s="158"/>
      <c r="C167" s="158"/>
      <c r="D167" s="158"/>
      <c r="E167" s="159"/>
      <c r="F167" s="159"/>
      <c r="G167" s="160"/>
      <c r="H167" s="161"/>
      <c r="I167" s="162"/>
      <c r="J167" s="162"/>
      <c r="K167" s="163"/>
      <c r="L167" s="164"/>
      <c r="M167" s="164"/>
      <c r="N167" s="165"/>
    </row>
    <row r="168" spans="1:14" ht="21.75" customHeight="1" x14ac:dyDescent="0.4">
      <c r="A168" s="166" t="s">
        <v>84</v>
      </c>
      <c r="B168" s="167"/>
      <c r="C168" s="167"/>
      <c r="D168" s="168"/>
      <c r="E168" s="168"/>
      <c r="F168" s="168"/>
      <c r="G168" s="169"/>
      <c r="H168" s="170"/>
      <c r="I168" s="171"/>
      <c r="J168" s="171"/>
      <c r="K168" s="172"/>
      <c r="L168" s="172"/>
      <c r="M168" s="172"/>
      <c r="N168" s="173"/>
    </row>
    <row r="169" spans="1:14" ht="21.75" customHeight="1" x14ac:dyDescent="0.4">
      <c r="A169" s="174"/>
      <c r="B169" s="175" t="s">
        <v>85</v>
      </c>
      <c r="C169" s="175"/>
      <c r="D169" s="175"/>
      <c r="E169" s="175"/>
      <c r="F169" s="175"/>
      <c r="G169" s="176"/>
      <c r="H169" s="177" t="s">
        <v>16</v>
      </c>
      <c r="I169" s="178">
        <f ca="1">I180</f>
        <v>20</v>
      </c>
      <c r="J169" s="178">
        <f>+J180</f>
        <v>0</v>
      </c>
      <c r="K169" s="179">
        <f ca="1">IF(I169&gt;0,J169*100/I169,0)</f>
        <v>0</v>
      </c>
      <c r="L169" s="180">
        <f ca="1">L170+L171</f>
        <v>71400</v>
      </c>
      <c r="M169" s="180">
        <f>SUM(M170:M171)</f>
        <v>14922</v>
      </c>
      <c r="N169" s="179">
        <f ca="1">IF(L169&gt;0,M169*100/L169,0)</f>
        <v>20.899159663865547</v>
      </c>
    </row>
    <row r="170" spans="1:14" ht="21.75" customHeight="1" x14ac:dyDescent="0.4">
      <c r="A170" s="42"/>
      <c r="B170" s="43"/>
      <c r="C170" s="43" t="s">
        <v>17</v>
      </c>
      <c r="D170" s="44" t="s">
        <v>18</v>
      </c>
      <c r="E170" s="45"/>
      <c r="F170" s="45"/>
      <c r="G170" s="46" t="s">
        <v>19</v>
      </c>
      <c r="H170" s="47" t="s">
        <v>20</v>
      </c>
      <c r="I170" s="48" t="s">
        <v>21</v>
      </c>
      <c r="J170" s="48"/>
      <c r="K170" s="49"/>
      <c r="L170" s="50">
        <v>0</v>
      </c>
      <c r="M170" s="50">
        <v>0</v>
      </c>
      <c r="N170" s="50">
        <f t="shared" ref="N170:N173" si="39">+IF(L170&gt;0,M170*100/L170,0)</f>
        <v>0</v>
      </c>
    </row>
    <row r="171" spans="1:14" ht="21.75" customHeight="1" x14ac:dyDescent="0.4">
      <c r="A171" s="42"/>
      <c r="B171" s="43"/>
      <c r="C171" s="43"/>
      <c r="D171" s="51"/>
      <c r="E171" s="45"/>
      <c r="F171" s="45" t="s">
        <v>21</v>
      </c>
      <c r="G171" s="46" t="s">
        <v>22</v>
      </c>
      <c r="H171" s="47" t="s">
        <v>20</v>
      </c>
      <c r="I171" s="48"/>
      <c r="J171" s="48"/>
      <c r="K171" s="49"/>
      <c r="L171" s="50">
        <f t="shared" ref="L171:M171" ca="1" si="40">SUM(L172:L173)</f>
        <v>71400</v>
      </c>
      <c r="M171" s="50">
        <f t="shared" si="40"/>
        <v>14922</v>
      </c>
      <c r="N171" s="50">
        <f t="shared" ca="1" si="39"/>
        <v>20.899159663865547</v>
      </c>
    </row>
    <row r="172" spans="1:14" ht="21.75" customHeight="1" x14ac:dyDescent="0.4">
      <c r="A172" s="42"/>
      <c r="B172" s="43"/>
      <c r="C172" s="43"/>
      <c r="D172" s="51"/>
      <c r="E172" s="45"/>
      <c r="F172" s="45"/>
      <c r="G172" s="52" t="s">
        <v>23</v>
      </c>
      <c r="H172" s="47" t="s">
        <v>20</v>
      </c>
      <c r="I172" s="48"/>
      <c r="J172" s="48"/>
      <c r="K172" s="49"/>
      <c r="L172" s="53">
        <f ca="1">IFERROR(__xludf.DUMMYFUNCTION("IMPORTRANGE(""https://docs.google.com/spreadsheets/d/1C3CXT74ZlgGe6_JY_1olB1XN4rF0dxEuIIF-xsYjHgg/edit?usp=sharing"",""พรบ!BD22"")"),0)</f>
        <v>0</v>
      </c>
      <c r="M172" s="53">
        <v>0</v>
      </c>
      <c r="N172" s="53">
        <f t="shared" ca="1" si="39"/>
        <v>0</v>
      </c>
    </row>
    <row r="173" spans="1:14" ht="21.75" customHeight="1" x14ac:dyDescent="0.4">
      <c r="A173" s="42"/>
      <c r="B173" s="43"/>
      <c r="C173" s="43"/>
      <c r="D173" s="51"/>
      <c r="E173" s="45"/>
      <c r="F173" s="45"/>
      <c r="G173" s="52" t="s">
        <v>24</v>
      </c>
      <c r="H173" s="47" t="s">
        <v>20</v>
      </c>
      <c r="I173" s="48"/>
      <c r="J173" s="48"/>
      <c r="K173" s="49"/>
      <c r="L173" s="53">
        <f ca="1">IFERROR(__xludf.DUMMYFUNCTION("IMPORTRANGE(""https://docs.google.com/spreadsheets/d/1C3CXT74ZlgGe6_JY_1olB1XN4rF0dxEuIIF-xsYjHgg/edit?usp=sharing"",""พรบ!BE22"")"),71400)</f>
        <v>71400</v>
      </c>
      <c r="M173" s="54">
        <v>14922</v>
      </c>
      <c r="N173" s="53">
        <f t="shared" ca="1" si="39"/>
        <v>20.899159663865547</v>
      </c>
    </row>
    <row r="174" spans="1:14" ht="21.75" customHeight="1" x14ac:dyDescent="0.4">
      <c r="A174" s="55"/>
      <c r="B174" s="56"/>
      <c r="C174" s="43" t="s">
        <v>17</v>
      </c>
      <c r="D174" s="57" t="s">
        <v>25</v>
      </c>
      <c r="E174" s="58"/>
      <c r="F174" s="58"/>
      <c r="G174" s="59"/>
      <c r="H174" s="60"/>
      <c r="I174" s="48"/>
      <c r="J174" s="48"/>
      <c r="K174" s="49"/>
      <c r="L174" s="61"/>
      <c r="M174" s="61"/>
      <c r="N174" s="61"/>
    </row>
    <row r="175" spans="1:14" ht="21.75" customHeight="1" x14ac:dyDescent="0.4">
      <c r="A175" s="55"/>
      <c r="B175" s="56"/>
      <c r="C175" s="56"/>
      <c r="D175" s="62">
        <v>1</v>
      </c>
      <c r="E175" s="63" t="s">
        <v>26</v>
      </c>
      <c r="F175" s="64"/>
      <c r="G175" s="65"/>
      <c r="H175" s="66"/>
      <c r="I175" s="67"/>
      <c r="J175" s="68">
        <v>0</v>
      </c>
      <c r="K175" s="49"/>
      <c r="L175" s="61"/>
      <c r="M175" s="61"/>
      <c r="N175" s="61"/>
    </row>
    <row r="176" spans="1:14" ht="21.75" customHeight="1" x14ac:dyDescent="0.4">
      <c r="A176" s="55"/>
      <c r="B176" s="56"/>
      <c r="C176" s="56"/>
      <c r="D176" s="69">
        <v>2</v>
      </c>
      <c r="E176" s="70" t="s">
        <v>27</v>
      </c>
      <c r="F176" s="71"/>
      <c r="G176" s="72"/>
      <c r="H176" s="66"/>
      <c r="I176" s="67"/>
      <c r="J176" s="68">
        <v>1</v>
      </c>
      <c r="K176" s="49"/>
      <c r="L176" s="61" t="s">
        <v>21</v>
      </c>
      <c r="M176" s="61" t="s">
        <v>21</v>
      </c>
      <c r="N176" s="61"/>
    </row>
    <row r="177" spans="1:14" ht="21.75" customHeight="1" x14ac:dyDescent="0.4">
      <c r="A177" s="55"/>
      <c r="B177" s="56"/>
      <c r="C177" s="56"/>
      <c r="D177" s="73"/>
      <c r="E177" s="74" t="s">
        <v>28</v>
      </c>
      <c r="F177" s="75"/>
      <c r="G177" s="76"/>
      <c r="H177" s="66"/>
      <c r="I177" s="67"/>
      <c r="J177" s="68">
        <v>1</v>
      </c>
      <c r="K177" s="49"/>
      <c r="L177" s="61"/>
      <c r="M177" s="61"/>
      <c r="N177" s="61"/>
    </row>
    <row r="178" spans="1:14" ht="21.75" customHeight="1" x14ac:dyDescent="0.4">
      <c r="A178" s="55"/>
      <c r="B178" s="56"/>
      <c r="C178" s="56"/>
      <c r="D178" s="73"/>
      <c r="E178" s="74" t="s">
        <v>29</v>
      </c>
      <c r="F178" s="75"/>
      <c r="G178" s="76"/>
      <c r="H178" s="66"/>
      <c r="I178" s="67"/>
      <c r="J178" s="68">
        <v>1</v>
      </c>
      <c r="K178" s="49"/>
      <c r="L178" s="61"/>
      <c r="M178" s="61"/>
      <c r="N178" s="61"/>
    </row>
    <row r="179" spans="1:14" ht="21.75" customHeight="1" x14ac:dyDescent="0.4">
      <c r="A179" s="55"/>
      <c r="B179" s="56"/>
      <c r="C179" s="56"/>
      <c r="D179" s="73"/>
      <c r="E179" s="77"/>
      <c r="F179" s="74" t="s">
        <v>86</v>
      </c>
      <c r="G179" s="76"/>
      <c r="H179" s="60" t="s">
        <v>40</v>
      </c>
      <c r="I179" s="67">
        <f ca="1">IFERROR(__xludf.DUMMYFUNCTION("IMPORTRANGE(""https://docs.google.com/spreadsheets/d/1C3CXT74ZlgGe6_JY_1olB1XN4rF0dxEuIIF-xsYjHgg/edit?usp=sharing"",""พรบ!BF22"")"),1)</f>
        <v>1</v>
      </c>
      <c r="J179" s="68">
        <v>1</v>
      </c>
      <c r="K179" s="49">
        <f t="shared" ref="K179:K182" ca="1" si="41">IF(I179&gt;0,J179*100/I179,0)</f>
        <v>100</v>
      </c>
      <c r="L179" s="61"/>
      <c r="M179" s="61"/>
      <c r="N179" s="61"/>
    </row>
    <row r="180" spans="1:14" ht="21.75" customHeight="1" x14ac:dyDescent="0.4">
      <c r="A180" s="55"/>
      <c r="B180" s="56"/>
      <c r="C180" s="56"/>
      <c r="D180" s="73"/>
      <c r="E180" s="77"/>
      <c r="F180" s="74" t="s">
        <v>87</v>
      </c>
      <c r="G180" s="76"/>
      <c r="H180" s="60" t="s">
        <v>16</v>
      </c>
      <c r="I180" s="67">
        <f ca="1">IFERROR(__xludf.DUMMYFUNCTION("IMPORTRANGE(""https://docs.google.com/spreadsheets/d/1C3CXT74ZlgGe6_JY_1olB1XN4rF0dxEuIIF-xsYjHgg/edit?usp=sharing"",""พรบ!BG22"")"),20)</f>
        <v>20</v>
      </c>
      <c r="J180" s="68">
        <v>0</v>
      </c>
      <c r="K180" s="49">
        <f t="shared" ca="1" si="41"/>
        <v>0</v>
      </c>
      <c r="L180" s="61"/>
      <c r="M180" s="61"/>
      <c r="N180" s="61"/>
    </row>
    <row r="181" spans="1:14" ht="21.75" customHeight="1" x14ac:dyDescent="0.4">
      <c r="A181" s="55"/>
      <c r="B181" s="56"/>
      <c r="C181" s="56"/>
      <c r="D181" s="73"/>
      <c r="E181" s="77"/>
      <c r="F181" s="74" t="s">
        <v>88</v>
      </c>
      <c r="G181" s="76"/>
      <c r="H181" s="60" t="s">
        <v>16</v>
      </c>
      <c r="I181" s="67">
        <f ca="1">IFERROR(__xludf.DUMMYFUNCTION("IMPORTRANGE(""https://docs.google.com/spreadsheets/d/1C3CXT74ZlgGe6_JY_1olB1XN4rF0dxEuIIF-xsYjHgg/edit?usp=sharing"",""พรบ!BH22"")"),20)</f>
        <v>20</v>
      </c>
      <c r="J181" s="68">
        <v>0</v>
      </c>
      <c r="K181" s="49">
        <f t="shared" ca="1" si="41"/>
        <v>0</v>
      </c>
      <c r="L181" s="61"/>
      <c r="M181" s="61"/>
      <c r="N181" s="61"/>
    </row>
    <row r="182" spans="1:14" ht="21.75" customHeight="1" x14ac:dyDescent="0.4">
      <c r="A182" s="55"/>
      <c r="B182" s="56"/>
      <c r="C182" s="56"/>
      <c r="D182" s="73"/>
      <c r="E182" s="77"/>
      <c r="F182" s="74" t="s">
        <v>89</v>
      </c>
      <c r="G182" s="76"/>
      <c r="H182" s="60" t="s">
        <v>16</v>
      </c>
      <c r="I182" s="67">
        <f ca="1">IFERROR(__xludf.DUMMYFUNCTION("IMPORTRANGE(""https://docs.google.com/spreadsheets/d/1C3CXT74ZlgGe6_JY_1olB1XN4rF0dxEuIIF-xsYjHgg/edit?usp=sharing"",""พรบ!BI22"")"),1)</f>
        <v>1</v>
      </c>
      <c r="J182" s="68">
        <v>0</v>
      </c>
      <c r="K182" s="49">
        <f t="shared" ca="1" si="41"/>
        <v>0</v>
      </c>
      <c r="L182" s="61"/>
      <c r="M182" s="61"/>
      <c r="N182" s="61"/>
    </row>
    <row r="183" spans="1:14" ht="21.75" customHeight="1" x14ac:dyDescent="0.4">
      <c r="A183" s="55"/>
      <c r="B183" s="56"/>
      <c r="C183" s="56"/>
      <c r="D183" s="73"/>
      <c r="E183" s="74" t="s">
        <v>35</v>
      </c>
      <c r="F183" s="75"/>
      <c r="G183" s="76"/>
      <c r="H183" s="66"/>
      <c r="I183" s="67"/>
      <c r="J183" s="68">
        <v>0</v>
      </c>
      <c r="K183" s="49"/>
      <c r="L183" s="61"/>
      <c r="M183" s="61"/>
      <c r="N183" s="61"/>
    </row>
    <row r="184" spans="1:14" ht="21.75" customHeight="1" x14ac:dyDescent="0.4">
      <c r="A184" s="105"/>
      <c r="B184" s="106"/>
      <c r="C184" s="106"/>
      <c r="D184" s="107">
        <v>3</v>
      </c>
      <c r="E184" s="108" t="s">
        <v>36</v>
      </c>
      <c r="F184" s="109"/>
      <c r="G184" s="110"/>
      <c r="H184" s="111"/>
      <c r="I184" s="112"/>
      <c r="J184" s="113">
        <v>0</v>
      </c>
      <c r="K184" s="114"/>
      <c r="L184" s="115"/>
      <c r="M184" s="115"/>
      <c r="N184" s="115"/>
    </row>
    <row r="185" spans="1:14" ht="21.75" customHeight="1" x14ac:dyDescent="0.4">
      <c r="A185" s="174"/>
      <c r="B185" s="175" t="s">
        <v>90</v>
      </c>
      <c r="C185" s="175"/>
      <c r="D185" s="175"/>
      <c r="E185" s="175"/>
      <c r="F185" s="175"/>
      <c r="G185" s="176"/>
      <c r="H185" s="177" t="s">
        <v>16</v>
      </c>
      <c r="I185" s="178">
        <f ca="1">I195</f>
        <v>15</v>
      </c>
      <c r="J185" s="178">
        <f>+J195</f>
        <v>0</v>
      </c>
      <c r="K185" s="179">
        <f ca="1">IF(I185&gt;0,J185*100/I185,0)</f>
        <v>0</v>
      </c>
      <c r="L185" s="180">
        <f ca="1">L186+L187</f>
        <v>105700</v>
      </c>
      <c r="M185" s="180">
        <f>SUM(M186:M187)</f>
        <v>0</v>
      </c>
      <c r="N185" s="179">
        <f ca="1">IF(L185&gt;0,M185*100/L185,0)</f>
        <v>0</v>
      </c>
    </row>
    <row r="186" spans="1:14" ht="21.75" customHeight="1" x14ac:dyDescent="0.4">
      <c r="A186" s="42"/>
      <c r="B186" s="43"/>
      <c r="C186" s="43" t="s">
        <v>17</v>
      </c>
      <c r="D186" s="44" t="s">
        <v>18</v>
      </c>
      <c r="E186" s="45"/>
      <c r="F186" s="45"/>
      <c r="G186" s="46" t="s">
        <v>19</v>
      </c>
      <c r="H186" s="47" t="s">
        <v>20</v>
      </c>
      <c r="I186" s="48" t="s">
        <v>21</v>
      </c>
      <c r="J186" s="48"/>
      <c r="K186" s="49"/>
      <c r="L186" s="50">
        <v>0</v>
      </c>
      <c r="M186" s="50">
        <v>0</v>
      </c>
      <c r="N186" s="50">
        <f t="shared" ref="N186:N189" si="42">+IF(L186&gt;0,M186*100/L186,0)</f>
        <v>0</v>
      </c>
    </row>
    <row r="187" spans="1:14" ht="21.75" customHeight="1" x14ac:dyDescent="0.4">
      <c r="A187" s="42"/>
      <c r="B187" s="43"/>
      <c r="C187" s="43"/>
      <c r="D187" s="51"/>
      <c r="E187" s="45"/>
      <c r="F187" s="45" t="s">
        <v>21</v>
      </c>
      <c r="G187" s="46" t="s">
        <v>22</v>
      </c>
      <c r="H187" s="47" t="s">
        <v>20</v>
      </c>
      <c r="I187" s="48"/>
      <c r="J187" s="48"/>
      <c r="K187" s="49"/>
      <c r="L187" s="50">
        <f t="shared" ref="L187:M187" ca="1" si="43">SUM(L188:L189)</f>
        <v>105700</v>
      </c>
      <c r="M187" s="50">
        <f t="shared" si="43"/>
        <v>0</v>
      </c>
      <c r="N187" s="50">
        <f t="shared" ca="1" si="42"/>
        <v>0</v>
      </c>
    </row>
    <row r="188" spans="1:14" ht="21.75" customHeight="1" x14ac:dyDescent="0.4">
      <c r="A188" s="42"/>
      <c r="B188" s="43"/>
      <c r="C188" s="43"/>
      <c r="D188" s="51"/>
      <c r="E188" s="45"/>
      <c r="F188" s="45"/>
      <c r="G188" s="52" t="s">
        <v>23</v>
      </c>
      <c r="H188" s="47" t="s">
        <v>20</v>
      </c>
      <c r="I188" s="48"/>
      <c r="J188" s="48"/>
      <c r="K188" s="49"/>
      <c r="L188" s="53">
        <f ca="1">IFERROR(__xludf.DUMMYFUNCTION("IMPORTRANGE(""https://docs.google.com/spreadsheets/d/1C3CXT74ZlgGe6_JY_1olB1XN4rF0dxEuIIF-xsYjHgg/edit?usp=sharing"",""พรบ!BK22"")"),0)</f>
        <v>0</v>
      </c>
      <c r="M188" s="53">
        <v>0</v>
      </c>
      <c r="N188" s="53">
        <f t="shared" ca="1" si="42"/>
        <v>0</v>
      </c>
    </row>
    <row r="189" spans="1:14" ht="21.75" customHeight="1" x14ac:dyDescent="0.4">
      <c r="A189" s="42"/>
      <c r="B189" s="43"/>
      <c r="C189" s="43"/>
      <c r="D189" s="51"/>
      <c r="E189" s="45"/>
      <c r="F189" s="45"/>
      <c r="G189" s="52" t="s">
        <v>24</v>
      </c>
      <c r="H189" s="47" t="s">
        <v>20</v>
      </c>
      <c r="I189" s="48"/>
      <c r="J189" s="48"/>
      <c r="K189" s="49"/>
      <c r="L189" s="53">
        <f ca="1">IFERROR(__xludf.DUMMYFUNCTION("IMPORTRANGE(""https://docs.google.com/spreadsheets/d/1C3CXT74ZlgGe6_JY_1olB1XN4rF0dxEuIIF-xsYjHgg/edit?usp=sharing"",""พรบ!BL22"")"),105700)</f>
        <v>105700</v>
      </c>
      <c r="M189" s="54">
        <v>0</v>
      </c>
      <c r="N189" s="53">
        <f t="shared" ca="1" si="42"/>
        <v>0</v>
      </c>
    </row>
    <row r="190" spans="1:14" ht="21.75" customHeight="1" x14ac:dyDescent="0.4">
      <c r="A190" s="55"/>
      <c r="B190" s="56"/>
      <c r="C190" s="43" t="s">
        <v>17</v>
      </c>
      <c r="D190" s="57" t="s">
        <v>25</v>
      </c>
      <c r="E190" s="58"/>
      <c r="F190" s="58"/>
      <c r="G190" s="59"/>
      <c r="H190" s="60"/>
      <c r="I190" s="48"/>
      <c r="J190" s="48"/>
      <c r="K190" s="49"/>
      <c r="L190" s="61"/>
      <c r="M190" s="61"/>
      <c r="N190" s="61"/>
    </row>
    <row r="191" spans="1:14" ht="21.75" customHeight="1" x14ac:dyDescent="0.4">
      <c r="A191" s="55"/>
      <c r="B191" s="56"/>
      <c r="C191" s="56"/>
      <c r="D191" s="62">
        <v>1</v>
      </c>
      <c r="E191" s="63" t="s">
        <v>26</v>
      </c>
      <c r="F191" s="64"/>
      <c r="G191" s="65"/>
      <c r="H191" s="66"/>
      <c r="I191" s="67"/>
      <c r="J191" s="68">
        <v>0</v>
      </c>
      <c r="K191" s="49"/>
      <c r="L191" s="61"/>
      <c r="M191" s="61"/>
      <c r="N191" s="61"/>
    </row>
    <row r="192" spans="1:14" ht="21.75" customHeight="1" x14ac:dyDescent="0.4">
      <c r="A192" s="55"/>
      <c r="B192" s="56"/>
      <c r="C192" s="56"/>
      <c r="D192" s="69">
        <v>2</v>
      </c>
      <c r="E192" s="70" t="s">
        <v>27</v>
      </c>
      <c r="F192" s="71"/>
      <c r="G192" s="72"/>
      <c r="H192" s="66"/>
      <c r="I192" s="67"/>
      <c r="J192" s="68">
        <v>1</v>
      </c>
      <c r="K192" s="49"/>
      <c r="L192" s="61"/>
      <c r="M192" s="61"/>
      <c r="N192" s="61"/>
    </row>
    <row r="193" spans="1:14" ht="21.75" customHeight="1" x14ac:dyDescent="0.4">
      <c r="A193" s="55"/>
      <c r="B193" s="56"/>
      <c r="C193" s="56"/>
      <c r="D193" s="73"/>
      <c r="E193" s="74" t="s">
        <v>28</v>
      </c>
      <c r="F193" s="75"/>
      <c r="G193" s="76"/>
      <c r="H193" s="66"/>
      <c r="I193" s="67"/>
      <c r="J193" s="68">
        <v>1</v>
      </c>
      <c r="K193" s="49"/>
      <c r="L193" s="61"/>
      <c r="M193" s="61"/>
      <c r="N193" s="61"/>
    </row>
    <row r="194" spans="1:14" ht="21.75" customHeight="1" x14ac:dyDescent="0.4">
      <c r="A194" s="55"/>
      <c r="B194" s="56"/>
      <c r="C194" s="56"/>
      <c r="D194" s="73"/>
      <c r="E194" s="74" t="s">
        <v>29</v>
      </c>
      <c r="F194" s="75"/>
      <c r="G194" s="76"/>
      <c r="H194" s="66"/>
      <c r="I194" s="67"/>
      <c r="J194" s="68">
        <v>0</v>
      </c>
      <c r="K194" s="49"/>
      <c r="L194" s="61"/>
      <c r="M194" s="61"/>
      <c r="N194" s="61"/>
    </row>
    <row r="195" spans="1:14" ht="21.75" customHeight="1" x14ac:dyDescent="0.4">
      <c r="A195" s="55"/>
      <c r="B195" s="56"/>
      <c r="C195" s="56"/>
      <c r="D195" s="73"/>
      <c r="E195" s="75"/>
      <c r="F195" s="74" t="s">
        <v>91</v>
      </c>
      <c r="G195" s="76"/>
      <c r="H195" s="66" t="s">
        <v>16</v>
      </c>
      <c r="I195" s="67">
        <f ca="1">IFERROR(__xludf.DUMMYFUNCTION("IMPORTRANGE(""https://docs.google.com/spreadsheets/d/1C3CXT74ZlgGe6_JY_1olB1XN4rF0dxEuIIF-xsYjHgg/edit?usp=sharing"",""พรบ!BM22"")"),15)</f>
        <v>15</v>
      </c>
      <c r="J195" s="68">
        <v>0</v>
      </c>
      <c r="K195" s="49">
        <f ca="1">IF(I195&gt;0,J195*100/I195,0)</f>
        <v>0</v>
      </c>
      <c r="L195" s="61"/>
      <c r="M195" s="61"/>
      <c r="N195" s="61"/>
    </row>
    <row r="196" spans="1:14" ht="21.75" customHeight="1" x14ac:dyDescent="0.4">
      <c r="A196" s="55"/>
      <c r="B196" s="56"/>
      <c r="C196" s="56"/>
      <c r="D196" s="73"/>
      <c r="E196" s="74" t="s">
        <v>35</v>
      </c>
      <c r="F196" s="75"/>
      <c r="G196" s="76"/>
      <c r="H196" s="66"/>
      <c r="I196" s="67"/>
      <c r="J196" s="68">
        <v>0</v>
      </c>
      <c r="K196" s="49"/>
      <c r="L196" s="61"/>
      <c r="M196" s="61"/>
      <c r="N196" s="61"/>
    </row>
    <row r="197" spans="1:14" ht="21.75" customHeight="1" x14ac:dyDescent="0.4">
      <c r="A197" s="55"/>
      <c r="B197" s="56"/>
      <c r="C197" s="56"/>
      <c r="D197" s="81">
        <v>3</v>
      </c>
      <c r="E197" s="82" t="s">
        <v>36</v>
      </c>
      <c r="F197" s="83"/>
      <c r="G197" s="84"/>
      <c r="H197" s="66"/>
      <c r="I197" s="67"/>
      <c r="J197" s="85">
        <v>0</v>
      </c>
      <c r="K197" s="49"/>
      <c r="L197" s="61"/>
      <c r="M197" s="61"/>
      <c r="N197" s="61"/>
    </row>
    <row r="198" spans="1:14" ht="21.75" customHeight="1" x14ac:dyDescent="0.4">
      <c r="A198" s="166" t="s">
        <v>92</v>
      </c>
      <c r="B198" s="167"/>
      <c r="C198" s="167"/>
      <c r="D198" s="168"/>
      <c r="E198" s="167"/>
      <c r="F198" s="167"/>
      <c r="G198" s="181"/>
      <c r="H198" s="182"/>
      <c r="I198" s="183"/>
      <c r="J198" s="183"/>
      <c r="K198" s="184"/>
      <c r="L198" s="184"/>
      <c r="M198" s="184"/>
      <c r="N198" s="173"/>
    </row>
    <row r="199" spans="1:14" ht="21.75" customHeight="1" x14ac:dyDescent="0.4">
      <c r="A199" s="185"/>
      <c r="B199" s="175" t="s">
        <v>93</v>
      </c>
      <c r="C199" s="186"/>
      <c r="D199" s="187"/>
      <c r="E199" s="175"/>
      <c r="F199" s="175"/>
      <c r="G199" s="176"/>
      <c r="H199" s="177" t="s">
        <v>16</v>
      </c>
      <c r="I199" s="178">
        <f t="shared" ref="I199:J199" ca="1" si="44">I209</f>
        <v>0</v>
      </c>
      <c r="J199" s="178">
        <f t="shared" si="44"/>
        <v>0</v>
      </c>
      <c r="K199" s="179">
        <f ca="1">IF(I199&gt;0,J199*100/I199,0)</f>
        <v>0</v>
      </c>
      <c r="L199" s="180">
        <f ca="1">L200+L201</f>
        <v>0</v>
      </c>
      <c r="M199" s="180">
        <f>SUM(M200:M201)</f>
        <v>0</v>
      </c>
      <c r="N199" s="179">
        <f ca="1">IF(L199&gt;0,M199*100/L199,0)</f>
        <v>0</v>
      </c>
    </row>
    <row r="200" spans="1:14" ht="21.75" customHeight="1" x14ac:dyDescent="0.4">
      <c r="A200" s="42"/>
      <c r="B200" s="43"/>
      <c r="C200" s="43" t="s">
        <v>17</v>
      </c>
      <c r="D200" s="44" t="s">
        <v>18</v>
      </c>
      <c r="E200" s="45"/>
      <c r="F200" s="45"/>
      <c r="G200" s="46" t="s">
        <v>19</v>
      </c>
      <c r="H200" s="47" t="s">
        <v>20</v>
      </c>
      <c r="I200" s="48" t="s">
        <v>21</v>
      </c>
      <c r="J200" s="48"/>
      <c r="K200" s="49"/>
      <c r="L200" s="50">
        <v>0</v>
      </c>
      <c r="M200" s="50">
        <v>0</v>
      </c>
      <c r="N200" s="50">
        <f t="shared" ref="N200:N203" si="45">+IF(L200&gt;0,M200*100/L200,0)</f>
        <v>0</v>
      </c>
    </row>
    <row r="201" spans="1:14" ht="21.75" customHeight="1" x14ac:dyDescent="0.4">
      <c r="A201" s="42"/>
      <c r="B201" s="43"/>
      <c r="C201" s="43"/>
      <c r="D201" s="51"/>
      <c r="E201" s="45"/>
      <c r="F201" s="45" t="s">
        <v>21</v>
      </c>
      <c r="G201" s="46" t="s">
        <v>22</v>
      </c>
      <c r="H201" s="47" t="s">
        <v>20</v>
      </c>
      <c r="I201" s="48"/>
      <c r="J201" s="48"/>
      <c r="K201" s="49"/>
      <c r="L201" s="50">
        <f t="shared" ref="L201:M201" ca="1" si="46">SUM(L202:L203)</f>
        <v>0</v>
      </c>
      <c r="M201" s="50">
        <f t="shared" si="46"/>
        <v>0</v>
      </c>
      <c r="N201" s="50">
        <f t="shared" ca="1" si="45"/>
        <v>0</v>
      </c>
    </row>
    <row r="202" spans="1:14" ht="21.75" customHeight="1" x14ac:dyDescent="0.4">
      <c r="A202" s="42"/>
      <c r="B202" s="43"/>
      <c r="C202" s="43"/>
      <c r="D202" s="51"/>
      <c r="E202" s="45"/>
      <c r="F202" s="45"/>
      <c r="G202" s="52" t="s">
        <v>23</v>
      </c>
      <c r="H202" s="47" t="s">
        <v>20</v>
      </c>
      <c r="I202" s="48"/>
      <c r="J202" s="48"/>
      <c r="K202" s="49"/>
      <c r="L202" s="53">
        <f ca="1">IFERROR(__xludf.DUMMYFUNCTION("IMPORTRANGE(""https://docs.google.com/spreadsheets/d/1C3CXT74ZlgGe6_JY_1olB1XN4rF0dxEuIIF-xsYjHgg/edit?usp=sharing"",""พรบ!Bo22"")"),0)</f>
        <v>0</v>
      </c>
      <c r="M202" s="53">
        <v>0</v>
      </c>
      <c r="N202" s="53">
        <f t="shared" ca="1" si="45"/>
        <v>0</v>
      </c>
    </row>
    <row r="203" spans="1:14" ht="21.75" customHeight="1" x14ac:dyDescent="0.4">
      <c r="A203" s="42"/>
      <c r="B203" s="43"/>
      <c r="C203" s="43"/>
      <c r="D203" s="51"/>
      <c r="E203" s="45"/>
      <c r="F203" s="45"/>
      <c r="G203" s="52" t="s">
        <v>24</v>
      </c>
      <c r="H203" s="47" t="s">
        <v>20</v>
      </c>
      <c r="I203" s="48"/>
      <c r="J203" s="67"/>
      <c r="K203" s="233"/>
      <c r="L203" s="53">
        <f ca="1">IFERROR(__xludf.DUMMYFUNCTION("IMPORTRANGE(""https://docs.google.com/spreadsheets/d/1C3CXT74ZlgGe6_JY_1olB1XN4rF0dxEuIIF-xsYjHgg/edit?usp=sharing"",""พรบ!BP22"")"),0)</f>
        <v>0</v>
      </c>
      <c r="M203" s="53">
        <v>0</v>
      </c>
      <c r="N203" s="53">
        <f t="shared" ca="1" si="45"/>
        <v>0</v>
      </c>
    </row>
    <row r="204" spans="1:14" ht="21.75" customHeight="1" x14ac:dyDescent="0.4">
      <c r="A204" s="55"/>
      <c r="B204" s="56"/>
      <c r="C204" s="43" t="s">
        <v>17</v>
      </c>
      <c r="D204" s="57" t="s">
        <v>25</v>
      </c>
      <c r="E204" s="58"/>
      <c r="F204" s="58"/>
      <c r="G204" s="59"/>
      <c r="H204" s="60"/>
      <c r="I204" s="48"/>
      <c r="J204" s="67"/>
      <c r="K204" s="233"/>
      <c r="L204" s="53"/>
      <c r="M204" s="53"/>
      <c r="N204" s="61"/>
    </row>
    <row r="205" spans="1:14" ht="21.75" customHeight="1" x14ac:dyDescent="0.4">
      <c r="A205" s="55"/>
      <c r="B205" s="56"/>
      <c r="C205" s="56"/>
      <c r="D205" s="62">
        <v>1</v>
      </c>
      <c r="E205" s="63" t="s">
        <v>26</v>
      </c>
      <c r="F205" s="64"/>
      <c r="G205" s="65"/>
      <c r="H205" s="66"/>
      <c r="I205" s="67"/>
      <c r="J205" s="67">
        <v>0</v>
      </c>
      <c r="K205" s="233"/>
      <c r="L205" s="53"/>
      <c r="M205" s="53"/>
      <c r="N205" s="61"/>
    </row>
    <row r="206" spans="1:14" ht="21.75" customHeight="1" x14ac:dyDescent="0.4">
      <c r="A206" s="55"/>
      <c r="B206" s="56"/>
      <c r="C206" s="56"/>
      <c r="D206" s="69">
        <v>2</v>
      </c>
      <c r="E206" s="70" t="s">
        <v>27</v>
      </c>
      <c r="F206" s="71"/>
      <c r="G206" s="72"/>
      <c r="H206" s="66"/>
      <c r="I206" s="67"/>
      <c r="J206" s="67">
        <v>0</v>
      </c>
      <c r="K206" s="233"/>
      <c r="L206" s="53" t="s">
        <v>21</v>
      </c>
      <c r="M206" s="53" t="s">
        <v>21</v>
      </c>
      <c r="N206" s="61"/>
    </row>
    <row r="207" spans="1:14" ht="21.75" customHeight="1" x14ac:dyDescent="0.4">
      <c r="A207" s="55"/>
      <c r="B207" s="56"/>
      <c r="C207" s="56"/>
      <c r="D207" s="73"/>
      <c r="E207" s="74" t="s">
        <v>28</v>
      </c>
      <c r="F207" s="75"/>
      <c r="G207" s="76"/>
      <c r="H207" s="66"/>
      <c r="I207" s="67"/>
      <c r="J207" s="67">
        <v>0</v>
      </c>
      <c r="K207" s="233"/>
      <c r="L207" s="53"/>
      <c r="M207" s="53"/>
      <c r="N207" s="61"/>
    </row>
    <row r="208" spans="1:14" ht="21.75" customHeight="1" x14ac:dyDescent="0.4">
      <c r="A208" s="55"/>
      <c r="B208" s="56"/>
      <c r="C208" s="56"/>
      <c r="D208" s="73"/>
      <c r="E208" s="74" t="s">
        <v>29</v>
      </c>
      <c r="F208" s="75"/>
      <c r="G208" s="76"/>
      <c r="H208" s="66"/>
      <c r="I208" s="67"/>
      <c r="J208" s="67">
        <v>0</v>
      </c>
      <c r="K208" s="233"/>
      <c r="L208" s="53"/>
      <c r="M208" s="53"/>
      <c r="N208" s="61"/>
    </row>
    <row r="209" spans="1:14" ht="21.75" customHeight="1" x14ac:dyDescent="0.4">
      <c r="A209" s="55"/>
      <c r="B209" s="56"/>
      <c r="C209" s="56"/>
      <c r="D209" s="73"/>
      <c r="E209" s="77"/>
      <c r="F209" s="74" t="s">
        <v>94</v>
      </c>
      <c r="G209" s="76"/>
      <c r="H209" s="60" t="s">
        <v>16</v>
      </c>
      <c r="I209" s="67">
        <f ca="1">IFERROR(__xludf.DUMMYFUNCTION("IMPORTRANGE(""https://docs.google.com/spreadsheets/d/1C3CXT74ZlgGe6_JY_1olB1XN4rF0dxEuIIF-xsYjHgg/edit?usp=sharing"",""พรบ!BQ22"")"),0)</f>
        <v>0</v>
      </c>
      <c r="J209" s="67">
        <v>0</v>
      </c>
      <c r="K209" s="233">
        <f ca="1">IF(I209&gt;0,J209*100/I209,0)</f>
        <v>0</v>
      </c>
      <c r="L209" s="53"/>
      <c r="M209" s="53"/>
      <c r="N209" s="61"/>
    </row>
    <row r="210" spans="1:14" ht="21.75" customHeight="1" x14ac:dyDescent="0.4">
      <c r="A210" s="55"/>
      <c r="B210" s="56"/>
      <c r="C210" s="56"/>
      <c r="D210" s="73"/>
      <c r="E210" s="77"/>
      <c r="F210" s="74" t="s">
        <v>95</v>
      </c>
      <c r="G210" s="76"/>
      <c r="H210" s="60"/>
      <c r="I210" s="67"/>
      <c r="J210" s="67"/>
      <c r="K210" s="233"/>
      <c r="L210" s="53"/>
      <c r="M210" s="53"/>
      <c r="N210" s="61"/>
    </row>
    <row r="211" spans="1:14" ht="21.75" customHeight="1" x14ac:dyDescent="0.4">
      <c r="A211" s="55"/>
      <c r="B211" s="56"/>
      <c r="C211" s="56"/>
      <c r="D211" s="73"/>
      <c r="E211" s="77"/>
      <c r="F211" s="75" t="s">
        <v>34</v>
      </c>
      <c r="G211" s="76"/>
      <c r="H211" s="60" t="s">
        <v>16</v>
      </c>
      <c r="I211" s="67">
        <f ca="1">IFERROR(__xludf.DUMMYFUNCTION("IMPORTRANGE(""https://docs.google.com/spreadsheets/d/1C3CXT74ZlgGe6_JY_1olB1XN4rF0dxEuIIF-xsYjHgg/edit?usp=sharing"",""พรบ!BR22"")"),0)</f>
        <v>0</v>
      </c>
      <c r="J211" s="67">
        <v>0</v>
      </c>
      <c r="K211" s="233">
        <f ca="1">IF(I211&gt;0,J211*100/I211,0)</f>
        <v>0</v>
      </c>
      <c r="L211" s="53"/>
      <c r="M211" s="53"/>
      <c r="N211" s="61"/>
    </row>
    <row r="212" spans="1:14" ht="21.75" customHeight="1" x14ac:dyDescent="0.4">
      <c r="A212" s="55"/>
      <c r="B212" s="56"/>
      <c r="C212" s="56"/>
      <c r="D212" s="73"/>
      <c r="E212" s="74" t="s">
        <v>35</v>
      </c>
      <c r="F212" s="75"/>
      <c r="G212" s="76"/>
      <c r="H212" s="66"/>
      <c r="I212" s="67"/>
      <c r="J212" s="67">
        <v>0</v>
      </c>
      <c r="K212" s="233"/>
      <c r="L212" s="53"/>
      <c r="M212" s="53"/>
      <c r="N212" s="61"/>
    </row>
    <row r="213" spans="1:14" ht="21.75" customHeight="1" x14ac:dyDescent="0.4">
      <c r="A213" s="55"/>
      <c r="B213" s="56"/>
      <c r="C213" s="56"/>
      <c r="D213" s="81">
        <v>3</v>
      </c>
      <c r="E213" s="82" t="s">
        <v>36</v>
      </c>
      <c r="F213" s="83"/>
      <c r="G213" s="84"/>
      <c r="H213" s="66"/>
      <c r="I213" s="67"/>
      <c r="J213" s="385">
        <v>0</v>
      </c>
      <c r="K213" s="233"/>
      <c r="L213" s="53"/>
      <c r="M213" s="53"/>
      <c r="N213" s="61"/>
    </row>
    <row r="214" spans="1:14" ht="21.75" customHeight="1" x14ac:dyDescent="0.4">
      <c r="A214" s="189"/>
      <c r="B214" s="190" t="s">
        <v>96</v>
      </c>
      <c r="C214" s="191"/>
      <c r="D214" s="192"/>
      <c r="E214" s="190"/>
      <c r="F214" s="190"/>
      <c r="G214" s="193"/>
      <c r="H214" s="194" t="s">
        <v>97</v>
      </c>
      <c r="I214" s="195">
        <f t="shared" ref="I214:J214" ca="1" si="47">I224</f>
        <v>6</v>
      </c>
      <c r="J214" s="195">
        <f t="shared" si="47"/>
        <v>0</v>
      </c>
      <c r="K214" s="196">
        <f ca="1">IF(I214&gt;0,J214*100/I214,0)</f>
        <v>0</v>
      </c>
      <c r="L214" s="197">
        <f ca="1">L215+L216</f>
        <v>315600</v>
      </c>
      <c r="M214" s="197">
        <f>SUM(M215:M216)</f>
        <v>24270.75</v>
      </c>
      <c r="N214" s="196">
        <f ca="1">IF(L214&gt;0,M214*100/L214,0)</f>
        <v>7.690351711026616</v>
      </c>
    </row>
    <row r="215" spans="1:14" ht="21.75" customHeight="1" x14ac:dyDescent="0.4">
      <c r="A215" s="42"/>
      <c r="B215" s="43"/>
      <c r="C215" s="43" t="s">
        <v>17</v>
      </c>
      <c r="D215" s="44" t="s">
        <v>18</v>
      </c>
      <c r="E215" s="45"/>
      <c r="F215" s="45"/>
      <c r="G215" s="46" t="s">
        <v>19</v>
      </c>
      <c r="H215" s="47" t="s">
        <v>20</v>
      </c>
      <c r="I215" s="48" t="s">
        <v>21</v>
      </c>
      <c r="J215" s="48"/>
      <c r="K215" s="49"/>
      <c r="L215" s="50">
        <v>0</v>
      </c>
      <c r="M215" s="53">
        <v>0</v>
      </c>
      <c r="N215" s="53">
        <f t="shared" ref="N215:N218" si="48">+IF(L215&gt;0,M215*100/L215,0)</f>
        <v>0</v>
      </c>
    </row>
    <row r="216" spans="1:14" ht="21.75" customHeight="1" x14ac:dyDescent="0.4">
      <c r="A216" s="42"/>
      <c r="B216" s="43"/>
      <c r="C216" s="43"/>
      <c r="D216" s="51"/>
      <c r="E216" s="45"/>
      <c r="F216" s="45" t="s">
        <v>21</v>
      </c>
      <c r="G216" s="46" t="s">
        <v>22</v>
      </c>
      <c r="H216" s="47" t="s">
        <v>20</v>
      </c>
      <c r="I216" s="48"/>
      <c r="J216" s="48"/>
      <c r="K216" s="49"/>
      <c r="L216" s="50">
        <f t="shared" ref="L216:M216" ca="1" si="49">SUM(L217:L218)</f>
        <v>315600</v>
      </c>
      <c r="M216" s="53">
        <f t="shared" si="49"/>
        <v>24270.75</v>
      </c>
      <c r="N216" s="53">
        <f t="shared" ca="1" si="48"/>
        <v>7.690351711026616</v>
      </c>
    </row>
    <row r="217" spans="1:14" ht="21.75" customHeight="1" x14ac:dyDescent="0.4">
      <c r="A217" s="42"/>
      <c r="B217" s="43"/>
      <c r="C217" s="43"/>
      <c r="D217" s="51"/>
      <c r="E217" s="45"/>
      <c r="F217" s="45"/>
      <c r="G217" s="52" t="s">
        <v>23</v>
      </c>
      <c r="H217" s="47" t="s">
        <v>20</v>
      </c>
      <c r="I217" s="48"/>
      <c r="J217" s="48"/>
      <c r="K217" s="49"/>
      <c r="L217" s="53">
        <f ca="1">IFERROR(__xludf.DUMMYFUNCTION("IMPORTRANGE(""https://docs.google.com/spreadsheets/d/1C3CXT74ZlgGe6_JY_1olB1XN4rF0dxEuIIF-xsYjHgg/edit?usp=sharing"",""พรบ!Bt22"")"),0)</f>
        <v>0</v>
      </c>
      <c r="M217" s="53">
        <v>0</v>
      </c>
      <c r="N217" s="53">
        <f t="shared" ca="1" si="48"/>
        <v>0</v>
      </c>
    </row>
    <row r="218" spans="1:14" ht="21.75" customHeight="1" x14ac:dyDescent="0.4">
      <c r="A218" s="42"/>
      <c r="B218" s="43"/>
      <c r="C218" s="43"/>
      <c r="D218" s="51"/>
      <c r="E218" s="45"/>
      <c r="F218" s="45"/>
      <c r="G218" s="52" t="s">
        <v>24</v>
      </c>
      <c r="H218" s="47" t="s">
        <v>20</v>
      </c>
      <c r="I218" s="48"/>
      <c r="J218" s="48"/>
      <c r="K218" s="49"/>
      <c r="L218" s="53">
        <f ca="1">IFERROR(__xludf.DUMMYFUNCTION("IMPORTRANGE(""https://docs.google.com/spreadsheets/d/1C3CXT74ZlgGe6_JY_1olB1XN4rF0dxEuIIF-xsYjHgg/edit?usp=sharing"",""พรบ!BU22"")"),315600)</f>
        <v>315600</v>
      </c>
      <c r="M218" s="54">
        <v>24270.75</v>
      </c>
      <c r="N218" s="53">
        <f t="shared" ca="1" si="48"/>
        <v>7.690351711026616</v>
      </c>
    </row>
    <row r="219" spans="1:14" ht="21.75" customHeight="1" x14ac:dyDescent="0.4">
      <c r="A219" s="55"/>
      <c r="B219" s="56"/>
      <c r="C219" s="43" t="s">
        <v>17</v>
      </c>
      <c r="D219" s="57" t="s">
        <v>25</v>
      </c>
      <c r="E219" s="58"/>
      <c r="F219" s="58"/>
      <c r="G219" s="59"/>
      <c r="H219" s="60"/>
      <c r="I219" s="48"/>
      <c r="J219" s="48"/>
      <c r="K219" s="49"/>
      <c r="L219" s="61"/>
      <c r="M219" s="61"/>
      <c r="N219" s="61"/>
    </row>
    <row r="220" spans="1:14" ht="21.75" customHeight="1" x14ac:dyDescent="0.4">
      <c r="A220" s="55"/>
      <c r="B220" s="56"/>
      <c r="C220" s="56"/>
      <c r="D220" s="62">
        <v>1</v>
      </c>
      <c r="E220" s="63" t="s">
        <v>26</v>
      </c>
      <c r="F220" s="64"/>
      <c r="G220" s="65"/>
      <c r="H220" s="66"/>
      <c r="I220" s="67"/>
      <c r="J220" s="68">
        <v>0</v>
      </c>
      <c r="K220" s="49"/>
      <c r="L220" s="61"/>
      <c r="M220" s="61"/>
      <c r="N220" s="61"/>
    </row>
    <row r="221" spans="1:14" ht="21.75" customHeight="1" x14ac:dyDescent="0.4">
      <c r="A221" s="55"/>
      <c r="B221" s="56"/>
      <c r="C221" s="56"/>
      <c r="D221" s="69">
        <v>2</v>
      </c>
      <c r="E221" s="70" t="s">
        <v>27</v>
      </c>
      <c r="F221" s="71"/>
      <c r="G221" s="72"/>
      <c r="H221" s="66"/>
      <c r="I221" s="67"/>
      <c r="J221" s="68">
        <v>0</v>
      </c>
      <c r="K221" s="49"/>
      <c r="L221" s="61" t="s">
        <v>21</v>
      </c>
      <c r="M221" s="61" t="s">
        <v>21</v>
      </c>
      <c r="N221" s="61"/>
    </row>
    <row r="222" spans="1:14" ht="21.75" customHeight="1" x14ac:dyDescent="0.4">
      <c r="A222" s="55"/>
      <c r="B222" s="56"/>
      <c r="C222" s="56"/>
      <c r="D222" s="73"/>
      <c r="E222" s="74" t="s">
        <v>28</v>
      </c>
      <c r="F222" s="75"/>
      <c r="G222" s="76"/>
      <c r="H222" s="66"/>
      <c r="I222" s="67"/>
      <c r="J222" s="68">
        <v>0</v>
      </c>
      <c r="K222" s="49"/>
      <c r="L222" s="61"/>
      <c r="M222" s="61"/>
      <c r="N222" s="61"/>
    </row>
    <row r="223" spans="1:14" ht="21.75" customHeight="1" x14ac:dyDescent="0.4">
      <c r="A223" s="55"/>
      <c r="B223" s="56"/>
      <c r="C223" s="56"/>
      <c r="D223" s="73"/>
      <c r="E223" s="74" t="s">
        <v>29</v>
      </c>
      <c r="F223" s="75"/>
      <c r="G223" s="76"/>
      <c r="H223" s="66"/>
      <c r="I223" s="67"/>
      <c r="J223" s="68">
        <v>0</v>
      </c>
      <c r="K223" s="49"/>
      <c r="L223" s="61"/>
      <c r="M223" s="61"/>
      <c r="N223" s="61"/>
    </row>
    <row r="224" spans="1:14" ht="21.75" customHeight="1" x14ac:dyDescent="0.4">
      <c r="A224" s="55"/>
      <c r="B224" s="56"/>
      <c r="C224" s="56"/>
      <c r="D224" s="73"/>
      <c r="E224" s="77"/>
      <c r="F224" s="74" t="s">
        <v>98</v>
      </c>
      <c r="G224" s="76"/>
      <c r="H224" s="66" t="s">
        <v>97</v>
      </c>
      <c r="I224" s="67">
        <f ca="1">IFERROR(__xludf.DUMMYFUNCTION("IMPORTRANGE(""https://docs.google.com/spreadsheets/d/1C3CXT74ZlgGe6_JY_1olB1XN4rF0dxEuIIF-xsYjHgg/edit?usp=sharing"",""พรบ!BV22"")"),6)</f>
        <v>6</v>
      </c>
      <c r="J224" s="68">
        <v>0</v>
      </c>
      <c r="K224" s="49">
        <f ca="1">IF(I224&gt;0,J224*100/I224,0)</f>
        <v>0</v>
      </c>
      <c r="L224" s="61"/>
      <c r="M224" s="61"/>
      <c r="N224" s="61"/>
    </row>
    <row r="225" spans="1:14" ht="21.75" customHeight="1" x14ac:dyDescent="0.4">
      <c r="A225" s="55"/>
      <c r="B225" s="56"/>
      <c r="C225" s="56"/>
      <c r="D225" s="73"/>
      <c r="E225" s="74" t="s">
        <v>35</v>
      </c>
      <c r="F225" s="75"/>
      <c r="G225" s="76"/>
      <c r="H225" s="66"/>
      <c r="I225" s="67"/>
      <c r="J225" s="68">
        <v>0</v>
      </c>
      <c r="K225" s="49"/>
      <c r="L225" s="61"/>
      <c r="M225" s="61"/>
      <c r="N225" s="61"/>
    </row>
    <row r="226" spans="1:14" ht="21.75" customHeight="1" x14ac:dyDescent="0.4">
      <c r="A226" s="55"/>
      <c r="B226" s="56"/>
      <c r="C226" s="56"/>
      <c r="D226" s="81">
        <v>3</v>
      </c>
      <c r="E226" s="82" t="s">
        <v>36</v>
      </c>
      <c r="F226" s="83"/>
      <c r="G226" s="84"/>
      <c r="H226" s="66"/>
      <c r="I226" s="67"/>
      <c r="J226" s="85">
        <v>0</v>
      </c>
      <c r="K226" s="49"/>
      <c r="L226" s="61"/>
      <c r="M226" s="61"/>
      <c r="N226" s="61"/>
    </row>
    <row r="227" spans="1:14" ht="21.75" customHeight="1" x14ac:dyDescent="0.4">
      <c r="A227" s="166" t="s">
        <v>99</v>
      </c>
      <c r="B227" s="167"/>
      <c r="C227" s="167"/>
      <c r="D227" s="168"/>
      <c r="E227" s="167"/>
      <c r="F227" s="167"/>
      <c r="G227" s="181"/>
      <c r="H227" s="170"/>
      <c r="I227" s="171"/>
      <c r="J227" s="171"/>
      <c r="K227" s="172"/>
      <c r="L227" s="172"/>
      <c r="M227" s="172"/>
      <c r="N227" s="173"/>
    </row>
    <row r="228" spans="1:14" ht="21.75" customHeight="1" x14ac:dyDescent="0.4">
      <c r="A228" s="174"/>
      <c r="B228" s="175" t="s">
        <v>100</v>
      </c>
      <c r="C228" s="187"/>
      <c r="D228" s="175"/>
      <c r="E228" s="175"/>
      <c r="F228" s="175"/>
      <c r="G228" s="176"/>
      <c r="H228" s="177" t="s">
        <v>16</v>
      </c>
      <c r="I228" s="198">
        <f ca="1">I236</f>
        <v>315</v>
      </c>
      <c r="J228" s="198">
        <f ca="1">J240</f>
        <v>2</v>
      </c>
      <c r="K228" s="179">
        <f ca="1">IF(I228&gt;0,J228*100/I228,0)</f>
        <v>0.63492063492063489</v>
      </c>
      <c r="L228" s="180">
        <f ca="1">L229+L230</f>
        <v>802280</v>
      </c>
      <c r="M228" s="180">
        <f>SUM(M229:M230)</f>
        <v>101192.49</v>
      </c>
      <c r="N228" s="179">
        <f ca="1">IF(L228&gt;0,M228*100/L228,0)</f>
        <v>12.613113875454953</v>
      </c>
    </row>
    <row r="229" spans="1:14" ht="21.75" customHeight="1" x14ac:dyDescent="0.4">
      <c r="A229" s="42"/>
      <c r="B229" s="43"/>
      <c r="C229" s="43" t="s">
        <v>17</v>
      </c>
      <c r="D229" s="44" t="s">
        <v>18</v>
      </c>
      <c r="E229" s="45"/>
      <c r="F229" s="45"/>
      <c r="G229" s="46" t="s">
        <v>19</v>
      </c>
      <c r="H229" s="47" t="s">
        <v>20</v>
      </c>
      <c r="I229" s="48" t="s">
        <v>21</v>
      </c>
      <c r="J229" s="48"/>
      <c r="K229" s="49"/>
      <c r="L229" s="50">
        <v>0</v>
      </c>
      <c r="M229" s="53">
        <v>0</v>
      </c>
      <c r="N229" s="53">
        <f t="shared" ref="N229:N232" si="50">+IF(L229&gt;0,M229*100/L229,0)</f>
        <v>0</v>
      </c>
    </row>
    <row r="230" spans="1:14" ht="21.75" customHeight="1" x14ac:dyDescent="0.4">
      <c r="A230" s="42"/>
      <c r="B230" s="43"/>
      <c r="C230" s="43"/>
      <c r="D230" s="51"/>
      <c r="E230" s="45"/>
      <c r="F230" s="45" t="s">
        <v>21</v>
      </c>
      <c r="G230" s="46" t="s">
        <v>22</v>
      </c>
      <c r="H230" s="47" t="s">
        <v>20</v>
      </c>
      <c r="I230" s="48"/>
      <c r="J230" s="48"/>
      <c r="K230" s="49"/>
      <c r="L230" s="50">
        <f t="shared" ref="L230:M230" ca="1" si="51">SUM(L231:L232)</f>
        <v>802280</v>
      </c>
      <c r="M230" s="53">
        <f t="shared" si="51"/>
        <v>101192.49</v>
      </c>
      <c r="N230" s="53">
        <f t="shared" ca="1" si="50"/>
        <v>12.613113875454953</v>
      </c>
    </row>
    <row r="231" spans="1:14" ht="21.75" customHeight="1" x14ac:dyDescent="0.4">
      <c r="A231" s="42"/>
      <c r="B231" s="43"/>
      <c r="C231" s="43"/>
      <c r="D231" s="51"/>
      <c r="E231" s="45"/>
      <c r="F231" s="45"/>
      <c r="G231" s="52" t="s">
        <v>23</v>
      </c>
      <c r="H231" s="47" t="s">
        <v>20</v>
      </c>
      <c r="I231" s="48"/>
      <c r="J231" s="48"/>
      <c r="K231" s="49"/>
      <c r="L231" s="53">
        <f ca="1">IFERROR(__xludf.DUMMYFUNCTION("IMPORTRANGE(""https://docs.google.com/spreadsheets/d/1C3CXT74ZlgGe6_JY_1olB1XN4rF0dxEuIIF-xsYjHgg/edit?usp=sharing"",""พรบ!BX22"")"),471600)</f>
        <v>471600</v>
      </c>
      <c r="M231" s="54">
        <v>77192.08</v>
      </c>
      <c r="N231" s="53">
        <f t="shared" ca="1" si="50"/>
        <v>16.368125530110262</v>
      </c>
    </row>
    <row r="232" spans="1:14" ht="21.75" customHeight="1" x14ac:dyDescent="0.4">
      <c r="A232" s="42"/>
      <c r="B232" s="43"/>
      <c r="C232" s="43"/>
      <c r="D232" s="51"/>
      <c r="E232" s="45"/>
      <c r="F232" s="45"/>
      <c r="G232" s="52" t="s">
        <v>24</v>
      </c>
      <c r="H232" s="47" t="s">
        <v>20</v>
      </c>
      <c r="I232" s="48"/>
      <c r="J232" s="48"/>
      <c r="K232" s="49"/>
      <c r="L232" s="53">
        <f ca="1">IFERROR(__xludf.DUMMYFUNCTION("IMPORTRANGE(""https://docs.google.com/spreadsheets/d/1C3CXT74ZlgGe6_JY_1olB1XN4rF0dxEuIIF-xsYjHgg/edit?usp=sharing"",""พรบ!BY22"")"),330680)</f>
        <v>330680</v>
      </c>
      <c r="M232" s="54">
        <v>24000.41</v>
      </c>
      <c r="N232" s="53">
        <f t="shared" ca="1" si="50"/>
        <v>7.2578958509737515</v>
      </c>
    </row>
    <row r="233" spans="1:14" ht="21.75" customHeight="1" x14ac:dyDescent="0.4">
      <c r="A233" s="55"/>
      <c r="B233" s="155"/>
      <c r="C233" s="199" t="s">
        <v>101</v>
      </c>
      <c r="D233" s="75"/>
      <c r="E233" s="75"/>
      <c r="F233" s="75"/>
      <c r="G233" s="76"/>
      <c r="H233" s="60"/>
      <c r="I233" s="200"/>
      <c r="J233" s="200"/>
      <c r="K233" s="201"/>
      <c r="L233" s="61"/>
      <c r="M233" s="61"/>
      <c r="N233" s="202"/>
    </row>
    <row r="234" spans="1:14" ht="21.75" customHeight="1" x14ac:dyDescent="0.4">
      <c r="A234" s="55"/>
      <c r="B234" s="155"/>
      <c r="C234" s="56"/>
      <c r="D234" s="75"/>
      <c r="E234" s="74" t="s">
        <v>102</v>
      </c>
      <c r="F234" s="75"/>
      <c r="G234" s="76"/>
      <c r="H234" s="60" t="s">
        <v>16</v>
      </c>
      <c r="I234" s="67">
        <v>0</v>
      </c>
      <c r="J234" s="67">
        <f ca="1">IFERROR(__xludf.DUMMYFUNCTION("IMPORTRANGE(""https://docs.google.com/spreadsheets/d/1AGHcLOeeYFL3K4b9R1dSzyJy00PE_ra89DNTVfnxSWM/edit?usp=sharing"",""รวมที่ทำกิน!J11"")"),4)</f>
        <v>4</v>
      </c>
      <c r="K234" s="201">
        <f t="shared" ref="K234:K241" si="52">IF(I234&gt;0,J234*100/I234,0)</f>
        <v>0</v>
      </c>
      <c r="L234" s="61"/>
      <c r="M234" s="61"/>
      <c r="N234" s="202"/>
    </row>
    <row r="235" spans="1:14" ht="21.75" customHeight="1" x14ac:dyDescent="0.4">
      <c r="A235" s="55"/>
      <c r="B235" s="155"/>
      <c r="C235" s="56"/>
      <c r="D235" s="75"/>
      <c r="E235" s="75"/>
      <c r="F235" s="75"/>
      <c r="G235" s="76"/>
      <c r="H235" s="60" t="s">
        <v>103</v>
      </c>
      <c r="I235" s="67">
        <f ca="1">IFERROR(__xludf.DUMMYFUNCTION("IMPORTRANGE(""https://docs.google.com/spreadsheets/d/1C3CXT74ZlgGe6_JY_1olB1XN4rF0dxEuIIF-xsYjHgg/edit?usp=sharing"",""พรบ!BZ22"")"),1060)</f>
        <v>1060</v>
      </c>
      <c r="J235" s="67">
        <f ca="1">IFERROR(__xludf.DUMMYFUNCTION("IMPORTRANGE(""https://docs.google.com/spreadsheets/d/1AGHcLOeeYFL3K4b9R1dSzyJy00PE_ra89DNTVfnxSWM/edit?usp=sharing"",""รวมที่ทำกิน!L11"")"),20.02)</f>
        <v>20.02</v>
      </c>
      <c r="K235" s="201">
        <f t="shared" ca="1" si="52"/>
        <v>1.8886792452830188</v>
      </c>
      <c r="L235" s="61"/>
      <c r="M235" s="61"/>
      <c r="N235" s="202"/>
    </row>
    <row r="236" spans="1:14" ht="21.75" customHeight="1" x14ac:dyDescent="0.4">
      <c r="A236" s="55"/>
      <c r="B236" s="155"/>
      <c r="C236" s="56"/>
      <c r="D236" s="75"/>
      <c r="E236" s="74" t="s">
        <v>104</v>
      </c>
      <c r="F236" s="75"/>
      <c r="G236" s="76"/>
      <c r="H236" s="60" t="s">
        <v>16</v>
      </c>
      <c r="I236" s="67">
        <f ca="1">IFERROR(__xludf.DUMMYFUNCTION("IMPORTRANGE(""https://docs.google.com/spreadsheets/d/1C3CXT74ZlgGe6_JY_1olB1XN4rF0dxEuIIF-xsYjHgg/edit?usp=sharing"",""พรบ!CA22"")"),315)</f>
        <v>315</v>
      </c>
      <c r="J236" s="67">
        <f ca="1">IFERROR(__xludf.DUMMYFUNCTION("IMPORTRANGE(""https://docs.google.com/spreadsheets/d/1AGHcLOeeYFL3K4b9R1dSzyJy00PE_ra89DNTVfnxSWM/edit?usp=sharing"",""รวมที่ทำกิน!O11"")"),2)</f>
        <v>2</v>
      </c>
      <c r="K236" s="201">
        <f t="shared" ca="1" si="52"/>
        <v>0.63492063492063489</v>
      </c>
      <c r="L236" s="61"/>
      <c r="M236" s="61"/>
      <c r="N236" s="202"/>
    </row>
    <row r="237" spans="1:14" ht="21.75" customHeight="1" x14ac:dyDescent="0.4">
      <c r="A237" s="55"/>
      <c r="B237" s="155"/>
      <c r="C237" s="56"/>
      <c r="D237" s="75"/>
      <c r="E237" s="75"/>
      <c r="F237" s="75"/>
      <c r="G237" s="76"/>
      <c r="H237" s="60" t="s">
        <v>103</v>
      </c>
      <c r="I237" s="200">
        <v>0</v>
      </c>
      <c r="J237" s="67">
        <f ca="1">IFERROR(__xludf.DUMMYFUNCTION("IMPORTRANGE(""https://docs.google.com/spreadsheets/d/1AGHcLOeeYFL3K4b9R1dSzyJy00PE_ra89DNTVfnxSWM/edit?usp=sharing"",""รวมที่ทำกิน!Q11"")"),4.31)</f>
        <v>4.3099999999999996</v>
      </c>
      <c r="K237" s="201">
        <f t="shared" si="52"/>
        <v>0</v>
      </c>
      <c r="L237" s="61"/>
      <c r="M237" s="61"/>
      <c r="N237" s="202"/>
    </row>
    <row r="238" spans="1:14" ht="21.75" customHeight="1" x14ac:dyDescent="0.4">
      <c r="A238" s="55"/>
      <c r="B238" s="155"/>
      <c r="C238" s="56"/>
      <c r="D238" s="75"/>
      <c r="E238" s="74" t="s">
        <v>105</v>
      </c>
      <c r="F238" s="75"/>
      <c r="G238" s="76"/>
      <c r="H238" s="60" t="s">
        <v>16</v>
      </c>
      <c r="I238" s="67">
        <f ca="1">IFERROR(__xludf.DUMMYFUNCTION("IMPORTRANGE(""https://docs.google.com/spreadsheets/d/1C3CXT74ZlgGe6_JY_1olB1XN4rF0dxEuIIF-xsYjHgg/edit?usp=sharing"",""พรบ!CB22"")"),315)</f>
        <v>315</v>
      </c>
      <c r="J238" s="67">
        <f ca="1">IFERROR(__xludf.DUMMYFUNCTION("IMPORTRANGE(""https://docs.google.com/spreadsheets/d/1AGHcLOeeYFL3K4b9R1dSzyJy00PE_ra89DNTVfnxSWM/edit?usp=sharing"",""รวมที่ทำกิน!S11"")"),0)</f>
        <v>0</v>
      </c>
      <c r="K238" s="201">
        <f t="shared" ca="1" si="52"/>
        <v>0</v>
      </c>
      <c r="L238" s="61"/>
      <c r="M238" s="61"/>
      <c r="N238" s="202"/>
    </row>
    <row r="239" spans="1:14" ht="21.75" customHeight="1" x14ac:dyDescent="0.4">
      <c r="A239" s="55"/>
      <c r="B239" s="155"/>
      <c r="C239" s="56"/>
      <c r="D239" s="75"/>
      <c r="E239" s="75"/>
      <c r="F239" s="75"/>
      <c r="G239" s="76"/>
      <c r="H239" s="60" t="s">
        <v>103</v>
      </c>
      <c r="I239" s="200">
        <v>0</v>
      </c>
      <c r="J239" s="67">
        <f ca="1">IFERROR(__xludf.DUMMYFUNCTION("IMPORTRANGE(""https://docs.google.com/spreadsheets/d/1AGHcLOeeYFL3K4b9R1dSzyJy00PE_ra89DNTVfnxSWM/edit?usp=sharing"",""รวมที่ทำกิน!U11"")"),0)</f>
        <v>0</v>
      </c>
      <c r="K239" s="201">
        <f t="shared" si="52"/>
        <v>0</v>
      </c>
      <c r="L239" s="61"/>
      <c r="M239" s="61"/>
      <c r="N239" s="202"/>
    </row>
    <row r="240" spans="1:14" ht="21.75" customHeight="1" x14ac:dyDescent="0.4">
      <c r="A240" s="55"/>
      <c r="B240" s="155"/>
      <c r="C240" s="56"/>
      <c r="D240" s="75"/>
      <c r="E240" s="74" t="s">
        <v>106</v>
      </c>
      <c r="F240" s="75"/>
      <c r="G240" s="76"/>
      <c r="H240" s="60" t="s">
        <v>16</v>
      </c>
      <c r="I240" s="67">
        <f ca="1">IFERROR(__xludf.DUMMYFUNCTION("IMPORTRANGE(""https://docs.google.com/spreadsheets/d/1C3CXT74ZlgGe6_JY_1olB1XN4rF0dxEuIIF-xsYjHgg/edit?usp=sharing"",""พรบ!CC22"")"),315)</f>
        <v>315</v>
      </c>
      <c r="J240" s="67">
        <f ca="1">IFERROR(__xludf.DUMMYFUNCTION("IMPORTRANGE(""https://docs.google.com/spreadsheets/d/1AGHcLOeeYFL3K4b9R1dSzyJy00PE_ra89DNTVfnxSWM/edit?usp=sharing"",""รวมที่ทำกิน!W11"")"),2)</f>
        <v>2</v>
      </c>
      <c r="K240" s="201">
        <f t="shared" ca="1" si="52"/>
        <v>0.63492063492063489</v>
      </c>
      <c r="L240" s="61"/>
      <c r="M240" s="61"/>
      <c r="N240" s="202"/>
    </row>
    <row r="241" spans="1:14" ht="21.75" customHeight="1" x14ac:dyDescent="0.4">
      <c r="A241" s="105"/>
      <c r="B241" s="203"/>
      <c r="C241" s="106"/>
      <c r="D241" s="203"/>
      <c r="E241" s="204"/>
      <c r="F241" s="204"/>
      <c r="G241" s="205"/>
      <c r="H241" s="206" t="s">
        <v>103</v>
      </c>
      <c r="I241" s="207">
        <v>0</v>
      </c>
      <c r="J241" s="67">
        <f ca="1">IFERROR(__xludf.DUMMYFUNCTION("IMPORTRANGE(""https://docs.google.com/spreadsheets/d/1AGHcLOeeYFL3K4b9R1dSzyJy00PE_ra89DNTVfnxSWM/edit?usp=sharing"",""รวมที่ทำกิน!Y11"")"),4.31)</f>
        <v>4.3099999999999996</v>
      </c>
      <c r="K241" s="201">
        <f t="shared" si="52"/>
        <v>0</v>
      </c>
      <c r="L241" s="115"/>
      <c r="M241" s="115"/>
      <c r="N241" s="208"/>
    </row>
    <row r="242" spans="1:14" ht="21.75" customHeight="1" x14ac:dyDescent="0.4">
      <c r="A242" s="209" t="s">
        <v>107</v>
      </c>
      <c r="B242" s="210"/>
      <c r="C242" s="210"/>
      <c r="D242" s="210"/>
      <c r="E242" s="210"/>
      <c r="F242" s="210"/>
      <c r="G242" s="211"/>
      <c r="H242" s="212"/>
      <c r="I242" s="213"/>
      <c r="J242" s="213"/>
      <c r="K242" s="214"/>
      <c r="L242" s="214">
        <f t="shared" ref="L242:M242" ca="1" si="53">SUM(L244,L275,L296,L330,L350,L426,L444,L457,L473,L490)</f>
        <v>2630279</v>
      </c>
      <c r="M242" s="214">
        <f t="shared" si="53"/>
        <v>162058.59999999998</v>
      </c>
      <c r="N242" s="214">
        <f ca="1">+IF(L242&gt;0,M242*100/L242,0)</f>
        <v>6.1612703443246888</v>
      </c>
    </row>
    <row r="243" spans="1:14" ht="21.75" customHeight="1" x14ac:dyDescent="0.4">
      <c r="A243" s="215" t="s">
        <v>108</v>
      </c>
      <c r="B243" s="216"/>
      <c r="C243" s="216"/>
      <c r="D243" s="216"/>
      <c r="E243" s="216"/>
      <c r="F243" s="216"/>
      <c r="G243" s="217"/>
      <c r="H243" s="218"/>
      <c r="I243" s="219"/>
      <c r="J243" s="219"/>
      <c r="K243" s="220"/>
      <c r="L243" s="220"/>
      <c r="M243" s="220"/>
      <c r="N243" s="221"/>
    </row>
    <row r="244" spans="1:14" ht="21.75" customHeight="1" x14ac:dyDescent="0.4">
      <c r="A244" s="222"/>
      <c r="B244" s="223">
        <v>1</v>
      </c>
      <c r="C244" s="224" t="s">
        <v>109</v>
      </c>
      <c r="D244" s="224"/>
      <c r="E244" s="224"/>
      <c r="F244" s="224"/>
      <c r="G244" s="225"/>
      <c r="H244" s="226" t="s">
        <v>103</v>
      </c>
      <c r="I244" s="227">
        <f t="shared" ref="I244:J244" ca="1" si="54">I270</f>
        <v>100</v>
      </c>
      <c r="J244" s="227">
        <f t="shared" si="54"/>
        <v>0</v>
      </c>
      <c r="K244" s="228">
        <f t="shared" ref="K244:K245" ca="1" si="55">IF(I244&gt;0,J244*100/I244,0)</f>
        <v>0</v>
      </c>
      <c r="L244" s="229">
        <f t="shared" ref="L244:M244" ca="1" si="56">SUM(L246:L247)</f>
        <v>317760</v>
      </c>
      <c r="M244" s="229">
        <f t="shared" si="56"/>
        <v>51745.58</v>
      </c>
      <c r="N244" s="229">
        <f ca="1">+IF(L244&gt;0,M244*100/L244,0)</f>
        <v>16.284485146022156</v>
      </c>
    </row>
    <row r="245" spans="1:14" ht="21.75" customHeight="1" x14ac:dyDescent="0.4">
      <c r="A245" s="222"/>
      <c r="B245" s="223"/>
      <c r="C245" s="224"/>
      <c r="D245" s="224"/>
      <c r="E245" s="224"/>
      <c r="F245" s="224"/>
      <c r="G245" s="225"/>
      <c r="H245" s="226" t="s">
        <v>16</v>
      </c>
      <c r="I245" s="227">
        <f ca="1">I263</f>
        <v>40</v>
      </c>
      <c r="J245" s="227">
        <f>+J263</f>
        <v>0</v>
      </c>
      <c r="K245" s="228">
        <f t="shared" ca="1" si="55"/>
        <v>0</v>
      </c>
      <c r="L245" s="229"/>
      <c r="M245" s="229"/>
      <c r="N245" s="229"/>
    </row>
    <row r="246" spans="1:14" ht="21.75" customHeight="1" x14ac:dyDescent="0.4">
      <c r="A246" s="42"/>
      <c r="B246" s="43"/>
      <c r="C246" s="43" t="s">
        <v>17</v>
      </c>
      <c r="D246" s="44" t="s">
        <v>18</v>
      </c>
      <c r="E246" s="45"/>
      <c r="F246" s="45"/>
      <c r="G246" s="46" t="s">
        <v>19</v>
      </c>
      <c r="H246" s="47" t="s">
        <v>20</v>
      </c>
      <c r="I246" s="48" t="s">
        <v>21</v>
      </c>
      <c r="J246" s="48"/>
      <c r="K246" s="49"/>
      <c r="L246" s="50">
        <v>0</v>
      </c>
      <c r="M246" s="50">
        <v>0</v>
      </c>
      <c r="N246" s="50">
        <f t="shared" ref="N246:N249" si="57">+IF(L246&gt;0,M246*100/L246,0)</f>
        <v>0</v>
      </c>
    </row>
    <row r="247" spans="1:14" ht="21.75" customHeight="1" x14ac:dyDescent="0.4">
      <c r="A247" s="42"/>
      <c r="B247" s="43"/>
      <c r="C247" s="43"/>
      <c r="D247" s="51"/>
      <c r="E247" s="45"/>
      <c r="F247" s="45" t="s">
        <v>21</v>
      </c>
      <c r="G247" s="46" t="s">
        <v>22</v>
      </c>
      <c r="H247" s="47" t="s">
        <v>20</v>
      </c>
      <c r="I247" s="48"/>
      <c r="J247" s="48"/>
      <c r="K247" s="49"/>
      <c r="L247" s="50">
        <f t="shared" ref="L247:M247" ca="1" si="58">SUM(L248:L249)</f>
        <v>317760</v>
      </c>
      <c r="M247" s="50">
        <f t="shared" si="58"/>
        <v>51745.58</v>
      </c>
      <c r="N247" s="50">
        <f t="shared" ca="1" si="57"/>
        <v>16.284485146022156</v>
      </c>
    </row>
    <row r="248" spans="1:14" ht="21.75" customHeight="1" x14ac:dyDescent="0.4">
      <c r="A248" s="42"/>
      <c r="B248" s="43"/>
      <c r="C248" s="43"/>
      <c r="D248" s="51"/>
      <c r="E248" s="45"/>
      <c r="F248" s="45"/>
      <c r="G248" s="52" t="s">
        <v>110</v>
      </c>
      <c r="H248" s="47" t="s">
        <v>20</v>
      </c>
      <c r="I248" s="48"/>
      <c r="J248" s="48"/>
      <c r="K248" s="49"/>
      <c r="L248" s="53">
        <f ca="1">IFERROR(__xludf.DUMMYFUNCTION("IMPORTRANGE(""https://docs.google.com/spreadsheets/d/1C3CXT74ZlgGe6_JY_1olB1XN4rF0dxEuIIF-xsYjHgg/edit?usp=sharing"",""งบกองทุน!d22"")"),0)</f>
        <v>0</v>
      </c>
      <c r="M248" s="53">
        <v>0</v>
      </c>
      <c r="N248" s="53">
        <f t="shared" ca="1" si="57"/>
        <v>0</v>
      </c>
    </row>
    <row r="249" spans="1:14" ht="21.75" customHeight="1" x14ac:dyDescent="0.4">
      <c r="A249" s="42"/>
      <c r="B249" s="43"/>
      <c r="C249" s="43"/>
      <c r="D249" s="51"/>
      <c r="E249" s="45"/>
      <c r="F249" s="45"/>
      <c r="G249" s="52" t="s">
        <v>111</v>
      </c>
      <c r="H249" s="47" t="s">
        <v>20</v>
      </c>
      <c r="I249" s="48"/>
      <c r="J249" s="48"/>
      <c r="K249" s="49"/>
      <c r="L249" s="53">
        <f ca="1">IFERROR(__xludf.DUMMYFUNCTION("IMPORTRANGE(""https://docs.google.com/spreadsheets/d/1C3CXT74ZlgGe6_JY_1olB1XN4rF0dxEuIIF-xsYjHgg/edit?usp=sharing"",""งบกองทุน!e22"")"),317760)</f>
        <v>317760</v>
      </c>
      <c r="M249" s="53">
        <f>SUM(M250:M253)</f>
        <v>51745.58</v>
      </c>
      <c r="N249" s="53">
        <f t="shared" ca="1" si="57"/>
        <v>16.284485146022156</v>
      </c>
    </row>
    <row r="250" spans="1:14" ht="21.75" customHeight="1" x14ac:dyDescent="0.4">
      <c r="A250" s="230"/>
      <c r="B250" s="231"/>
      <c r="C250" s="43"/>
      <c r="D250" s="232"/>
      <c r="E250" s="45"/>
      <c r="F250" s="45"/>
      <c r="G250" s="46" t="s">
        <v>112</v>
      </c>
      <c r="H250" s="47" t="s">
        <v>20</v>
      </c>
      <c r="I250" s="67"/>
      <c r="J250" s="67"/>
      <c r="K250" s="233"/>
      <c r="L250" s="53"/>
      <c r="M250" s="54">
        <v>31520</v>
      </c>
      <c r="N250" s="53"/>
    </row>
    <row r="251" spans="1:14" ht="21.75" customHeight="1" x14ac:dyDescent="0.4">
      <c r="A251" s="230"/>
      <c r="B251" s="231"/>
      <c r="C251" s="43"/>
      <c r="D251" s="232"/>
      <c r="E251" s="45"/>
      <c r="F251" s="45"/>
      <c r="G251" s="46" t="s">
        <v>113</v>
      </c>
      <c r="H251" s="47" t="s">
        <v>20</v>
      </c>
      <c r="I251" s="67"/>
      <c r="J251" s="67"/>
      <c r="K251" s="233"/>
      <c r="L251" s="53"/>
      <c r="M251" s="54">
        <v>0</v>
      </c>
      <c r="N251" s="53"/>
    </row>
    <row r="252" spans="1:14" ht="21.75" customHeight="1" x14ac:dyDescent="0.4">
      <c r="A252" s="230"/>
      <c r="B252" s="231"/>
      <c r="C252" s="43"/>
      <c r="D252" s="232"/>
      <c r="E252" s="45"/>
      <c r="F252" s="45"/>
      <c r="G252" s="46" t="s">
        <v>114</v>
      </c>
      <c r="H252" s="47" t="s">
        <v>20</v>
      </c>
      <c r="I252" s="67"/>
      <c r="J252" s="67"/>
      <c r="K252" s="233"/>
      <c r="L252" s="53"/>
      <c r="M252" s="54">
        <v>20225.580000000002</v>
      </c>
      <c r="N252" s="53"/>
    </row>
    <row r="253" spans="1:14" ht="21.75" customHeight="1" x14ac:dyDescent="0.4">
      <c r="A253" s="230"/>
      <c r="B253" s="231"/>
      <c r="C253" s="43"/>
      <c r="D253" s="232"/>
      <c r="E253" s="45"/>
      <c r="F253" s="45"/>
      <c r="G253" s="46" t="s">
        <v>115</v>
      </c>
      <c r="H253" s="47" t="s">
        <v>20</v>
      </c>
      <c r="I253" s="67"/>
      <c r="J253" s="67"/>
      <c r="K253" s="233"/>
      <c r="L253" s="53"/>
      <c r="M253" s="54">
        <v>0</v>
      </c>
      <c r="N253" s="53"/>
    </row>
    <row r="254" spans="1:14" ht="21.75" customHeight="1" x14ac:dyDescent="0.4">
      <c r="A254" s="55"/>
      <c r="B254" s="56"/>
      <c r="C254" s="43" t="s">
        <v>17</v>
      </c>
      <c r="D254" s="57" t="s">
        <v>25</v>
      </c>
      <c r="E254" s="58"/>
      <c r="F254" s="58"/>
      <c r="G254" s="59"/>
      <c r="H254" s="60"/>
      <c r="I254" s="48"/>
      <c r="J254" s="48"/>
      <c r="K254" s="49"/>
      <c r="L254" s="61"/>
      <c r="M254" s="61"/>
      <c r="N254" s="61"/>
    </row>
    <row r="255" spans="1:14" ht="21.75" customHeight="1" x14ac:dyDescent="0.4">
      <c r="A255" s="55"/>
      <c r="B255" s="56"/>
      <c r="C255" s="56"/>
      <c r="D255" s="62">
        <v>1</v>
      </c>
      <c r="E255" s="63" t="s">
        <v>26</v>
      </c>
      <c r="F255" s="64"/>
      <c r="G255" s="65"/>
      <c r="H255" s="66"/>
      <c r="I255" s="67"/>
      <c r="J255" s="68">
        <v>0</v>
      </c>
      <c r="K255" s="49"/>
      <c r="L255" s="61"/>
      <c r="M255" s="61"/>
      <c r="N255" s="61"/>
    </row>
    <row r="256" spans="1:14" ht="21.75" customHeight="1" x14ac:dyDescent="0.4">
      <c r="A256" s="55"/>
      <c r="B256" s="56"/>
      <c r="C256" s="56"/>
      <c r="D256" s="69">
        <v>2</v>
      </c>
      <c r="E256" s="70" t="s">
        <v>27</v>
      </c>
      <c r="F256" s="71"/>
      <c r="G256" s="72"/>
      <c r="H256" s="66"/>
      <c r="I256" s="67"/>
      <c r="J256" s="68">
        <v>1</v>
      </c>
      <c r="K256" s="49"/>
      <c r="L256" s="61" t="s">
        <v>21</v>
      </c>
      <c r="M256" s="61" t="s">
        <v>21</v>
      </c>
      <c r="N256" s="61"/>
    </row>
    <row r="257" spans="1:14" ht="21.75" customHeight="1" x14ac:dyDescent="0.4">
      <c r="A257" s="55"/>
      <c r="B257" s="56"/>
      <c r="C257" s="56"/>
      <c r="D257" s="73"/>
      <c r="E257" s="74" t="s">
        <v>28</v>
      </c>
      <c r="F257" s="75"/>
      <c r="G257" s="76"/>
      <c r="H257" s="66"/>
      <c r="I257" s="67"/>
      <c r="J257" s="68">
        <v>1</v>
      </c>
      <c r="K257" s="49"/>
      <c r="L257" s="61"/>
      <c r="M257" s="61"/>
      <c r="N257" s="61"/>
    </row>
    <row r="258" spans="1:14" ht="21.75" customHeight="1" x14ac:dyDescent="0.4">
      <c r="A258" s="55"/>
      <c r="B258" s="56"/>
      <c r="C258" s="56"/>
      <c r="D258" s="73"/>
      <c r="E258" s="74" t="s">
        <v>29</v>
      </c>
      <c r="F258" s="75"/>
      <c r="G258" s="76"/>
      <c r="H258" s="66"/>
      <c r="I258" s="67"/>
      <c r="J258" s="68">
        <v>1</v>
      </c>
      <c r="K258" s="49"/>
      <c r="L258" s="61"/>
      <c r="M258" s="61"/>
      <c r="N258" s="61"/>
    </row>
    <row r="259" spans="1:14" ht="21.75" hidden="1" customHeight="1" x14ac:dyDescent="0.4">
      <c r="A259" s="55"/>
      <c r="B259" s="56"/>
      <c r="C259" s="56"/>
      <c r="D259" s="73"/>
      <c r="E259" s="77"/>
      <c r="F259" s="74" t="s">
        <v>50</v>
      </c>
      <c r="G259" s="76"/>
      <c r="H259" s="60"/>
      <c r="I259" s="67"/>
      <c r="J259" s="67">
        <f>+J260+J263+J268</f>
        <v>0</v>
      </c>
      <c r="K259" s="49"/>
      <c r="L259" s="61"/>
      <c r="M259" s="61"/>
      <c r="N259" s="61"/>
    </row>
    <row r="260" spans="1:14" ht="21.75" hidden="1" customHeight="1" x14ac:dyDescent="0.4">
      <c r="A260" s="55"/>
      <c r="B260" s="56"/>
      <c r="C260" s="56"/>
      <c r="D260" s="73"/>
      <c r="E260" s="77"/>
      <c r="F260" s="75"/>
      <c r="G260" s="99" t="s">
        <v>116</v>
      </c>
      <c r="H260" s="60" t="s">
        <v>16</v>
      </c>
      <c r="I260" s="67">
        <f ca="1">IFERROR(__xludf.DUMMYFUNCTION("IMPORTRANGE(""https://docs.google.com/spreadsheets/d/1C3CXT74ZlgGe6_JY_1olB1XN4rF0dxEuIIF-xsYjHgg/edit?usp=sharing"",""งบกองทุน!f22"")"),0)</f>
        <v>0</v>
      </c>
      <c r="J260" s="67">
        <v>0</v>
      </c>
      <c r="K260" s="49">
        <f ca="1">IF(I260&gt;0,J260*100/I260,0)</f>
        <v>0</v>
      </c>
      <c r="L260" s="61"/>
      <c r="M260" s="61"/>
      <c r="N260" s="61"/>
    </row>
    <row r="261" spans="1:14" ht="21.75" hidden="1" customHeight="1" x14ac:dyDescent="0.4">
      <c r="A261" s="55"/>
      <c r="B261" s="56"/>
      <c r="C261" s="56"/>
      <c r="D261" s="73"/>
      <c r="E261" s="77"/>
      <c r="F261" s="75"/>
      <c r="G261" s="76" t="s">
        <v>117</v>
      </c>
      <c r="H261" s="60"/>
      <c r="I261" s="48"/>
      <c r="J261" s="67"/>
      <c r="K261" s="49"/>
      <c r="L261" s="61"/>
      <c r="M261" s="61"/>
      <c r="N261" s="61"/>
    </row>
    <row r="262" spans="1:14" ht="21.75" hidden="1" customHeight="1" x14ac:dyDescent="0.4">
      <c r="A262" s="55"/>
      <c r="B262" s="56"/>
      <c r="C262" s="56"/>
      <c r="D262" s="73"/>
      <c r="E262" s="77"/>
      <c r="F262" s="75"/>
      <c r="G262" s="99" t="s">
        <v>118</v>
      </c>
      <c r="H262" s="66" t="s">
        <v>103</v>
      </c>
      <c r="I262" s="67">
        <f t="shared" ref="I262:J262" ca="1" si="59">SUM(I264,I266)</f>
        <v>100</v>
      </c>
      <c r="J262" s="67">
        <f t="shared" si="59"/>
        <v>0</v>
      </c>
      <c r="K262" s="49">
        <f t="shared" ref="K262:K268" ca="1" si="60">IF(I262&gt;0,J262*100/I262,0)</f>
        <v>0</v>
      </c>
      <c r="L262" s="61"/>
      <c r="M262" s="61"/>
      <c r="N262" s="61"/>
    </row>
    <row r="263" spans="1:14" ht="21.75" customHeight="1" x14ac:dyDescent="0.4">
      <c r="A263" s="55"/>
      <c r="B263" s="56"/>
      <c r="C263" s="56"/>
      <c r="D263" s="73"/>
      <c r="E263" s="77"/>
      <c r="F263" s="99" t="s">
        <v>119</v>
      </c>
      <c r="G263" s="76"/>
      <c r="H263" s="66" t="s">
        <v>16</v>
      </c>
      <c r="I263" s="48">
        <f ca="1">IFERROR(__xludf.DUMMYFUNCTION("IMPORTRANGE(""https://docs.google.com/spreadsheets/d/1C3CXT74ZlgGe6_JY_1olB1XN4rF0dxEuIIF-xsYjHgg/edit?usp=sharing"",""งบกองทุน!H22"")"),40)</f>
        <v>40</v>
      </c>
      <c r="J263" s="67">
        <f>J267</f>
        <v>0</v>
      </c>
      <c r="K263" s="49">
        <f t="shared" ca="1" si="60"/>
        <v>0</v>
      </c>
      <c r="L263" s="61"/>
      <c r="M263" s="61"/>
      <c r="N263" s="61"/>
    </row>
    <row r="264" spans="1:14" ht="21.75" hidden="1" customHeight="1" x14ac:dyDescent="0.4">
      <c r="A264" s="55"/>
      <c r="B264" s="56"/>
      <c r="C264" s="56"/>
      <c r="D264" s="73"/>
      <c r="E264" s="77"/>
      <c r="F264" s="75"/>
      <c r="H264" s="60" t="s">
        <v>103</v>
      </c>
      <c r="I264" s="48">
        <f ca="1">IFERROR(__xludf.DUMMYFUNCTION("IMPORTRANGE(""https://docs.google.com/spreadsheets/d/1C3CXT74ZlgGe6_JY_1olB1XN4rF0dxEuIIF-xsYjHgg/edit?usp=sharing"",""งบกองทุน!i22"")"),68)</f>
        <v>68</v>
      </c>
      <c r="J264" s="68">
        <v>0</v>
      </c>
      <c r="K264" s="49">
        <f t="shared" ca="1" si="60"/>
        <v>0</v>
      </c>
      <c r="L264" s="61"/>
      <c r="M264" s="61"/>
      <c r="N264" s="61"/>
    </row>
    <row r="265" spans="1:14" ht="21.75" customHeight="1" x14ac:dyDescent="0.4">
      <c r="A265" s="55"/>
      <c r="B265" s="56"/>
      <c r="C265" s="56"/>
      <c r="D265" s="73"/>
      <c r="E265" s="77"/>
      <c r="F265" s="75"/>
      <c r="G265" s="99" t="s">
        <v>219</v>
      </c>
      <c r="H265" s="60" t="s">
        <v>16</v>
      </c>
      <c r="I265" s="48">
        <f ca="1">I263</f>
        <v>40</v>
      </c>
      <c r="J265" s="68">
        <v>20</v>
      </c>
      <c r="K265" s="49">
        <f t="shared" ca="1" si="60"/>
        <v>50</v>
      </c>
      <c r="L265" s="61"/>
      <c r="M265" s="61"/>
      <c r="N265" s="61"/>
    </row>
    <row r="266" spans="1:14" ht="21.75" hidden="1" customHeight="1" x14ac:dyDescent="0.4">
      <c r="A266" s="55"/>
      <c r="B266" s="56"/>
      <c r="C266" s="56"/>
      <c r="D266" s="73"/>
      <c r="E266" s="77"/>
      <c r="F266" s="75"/>
      <c r="G266" s="76"/>
      <c r="H266" s="60" t="s">
        <v>103</v>
      </c>
      <c r="I266" s="48">
        <f ca="1">IFERROR(__xludf.DUMMYFUNCTION("IMPORTRANGE(""https://docs.google.com/spreadsheets/d/1C3CXT74ZlgGe6_JY_1olB1XN4rF0dxEuIIF-xsYjHgg/edit?usp=sharing"",""งบกองทุน!k22"")"),32)</f>
        <v>32</v>
      </c>
      <c r="J266" s="68">
        <v>0</v>
      </c>
      <c r="K266" s="49">
        <f t="shared" ca="1" si="60"/>
        <v>0</v>
      </c>
      <c r="L266" s="61"/>
      <c r="M266" s="61"/>
      <c r="N266" s="61"/>
    </row>
    <row r="267" spans="1:14" ht="21.75" customHeight="1" x14ac:dyDescent="0.4">
      <c r="A267" s="55"/>
      <c r="B267" s="56"/>
      <c r="C267" s="56"/>
      <c r="D267" s="73"/>
      <c r="E267" s="77"/>
      <c r="F267" s="75"/>
      <c r="G267" s="76" t="s">
        <v>220</v>
      </c>
      <c r="H267" s="60" t="s">
        <v>16</v>
      </c>
      <c r="I267" s="48">
        <f ca="1">I265</f>
        <v>40</v>
      </c>
      <c r="J267" s="68">
        <v>0</v>
      </c>
      <c r="K267" s="49">
        <f t="shared" ca="1" si="60"/>
        <v>0</v>
      </c>
      <c r="L267" s="61"/>
      <c r="M267" s="61"/>
      <c r="N267" s="61"/>
    </row>
    <row r="268" spans="1:14" ht="21.75" hidden="1" customHeight="1" x14ac:dyDescent="0.4">
      <c r="A268" s="55"/>
      <c r="B268" s="56"/>
      <c r="C268" s="56"/>
      <c r="D268" s="73"/>
      <c r="E268" s="77"/>
      <c r="F268" s="75"/>
      <c r="G268" s="99" t="s">
        <v>122</v>
      </c>
      <c r="H268" s="60" t="s">
        <v>16</v>
      </c>
      <c r="I268" s="67">
        <f ca="1">IFERROR(__xludf.DUMMYFUNCTION("IMPORTRANGE(""https://docs.google.com/spreadsheets/d/1C3CXT74ZlgGe6_JY_1olB1XN4rF0dxEuIIF-xsYjHgg/edit?usp=sharing"",""งบกองทุน!m22"")"),0)</f>
        <v>0</v>
      </c>
      <c r="J268" s="67">
        <v>0</v>
      </c>
      <c r="K268" s="49">
        <f t="shared" ca="1" si="60"/>
        <v>0</v>
      </c>
      <c r="L268" s="61"/>
      <c r="M268" s="61"/>
      <c r="N268" s="61"/>
    </row>
    <row r="269" spans="1:14" ht="21.75" hidden="1" customHeight="1" x14ac:dyDescent="0.4">
      <c r="A269" s="55"/>
      <c r="B269" s="56"/>
      <c r="C269" s="56"/>
      <c r="D269" s="73"/>
      <c r="E269" s="77"/>
      <c r="F269" s="75"/>
      <c r="G269" s="76" t="s">
        <v>123</v>
      </c>
      <c r="H269" s="60"/>
      <c r="I269" s="67"/>
      <c r="J269" s="67"/>
      <c r="K269" s="49"/>
      <c r="L269" s="61"/>
      <c r="M269" s="61"/>
      <c r="N269" s="61"/>
    </row>
    <row r="270" spans="1:14" ht="21.75" customHeight="1" x14ac:dyDescent="0.4">
      <c r="A270" s="55"/>
      <c r="B270" s="56"/>
      <c r="C270" s="56"/>
      <c r="D270" s="73"/>
      <c r="E270" s="75"/>
      <c r="F270" s="74" t="s">
        <v>34</v>
      </c>
      <c r="G270" s="76"/>
      <c r="H270" s="66" t="s">
        <v>103</v>
      </c>
      <c r="I270" s="67">
        <f t="shared" ref="I270:J270" ca="1" si="61">SUM(I271:I272)</f>
        <v>100</v>
      </c>
      <c r="J270" s="67">
        <f t="shared" si="61"/>
        <v>0</v>
      </c>
      <c r="K270" s="49">
        <f t="shared" ref="K270:K272" ca="1" si="62">IF(I270&gt;0,J270*100/I270,0)</f>
        <v>0</v>
      </c>
      <c r="L270" s="61"/>
      <c r="M270" s="61"/>
      <c r="N270" s="61"/>
    </row>
    <row r="271" spans="1:14" ht="21.75" customHeight="1" x14ac:dyDescent="0.4">
      <c r="A271" s="55"/>
      <c r="B271" s="56"/>
      <c r="C271" s="56"/>
      <c r="D271" s="73"/>
      <c r="E271" s="75"/>
      <c r="F271" s="75"/>
      <c r="G271" s="76" t="s">
        <v>124</v>
      </c>
      <c r="H271" s="66" t="s">
        <v>103</v>
      </c>
      <c r="I271" s="67">
        <f ca="1">IFERROR(__xludf.DUMMYFUNCTION("IMPORTRANGE(""https://docs.google.com/spreadsheets/d/1C3CXT74ZlgGe6_JY_1olB1XN4rF0dxEuIIF-xsYjHgg/edit?usp=sharing"",""งบกองทุน!o22"")"),32)</f>
        <v>32</v>
      </c>
      <c r="J271" s="68">
        <v>0</v>
      </c>
      <c r="K271" s="49">
        <f t="shared" ca="1" si="62"/>
        <v>0</v>
      </c>
      <c r="L271" s="61"/>
      <c r="M271" s="61"/>
      <c r="N271" s="61"/>
    </row>
    <row r="272" spans="1:14" ht="21.75" customHeight="1" x14ac:dyDescent="0.4">
      <c r="A272" s="55"/>
      <c r="B272" s="56"/>
      <c r="C272" s="56"/>
      <c r="D272" s="73"/>
      <c r="E272" s="75"/>
      <c r="F272" s="75"/>
      <c r="G272" s="76" t="s">
        <v>125</v>
      </c>
      <c r="H272" s="66" t="s">
        <v>103</v>
      </c>
      <c r="I272" s="67">
        <f ca="1">IFERROR(__xludf.DUMMYFUNCTION("IMPORTRANGE(""https://docs.google.com/spreadsheets/d/1C3CXT74ZlgGe6_JY_1olB1XN4rF0dxEuIIF-xsYjHgg/edit?usp=sharing"",""งบกองทุน!p22"")"),68)</f>
        <v>68</v>
      </c>
      <c r="J272" s="68">
        <v>0</v>
      </c>
      <c r="K272" s="49">
        <f t="shared" ca="1" si="62"/>
        <v>0</v>
      </c>
      <c r="L272" s="61"/>
      <c r="M272" s="61"/>
      <c r="N272" s="61"/>
    </row>
    <row r="273" spans="1:14" ht="21.75" customHeight="1" x14ac:dyDescent="0.4">
      <c r="A273" s="55"/>
      <c r="B273" s="56"/>
      <c r="C273" s="56"/>
      <c r="D273" s="73"/>
      <c r="E273" s="74" t="s">
        <v>35</v>
      </c>
      <c r="F273" s="75"/>
      <c r="G273" s="76"/>
      <c r="H273" s="66"/>
      <c r="I273" s="67"/>
      <c r="J273" s="68">
        <v>0</v>
      </c>
      <c r="K273" s="49"/>
      <c r="L273" s="61"/>
      <c r="M273" s="61"/>
      <c r="N273" s="61"/>
    </row>
    <row r="274" spans="1:14" ht="21.75" customHeight="1" x14ac:dyDescent="0.4">
      <c r="A274" s="55"/>
      <c r="B274" s="56"/>
      <c r="C274" s="56"/>
      <c r="D274" s="81">
        <v>3</v>
      </c>
      <c r="E274" s="82" t="s">
        <v>36</v>
      </c>
      <c r="F274" s="83"/>
      <c r="G274" s="84"/>
      <c r="H274" s="66"/>
      <c r="I274" s="67"/>
      <c r="J274" s="85">
        <v>0</v>
      </c>
      <c r="K274" s="49"/>
      <c r="L274" s="61"/>
      <c r="M274" s="61"/>
      <c r="N274" s="61"/>
    </row>
    <row r="275" spans="1:14" ht="21.75" customHeight="1" x14ac:dyDescent="0.4">
      <c r="A275" s="222"/>
      <c r="B275" s="223">
        <v>2</v>
      </c>
      <c r="C275" s="224" t="s">
        <v>126</v>
      </c>
      <c r="D275" s="224"/>
      <c r="E275" s="234"/>
      <c r="F275" s="234"/>
      <c r="G275" s="235"/>
      <c r="H275" s="226" t="s">
        <v>103</v>
      </c>
      <c r="I275" s="227">
        <f ca="1">I292</f>
        <v>1000</v>
      </c>
      <c r="J275" s="227">
        <f>+J292</f>
        <v>0</v>
      </c>
      <c r="K275" s="228">
        <f t="shared" ref="K275:K276" ca="1" si="63">IF(I275&gt;0,J275*100/I275,0)</f>
        <v>0</v>
      </c>
      <c r="L275" s="229">
        <f t="shared" ref="L275:M275" ca="1" si="64">SUM(L277:L278)</f>
        <v>1028520</v>
      </c>
      <c r="M275" s="229">
        <f t="shared" si="64"/>
        <v>22425.58</v>
      </c>
      <c r="N275" s="229">
        <f ca="1">+IF(L275&gt;0,M275*100/L275,0)</f>
        <v>2.1803737409092676</v>
      </c>
    </row>
    <row r="276" spans="1:14" ht="21.75" customHeight="1" x14ac:dyDescent="0.4">
      <c r="A276" s="222"/>
      <c r="B276" s="223"/>
      <c r="C276" s="224"/>
      <c r="D276" s="236"/>
      <c r="E276" s="237"/>
      <c r="F276" s="237"/>
      <c r="G276" s="238"/>
      <c r="H276" s="226" t="s">
        <v>16</v>
      </c>
      <c r="I276" s="227">
        <f ca="1">I291</f>
        <v>100</v>
      </c>
      <c r="J276" s="227">
        <f>+J291</f>
        <v>0</v>
      </c>
      <c r="K276" s="228">
        <f t="shared" ca="1" si="63"/>
        <v>0</v>
      </c>
      <c r="L276" s="229"/>
      <c r="M276" s="229"/>
      <c r="N276" s="229"/>
    </row>
    <row r="277" spans="1:14" ht="21.75" customHeight="1" x14ac:dyDescent="0.4">
      <c r="A277" s="42"/>
      <c r="B277" s="43"/>
      <c r="C277" s="43" t="s">
        <v>17</v>
      </c>
      <c r="D277" s="44" t="s">
        <v>18</v>
      </c>
      <c r="E277" s="45"/>
      <c r="F277" s="45"/>
      <c r="G277" s="46" t="s">
        <v>19</v>
      </c>
      <c r="H277" s="47" t="s">
        <v>20</v>
      </c>
      <c r="I277" s="48" t="s">
        <v>21</v>
      </c>
      <c r="J277" s="48"/>
      <c r="K277" s="49"/>
      <c r="L277" s="50">
        <v>0</v>
      </c>
      <c r="M277" s="50">
        <v>0</v>
      </c>
      <c r="N277" s="50">
        <f t="shared" ref="N277:N280" si="65">+IF(L277&gt;0,M277*100/L277,0)</f>
        <v>0</v>
      </c>
    </row>
    <row r="278" spans="1:14" ht="21.75" customHeight="1" x14ac:dyDescent="0.4">
      <c r="A278" s="42"/>
      <c r="B278" s="43"/>
      <c r="C278" s="43"/>
      <c r="D278" s="51"/>
      <c r="E278" s="45"/>
      <c r="F278" s="45" t="s">
        <v>21</v>
      </c>
      <c r="G278" s="46" t="s">
        <v>22</v>
      </c>
      <c r="H278" s="47" t="s">
        <v>20</v>
      </c>
      <c r="I278" s="48"/>
      <c r="J278" s="48"/>
      <c r="K278" s="49"/>
      <c r="L278" s="50">
        <f t="shared" ref="L278:M278" ca="1" si="66">SUM(L279:L280)</f>
        <v>1028520</v>
      </c>
      <c r="M278" s="50">
        <f t="shared" si="66"/>
        <v>22425.58</v>
      </c>
      <c r="N278" s="50">
        <f t="shared" ca="1" si="65"/>
        <v>2.1803737409092676</v>
      </c>
    </row>
    <row r="279" spans="1:14" ht="21.75" customHeight="1" x14ac:dyDescent="0.4">
      <c r="A279" s="42"/>
      <c r="B279" s="43"/>
      <c r="C279" s="43"/>
      <c r="D279" s="51"/>
      <c r="E279" s="45"/>
      <c r="F279" s="45"/>
      <c r="G279" s="52" t="s">
        <v>110</v>
      </c>
      <c r="H279" s="47" t="s">
        <v>20</v>
      </c>
      <c r="I279" s="48"/>
      <c r="J279" s="48"/>
      <c r="K279" s="49"/>
      <c r="L279" s="53">
        <f ca="1">IFERROR(__xludf.DUMMYFUNCTION("IMPORTRANGE(""https://docs.google.com/spreadsheets/d/1C3CXT74ZlgGe6_JY_1olB1XN4rF0dxEuIIF-xsYjHgg/edit?usp=sharing"",""งบกองทุน!r22"")"),0)</f>
        <v>0</v>
      </c>
      <c r="M279" s="53">
        <v>0</v>
      </c>
      <c r="N279" s="53">
        <f t="shared" ca="1" si="65"/>
        <v>0</v>
      </c>
    </row>
    <row r="280" spans="1:14" ht="21.75" customHeight="1" x14ac:dyDescent="0.4">
      <c r="A280" s="42"/>
      <c r="B280" s="43"/>
      <c r="C280" s="43"/>
      <c r="D280" s="51"/>
      <c r="E280" s="45"/>
      <c r="F280" s="45"/>
      <c r="G280" s="52" t="s">
        <v>111</v>
      </c>
      <c r="H280" s="47" t="s">
        <v>20</v>
      </c>
      <c r="I280" s="48"/>
      <c r="J280" s="48"/>
      <c r="K280" s="49"/>
      <c r="L280" s="53">
        <f ca="1">IFERROR(__xludf.DUMMYFUNCTION("IMPORTRANGE(""https://docs.google.com/spreadsheets/d/1C3CXT74ZlgGe6_JY_1olB1XN4rF0dxEuIIF-xsYjHgg/edit?usp=sharing"",""งบกองทุน!s22"")"),1028520)</f>
        <v>1028520</v>
      </c>
      <c r="M280" s="53">
        <f>SUM(M281:M284)</f>
        <v>22425.58</v>
      </c>
      <c r="N280" s="53">
        <f t="shared" ca="1" si="65"/>
        <v>2.1803737409092676</v>
      </c>
    </row>
    <row r="281" spans="1:14" ht="21.75" customHeight="1" x14ac:dyDescent="0.4">
      <c r="A281" s="230"/>
      <c r="B281" s="231"/>
      <c r="C281" s="43"/>
      <c r="D281" s="232"/>
      <c r="E281" s="45"/>
      <c r="F281" s="45"/>
      <c r="G281" s="46" t="s">
        <v>112</v>
      </c>
      <c r="H281" s="47" t="s">
        <v>20</v>
      </c>
      <c r="I281" s="67"/>
      <c r="J281" s="67"/>
      <c r="K281" s="233"/>
      <c r="L281" s="53"/>
      <c r="M281" s="54">
        <v>0</v>
      </c>
      <c r="N281" s="53"/>
    </row>
    <row r="282" spans="1:14" ht="21.75" customHeight="1" x14ac:dyDescent="0.4">
      <c r="A282" s="230"/>
      <c r="B282" s="231"/>
      <c r="C282" s="43"/>
      <c r="D282" s="232"/>
      <c r="E282" s="45"/>
      <c r="F282" s="45"/>
      <c r="G282" s="46" t="s">
        <v>113</v>
      </c>
      <c r="H282" s="47" t="s">
        <v>20</v>
      </c>
      <c r="I282" s="67"/>
      <c r="J282" s="67"/>
      <c r="K282" s="233"/>
      <c r="L282" s="53"/>
      <c r="M282" s="54">
        <v>0</v>
      </c>
      <c r="N282" s="53"/>
    </row>
    <row r="283" spans="1:14" ht="21.75" customHeight="1" x14ac:dyDescent="0.4">
      <c r="A283" s="230"/>
      <c r="B283" s="231"/>
      <c r="C283" s="43"/>
      <c r="D283" s="232"/>
      <c r="E283" s="45"/>
      <c r="F283" s="45"/>
      <c r="G283" s="46" t="s">
        <v>114</v>
      </c>
      <c r="H283" s="47" t="s">
        <v>20</v>
      </c>
      <c r="I283" s="67"/>
      <c r="J283" s="67"/>
      <c r="K283" s="233"/>
      <c r="L283" s="53"/>
      <c r="M283" s="54">
        <v>20225.580000000002</v>
      </c>
      <c r="N283" s="53"/>
    </row>
    <row r="284" spans="1:14" ht="21.75" customHeight="1" x14ac:dyDescent="0.4">
      <c r="A284" s="230"/>
      <c r="B284" s="231"/>
      <c r="C284" s="43"/>
      <c r="D284" s="232"/>
      <c r="E284" s="45"/>
      <c r="F284" s="45"/>
      <c r="G284" s="46" t="s">
        <v>115</v>
      </c>
      <c r="H284" s="47" t="s">
        <v>20</v>
      </c>
      <c r="I284" s="67"/>
      <c r="J284" s="67"/>
      <c r="K284" s="233"/>
      <c r="L284" s="53"/>
      <c r="M284" s="54">
        <v>2200</v>
      </c>
      <c r="N284" s="53"/>
    </row>
    <row r="285" spans="1:14" ht="21.75" customHeight="1" x14ac:dyDescent="0.4">
      <c r="A285" s="55"/>
      <c r="B285" s="56"/>
      <c r="C285" s="43" t="s">
        <v>17</v>
      </c>
      <c r="D285" s="57" t="s">
        <v>25</v>
      </c>
      <c r="E285" s="58"/>
      <c r="F285" s="58"/>
      <c r="G285" s="59"/>
      <c r="H285" s="60"/>
      <c r="I285" s="48"/>
      <c r="J285" s="48"/>
      <c r="K285" s="49"/>
      <c r="L285" s="61"/>
      <c r="M285" s="61"/>
      <c r="N285" s="61"/>
    </row>
    <row r="286" spans="1:14" ht="21.75" customHeight="1" x14ac:dyDescent="0.4">
      <c r="A286" s="55"/>
      <c r="B286" s="56"/>
      <c r="C286" s="56"/>
      <c r="D286" s="62">
        <v>1</v>
      </c>
      <c r="E286" s="63" t="s">
        <v>26</v>
      </c>
      <c r="F286" s="64"/>
      <c r="G286" s="65"/>
      <c r="H286" s="66"/>
      <c r="I286" s="67"/>
      <c r="J286" s="68">
        <v>0</v>
      </c>
      <c r="K286" s="49"/>
      <c r="L286" s="61"/>
      <c r="M286" s="61"/>
      <c r="N286" s="61"/>
    </row>
    <row r="287" spans="1:14" ht="21.75" customHeight="1" x14ac:dyDescent="0.4">
      <c r="A287" s="55"/>
      <c r="B287" s="56"/>
      <c r="C287" s="56"/>
      <c r="D287" s="69">
        <v>2</v>
      </c>
      <c r="E287" s="70" t="s">
        <v>27</v>
      </c>
      <c r="F287" s="71"/>
      <c r="G287" s="72"/>
      <c r="H287" s="66"/>
      <c r="I287" s="67"/>
      <c r="J287" s="68">
        <v>1</v>
      </c>
      <c r="K287" s="49"/>
      <c r="L287" s="61" t="s">
        <v>21</v>
      </c>
      <c r="M287" s="61" t="s">
        <v>21</v>
      </c>
      <c r="N287" s="61"/>
    </row>
    <row r="288" spans="1:14" ht="21.75" customHeight="1" x14ac:dyDescent="0.4">
      <c r="A288" s="55"/>
      <c r="B288" s="56"/>
      <c r="C288" s="56"/>
      <c r="D288" s="73"/>
      <c r="E288" s="74" t="s">
        <v>28</v>
      </c>
      <c r="F288" s="75"/>
      <c r="G288" s="76"/>
      <c r="H288" s="66"/>
      <c r="I288" s="67"/>
      <c r="J288" s="68">
        <v>1</v>
      </c>
      <c r="K288" s="49"/>
      <c r="L288" s="61"/>
      <c r="M288" s="61"/>
      <c r="N288" s="61"/>
    </row>
    <row r="289" spans="1:14" ht="21.75" customHeight="1" x14ac:dyDescent="0.4">
      <c r="A289" s="55"/>
      <c r="B289" s="56"/>
      <c r="C289" s="56"/>
      <c r="D289" s="73"/>
      <c r="E289" s="74" t="s">
        <v>29</v>
      </c>
      <c r="F289" s="75"/>
      <c r="G289" s="76"/>
      <c r="H289" s="66"/>
      <c r="I289" s="67"/>
      <c r="J289" s="68">
        <v>0</v>
      </c>
      <c r="K289" s="49"/>
      <c r="L289" s="61"/>
      <c r="M289" s="61"/>
      <c r="N289" s="61"/>
    </row>
    <row r="290" spans="1:14" ht="21.75" customHeight="1" x14ac:dyDescent="0.4">
      <c r="A290" s="55"/>
      <c r="B290" s="56"/>
      <c r="C290" s="56"/>
      <c r="D290" s="73"/>
      <c r="E290" s="77"/>
      <c r="F290" s="74" t="s">
        <v>127</v>
      </c>
      <c r="G290" s="75"/>
      <c r="H290" s="66"/>
      <c r="I290" s="67"/>
      <c r="J290" s="67"/>
      <c r="K290" s="49"/>
      <c r="L290" s="61"/>
      <c r="M290" s="61"/>
      <c r="N290" s="61"/>
    </row>
    <row r="291" spans="1:14" ht="21.75" customHeight="1" x14ac:dyDescent="0.4">
      <c r="A291" s="55"/>
      <c r="B291" s="56"/>
      <c r="C291" s="56"/>
      <c r="D291" s="73"/>
      <c r="E291" s="77"/>
      <c r="F291" s="75"/>
      <c r="G291" s="99" t="s">
        <v>50</v>
      </c>
      <c r="H291" s="66" t="s">
        <v>16</v>
      </c>
      <c r="I291" s="67">
        <f ca="1">IFERROR(__xludf.DUMMYFUNCTION("IMPORTRANGE(""https://docs.google.com/spreadsheets/d/1C3CXT74ZlgGe6_JY_1olB1XN4rF0dxEuIIF-xsYjHgg/edit?usp=sharing"",""งบกองทุน!v22"")"),100)</f>
        <v>100</v>
      </c>
      <c r="J291" s="68">
        <v>0</v>
      </c>
      <c r="K291" s="49">
        <f t="shared" ref="K291:K293" ca="1" si="67">IF(I291&gt;0,J291*100/I291,0)</f>
        <v>0</v>
      </c>
      <c r="L291" s="61"/>
      <c r="M291" s="61"/>
      <c r="N291" s="61"/>
    </row>
    <row r="292" spans="1:14" ht="21.75" customHeight="1" x14ac:dyDescent="0.4">
      <c r="A292" s="55"/>
      <c r="B292" s="56"/>
      <c r="C292" s="56"/>
      <c r="D292" s="73"/>
      <c r="E292" s="77"/>
      <c r="F292" s="75"/>
      <c r="G292" s="76" t="s">
        <v>34</v>
      </c>
      <c r="H292" s="66" t="s">
        <v>103</v>
      </c>
      <c r="I292" s="67">
        <f ca="1">IFERROR(__xludf.DUMMYFUNCTION("IMPORTRANGE(""https://docs.google.com/spreadsheets/d/1C3CXT74ZlgGe6_JY_1olB1XN4rF0dxEuIIF-xsYjHgg/edit?usp=sharing"",""งบกองทุน!w22"")"),1000)</f>
        <v>1000</v>
      </c>
      <c r="J292" s="68">
        <v>0</v>
      </c>
      <c r="K292" s="49">
        <f t="shared" ca="1" si="67"/>
        <v>0</v>
      </c>
      <c r="L292" s="61"/>
      <c r="M292" s="61"/>
      <c r="N292" s="61"/>
    </row>
    <row r="293" spans="1:14" ht="21.75" customHeight="1" x14ac:dyDescent="0.4">
      <c r="A293" s="55"/>
      <c r="B293" s="56"/>
      <c r="C293" s="56"/>
      <c r="D293" s="73"/>
      <c r="E293" s="77"/>
      <c r="F293" s="75"/>
      <c r="G293" s="76"/>
      <c r="H293" s="66" t="s">
        <v>16</v>
      </c>
      <c r="I293" s="67">
        <f ca="1">IFERROR(__xludf.DUMMYFUNCTION("IMPORTRANGE(""https://docs.google.com/spreadsheets/d/1C3CXT74ZlgGe6_JY_1olB1XN4rF0dxEuIIF-xsYjHgg/edit?usp=sharing"",""งบกองทุน!x22"")"),100)</f>
        <v>100</v>
      </c>
      <c r="J293" s="68">
        <v>0</v>
      </c>
      <c r="K293" s="49">
        <f t="shared" ca="1" si="67"/>
        <v>0</v>
      </c>
      <c r="L293" s="61"/>
      <c r="M293" s="61"/>
      <c r="N293" s="61"/>
    </row>
    <row r="294" spans="1:14" ht="21.75" customHeight="1" x14ac:dyDescent="0.4">
      <c r="A294" s="55"/>
      <c r="B294" s="56"/>
      <c r="C294" s="56"/>
      <c r="D294" s="73"/>
      <c r="E294" s="74" t="s">
        <v>35</v>
      </c>
      <c r="F294" s="75"/>
      <c r="G294" s="76"/>
      <c r="H294" s="66"/>
      <c r="I294" s="67"/>
      <c r="J294" s="68">
        <v>0</v>
      </c>
      <c r="K294" s="49"/>
      <c r="L294" s="61"/>
      <c r="M294" s="61"/>
      <c r="N294" s="61"/>
    </row>
    <row r="295" spans="1:14" ht="21.75" customHeight="1" x14ac:dyDescent="0.4">
      <c r="A295" s="55"/>
      <c r="B295" s="56"/>
      <c r="C295" s="56"/>
      <c r="D295" s="81">
        <v>3</v>
      </c>
      <c r="E295" s="82" t="s">
        <v>36</v>
      </c>
      <c r="F295" s="83"/>
      <c r="G295" s="84"/>
      <c r="H295" s="66"/>
      <c r="I295" s="67"/>
      <c r="J295" s="85">
        <v>0</v>
      </c>
      <c r="K295" s="49"/>
      <c r="L295" s="61"/>
      <c r="M295" s="61"/>
      <c r="N295" s="61"/>
    </row>
    <row r="296" spans="1:14" ht="21.75" customHeight="1" x14ac:dyDescent="0.4">
      <c r="A296" s="222"/>
      <c r="B296" s="223">
        <v>3</v>
      </c>
      <c r="C296" s="223" t="s">
        <v>128</v>
      </c>
      <c r="D296" s="224"/>
      <c r="E296" s="224"/>
      <c r="F296" s="224"/>
      <c r="G296" s="225"/>
      <c r="H296" s="226" t="s">
        <v>103</v>
      </c>
      <c r="I296" s="227">
        <f ca="1">SUM(I313,I317,I322)</f>
        <v>105</v>
      </c>
      <c r="J296" s="227">
        <f>J313+J317+J322</f>
        <v>0</v>
      </c>
      <c r="K296" s="228">
        <f t="shared" ref="K296:K297" ca="1" si="68">IF(I296&gt;0,J296*100/I296,0)</f>
        <v>0</v>
      </c>
      <c r="L296" s="229">
        <f t="shared" ref="L296:M296" ca="1" si="69">SUM(L298:L299)</f>
        <v>131710</v>
      </c>
      <c r="M296" s="229">
        <f t="shared" si="69"/>
        <v>9990</v>
      </c>
      <c r="N296" s="229">
        <f ca="1">+IF(L296&gt;0,M296*100/L296,0)</f>
        <v>7.5848454938880874</v>
      </c>
    </row>
    <row r="297" spans="1:14" ht="21.75" customHeight="1" x14ac:dyDescent="0.4">
      <c r="A297" s="222"/>
      <c r="B297" s="223"/>
      <c r="C297" s="223"/>
      <c r="D297" s="236"/>
      <c r="E297" s="236"/>
      <c r="F297" s="236"/>
      <c r="G297" s="239"/>
      <c r="H297" s="226" t="s">
        <v>16</v>
      </c>
      <c r="I297" s="227">
        <f ca="1">SUM(I312,I316,I321)</f>
        <v>35</v>
      </c>
      <c r="J297" s="227">
        <f ca="1">J311</f>
        <v>0</v>
      </c>
      <c r="K297" s="228">
        <f t="shared" ca="1" si="68"/>
        <v>0</v>
      </c>
      <c r="L297" s="229"/>
      <c r="M297" s="229"/>
      <c r="N297" s="229"/>
    </row>
    <row r="298" spans="1:14" ht="21.75" customHeight="1" x14ac:dyDescent="0.4">
      <c r="A298" s="42"/>
      <c r="B298" s="43"/>
      <c r="C298" s="43" t="s">
        <v>17</v>
      </c>
      <c r="D298" s="44" t="s">
        <v>18</v>
      </c>
      <c r="E298" s="45"/>
      <c r="F298" s="45"/>
      <c r="G298" s="46" t="s">
        <v>19</v>
      </c>
      <c r="H298" s="47" t="s">
        <v>20</v>
      </c>
      <c r="I298" s="48" t="s">
        <v>21</v>
      </c>
      <c r="J298" s="48"/>
      <c r="K298" s="49"/>
      <c r="L298" s="50">
        <v>0</v>
      </c>
      <c r="M298" s="53">
        <v>0</v>
      </c>
      <c r="N298" s="53">
        <f t="shared" ref="N298:N301" si="70">+IF(L298&gt;0,M298*100/L298,0)</f>
        <v>0</v>
      </c>
    </row>
    <row r="299" spans="1:14" ht="21.75" customHeight="1" x14ac:dyDescent="0.4">
      <c r="A299" s="42"/>
      <c r="B299" s="43"/>
      <c r="C299" s="43"/>
      <c r="D299" s="51"/>
      <c r="E299" s="45"/>
      <c r="F299" s="45" t="s">
        <v>21</v>
      </c>
      <c r="G299" s="46" t="s">
        <v>22</v>
      </c>
      <c r="H299" s="47" t="s">
        <v>20</v>
      </c>
      <c r="I299" s="48"/>
      <c r="J299" s="48"/>
      <c r="K299" s="49"/>
      <c r="L299" s="50">
        <f t="shared" ref="L299:M299" ca="1" si="71">SUM(L300:L301)</f>
        <v>131710</v>
      </c>
      <c r="M299" s="53">
        <f t="shared" si="71"/>
        <v>9990</v>
      </c>
      <c r="N299" s="53">
        <f t="shared" ca="1" si="70"/>
        <v>7.5848454938880874</v>
      </c>
    </row>
    <row r="300" spans="1:14" ht="21.75" customHeight="1" x14ac:dyDescent="0.4">
      <c r="A300" s="42"/>
      <c r="B300" s="43"/>
      <c r="C300" s="43"/>
      <c r="D300" s="51"/>
      <c r="E300" s="45"/>
      <c r="F300" s="45"/>
      <c r="G300" s="52" t="s">
        <v>110</v>
      </c>
      <c r="H300" s="47" t="s">
        <v>20</v>
      </c>
      <c r="I300" s="48"/>
      <c r="J300" s="48"/>
      <c r="K300" s="49"/>
      <c r="L300" s="53">
        <f ca="1">IFERROR(__xludf.DUMMYFUNCTION("IMPORTRANGE(""https://docs.google.com/spreadsheets/d/1C3CXT74ZlgGe6_JY_1olB1XN4rF0dxEuIIF-xsYjHgg/edit?usp=sharing"",""งบกองทุน!z22"")"),0)</f>
        <v>0</v>
      </c>
      <c r="M300" s="53">
        <v>0</v>
      </c>
      <c r="N300" s="53">
        <f t="shared" ca="1" si="70"/>
        <v>0</v>
      </c>
    </row>
    <row r="301" spans="1:14" ht="21.75" customHeight="1" x14ac:dyDescent="0.4">
      <c r="A301" s="42"/>
      <c r="B301" s="43"/>
      <c r="C301" s="43"/>
      <c r="D301" s="51"/>
      <c r="E301" s="45"/>
      <c r="F301" s="45"/>
      <c r="G301" s="52" t="s">
        <v>111</v>
      </c>
      <c r="H301" s="47" t="s">
        <v>20</v>
      </c>
      <c r="I301" s="48"/>
      <c r="J301" s="48"/>
      <c r="K301" s="49"/>
      <c r="L301" s="53">
        <f ca="1">IFERROR(__xludf.DUMMYFUNCTION("IMPORTRANGE(""https://docs.google.com/spreadsheets/d/1C3CXT74ZlgGe6_JY_1olB1XN4rF0dxEuIIF-xsYjHgg/edit?usp=sharing"",""งบกองทุน!aa22"")"),131710)</f>
        <v>131710</v>
      </c>
      <c r="M301" s="53">
        <f>SUM(M302:M305)</f>
        <v>9990</v>
      </c>
      <c r="N301" s="53">
        <f t="shared" ca="1" si="70"/>
        <v>7.5848454938880874</v>
      </c>
    </row>
    <row r="302" spans="1:14" ht="21.75" customHeight="1" x14ac:dyDescent="0.4">
      <c r="A302" s="230"/>
      <c r="B302" s="231"/>
      <c r="C302" s="43"/>
      <c r="D302" s="232"/>
      <c r="E302" s="45"/>
      <c r="F302" s="45"/>
      <c r="G302" s="46" t="s">
        <v>112</v>
      </c>
      <c r="H302" s="47" t="s">
        <v>20</v>
      </c>
      <c r="I302" s="67"/>
      <c r="J302" s="67"/>
      <c r="K302" s="233"/>
      <c r="L302" s="53"/>
      <c r="M302" s="54">
        <v>0</v>
      </c>
      <c r="N302" s="53"/>
    </row>
    <row r="303" spans="1:14" ht="21.75" customHeight="1" x14ac:dyDescent="0.4">
      <c r="A303" s="230"/>
      <c r="B303" s="231"/>
      <c r="C303" s="43"/>
      <c r="D303" s="232"/>
      <c r="E303" s="45"/>
      <c r="F303" s="45"/>
      <c r="G303" s="46" t="s">
        <v>113</v>
      </c>
      <c r="H303" s="47" t="s">
        <v>20</v>
      </c>
      <c r="I303" s="67"/>
      <c r="J303" s="67"/>
      <c r="K303" s="233"/>
      <c r="L303" s="53"/>
      <c r="M303" s="54">
        <v>0</v>
      </c>
      <c r="N303" s="53"/>
    </row>
    <row r="304" spans="1:14" ht="21.75" customHeight="1" x14ac:dyDescent="0.4">
      <c r="A304" s="230"/>
      <c r="B304" s="231"/>
      <c r="C304" s="43"/>
      <c r="D304" s="232"/>
      <c r="E304" s="45"/>
      <c r="F304" s="45"/>
      <c r="G304" s="46" t="s">
        <v>114</v>
      </c>
      <c r="H304" s="47" t="s">
        <v>20</v>
      </c>
      <c r="I304" s="67"/>
      <c r="J304" s="67"/>
      <c r="K304" s="233"/>
      <c r="L304" s="53"/>
      <c r="M304" s="54">
        <v>0</v>
      </c>
      <c r="N304" s="53"/>
    </row>
    <row r="305" spans="1:14" ht="21.75" customHeight="1" x14ac:dyDescent="0.4">
      <c r="A305" s="230"/>
      <c r="B305" s="231"/>
      <c r="C305" s="43"/>
      <c r="D305" s="232"/>
      <c r="E305" s="45"/>
      <c r="F305" s="45"/>
      <c r="G305" s="46" t="s">
        <v>115</v>
      </c>
      <c r="H305" s="47" t="s">
        <v>20</v>
      </c>
      <c r="I305" s="67"/>
      <c r="J305" s="67"/>
      <c r="K305" s="233"/>
      <c r="L305" s="53"/>
      <c r="M305" s="54">
        <v>9990</v>
      </c>
      <c r="N305" s="53"/>
    </row>
    <row r="306" spans="1:14" ht="21.75" customHeight="1" x14ac:dyDescent="0.4">
      <c r="A306" s="55"/>
      <c r="B306" s="56"/>
      <c r="C306" s="43" t="s">
        <v>17</v>
      </c>
      <c r="D306" s="57" t="s">
        <v>25</v>
      </c>
      <c r="E306" s="58"/>
      <c r="F306" s="58"/>
      <c r="G306" s="59"/>
      <c r="H306" s="60"/>
      <c r="I306" s="48"/>
      <c r="J306" s="48"/>
      <c r="K306" s="49"/>
      <c r="L306" s="61"/>
      <c r="M306" s="61"/>
      <c r="N306" s="61"/>
    </row>
    <row r="307" spans="1:14" ht="21.75" customHeight="1" x14ac:dyDescent="0.4">
      <c r="A307" s="55"/>
      <c r="B307" s="56"/>
      <c r="C307" s="56"/>
      <c r="D307" s="62">
        <v>1</v>
      </c>
      <c r="E307" s="63" t="s">
        <v>26</v>
      </c>
      <c r="F307" s="64"/>
      <c r="G307" s="65"/>
      <c r="H307" s="66"/>
      <c r="I307" s="67"/>
      <c r="J307" s="68">
        <v>0</v>
      </c>
      <c r="K307" s="49"/>
      <c r="L307" s="61"/>
      <c r="M307" s="61"/>
      <c r="N307" s="61"/>
    </row>
    <row r="308" spans="1:14" ht="21.75" customHeight="1" x14ac:dyDescent="0.4">
      <c r="A308" s="55"/>
      <c r="B308" s="56"/>
      <c r="C308" s="56"/>
      <c r="D308" s="69">
        <v>2</v>
      </c>
      <c r="E308" s="70" t="s">
        <v>27</v>
      </c>
      <c r="F308" s="71"/>
      <c r="G308" s="72"/>
      <c r="H308" s="66"/>
      <c r="I308" s="67"/>
      <c r="J308" s="68">
        <v>1</v>
      </c>
      <c r="K308" s="49"/>
      <c r="L308" s="61" t="s">
        <v>21</v>
      </c>
      <c r="M308" s="61" t="s">
        <v>21</v>
      </c>
      <c r="N308" s="61"/>
    </row>
    <row r="309" spans="1:14" ht="21.75" customHeight="1" x14ac:dyDescent="0.4">
      <c r="A309" s="55"/>
      <c r="B309" s="56"/>
      <c r="C309" s="56"/>
      <c r="D309" s="73"/>
      <c r="E309" s="74" t="s">
        <v>28</v>
      </c>
      <c r="F309" s="75"/>
      <c r="G309" s="76"/>
      <c r="H309" s="66"/>
      <c r="I309" s="67"/>
      <c r="J309" s="68">
        <v>1</v>
      </c>
      <c r="K309" s="49"/>
      <c r="L309" s="61"/>
      <c r="M309" s="61"/>
      <c r="N309" s="61"/>
    </row>
    <row r="310" spans="1:14" ht="21.75" customHeight="1" x14ac:dyDescent="0.4">
      <c r="A310" s="55"/>
      <c r="B310" s="56"/>
      <c r="C310" s="56"/>
      <c r="D310" s="73"/>
      <c r="E310" s="74" t="s">
        <v>29</v>
      </c>
      <c r="F310" s="75"/>
      <c r="G310" s="76"/>
      <c r="H310" s="66"/>
      <c r="I310" s="67"/>
      <c r="J310" s="68">
        <v>0</v>
      </c>
      <c r="K310" s="49"/>
      <c r="L310" s="61"/>
      <c r="M310" s="61"/>
      <c r="N310" s="61"/>
    </row>
    <row r="311" spans="1:14" ht="21.75" customHeight="1" x14ac:dyDescent="0.4">
      <c r="A311" s="55"/>
      <c r="B311" s="56"/>
      <c r="C311" s="56"/>
      <c r="D311" s="73"/>
      <c r="E311" s="77"/>
      <c r="F311" s="74" t="s">
        <v>50</v>
      </c>
      <c r="G311" s="240"/>
      <c r="H311" s="241" t="s">
        <v>16</v>
      </c>
      <c r="I311" s="79">
        <f t="shared" ref="I311:J311" ca="1" si="72">+I312+I316+I321</f>
        <v>35</v>
      </c>
      <c r="J311" s="79">
        <f t="shared" ca="1" si="72"/>
        <v>0</v>
      </c>
      <c r="K311" s="80">
        <f t="shared" ref="K311:K327" ca="1" si="73">IF(I311&gt;0,J311*100/I311,0)</f>
        <v>0</v>
      </c>
      <c r="L311" s="61"/>
      <c r="M311" s="61"/>
      <c r="N311" s="61"/>
    </row>
    <row r="312" spans="1:14" ht="21.75" customHeight="1" x14ac:dyDescent="0.4">
      <c r="A312" s="55"/>
      <c r="B312" s="56"/>
      <c r="C312" s="56"/>
      <c r="D312" s="73"/>
      <c r="E312" s="77"/>
      <c r="F312" s="242" t="s">
        <v>129</v>
      </c>
      <c r="G312" s="76"/>
      <c r="H312" s="78" t="s">
        <v>16</v>
      </c>
      <c r="I312" s="243">
        <f ca="1">IFERROR(__xludf.DUMMYFUNCTION("IMPORTRANGE(""https://docs.google.com/spreadsheets/d/1C3CXT74ZlgGe6_JY_1olB1XN4rF0dxEuIIF-xsYjHgg/edit?usp=sharing"",""งบกองทุน!ae22"")"),10)</f>
        <v>10</v>
      </c>
      <c r="J312" s="79">
        <f ca="1">IF(AND(J314=I314,J315=I315),I314,0)</f>
        <v>0</v>
      </c>
      <c r="K312" s="80">
        <f t="shared" ca="1" si="73"/>
        <v>0</v>
      </c>
      <c r="L312" s="61"/>
      <c r="M312" s="61"/>
      <c r="N312" s="61"/>
    </row>
    <row r="313" spans="1:14" ht="21.75" customHeight="1" x14ac:dyDescent="0.4">
      <c r="A313" s="55"/>
      <c r="B313" s="56"/>
      <c r="C313" s="56"/>
      <c r="D313" s="73"/>
      <c r="E313" s="77"/>
      <c r="F313" s="75"/>
      <c r="G313" s="76"/>
      <c r="H313" s="78" t="s">
        <v>103</v>
      </c>
      <c r="I313" s="243">
        <f ca="1">IFERROR(__xludf.DUMMYFUNCTION("IMPORTRANGE(""https://docs.google.com/spreadsheets/d/1C3CXT74ZlgGe6_JY_1olB1XN4rF0dxEuIIF-xsYjHgg/edit?usp=sharing"",""งบกองทุน!ad22"")"),30)</f>
        <v>30</v>
      </c>
      <c r="J313" s="154">
        <v>0</v>
      </c>
      <c r="K313" s="80">
        <f t="shared" ca="1" si="73"/>
        <v>0</v>
      </c>
      <c r="L313" s="61"/>
      <c r="M313" s="61"/>
      <c r="N313" s="61"/>
    </row>
    <row r="314" spans="1:14" ht="21.75" customHeight="1" x14ac:dyDescent="0.4">
      <c r="A314" s="55"/>
      <c r="B314" s="56"/>
      <c r="C314" s="56"/>
      <c r="D314" s="73"/>
      <c r="E314" s="77"/>
      <c r="F314" s="75"/>
      <c r="G314" s="99" t="s">
        <v>130</v>
      </c>
      <c r="H314" s="60" t="s">
        <v>16</v>
      </c>
      <c r="I314" s="200">
        <f ca="1">IFERROR(__xludf.DUMMYFUNCTION("IMPORTRANGE(""https://docs.google.com/spreadsheets/d/1C3CXT74ZlgGe6_JY_1olB1XN4rF0dxEuIIF-xsYjHgg/edit?usp=sharing"",""งบกองทุน!af22"")"),10)</f>
        <v>10</v>
      </c>
      <c r="J314" s="68">
        <v>0</v>
      </c>
      <c r="K314" s="49">
        <f t="shared" ca="1" si="73"/>
        <v>0</v>
      </c>
      <c r="L314" s="61"/>
      <c r="M314" s="61"/>
      <c r="N314" s="61"/>
    </row>
    <row r="315" spans="1:14" ht="21.75" customHeight="1" x14ac:dyDescent="0.4">
      <c r="A315" s="105"/>
      <c r="B315" s="106"/>
      <c r="C315" s="106"/>
      <c r="D315" s="244"/>
      <c r="E315" s="245"/>
      <c r="F315" s="204"/>
      <c r="G315" s="246" t="s">
        <v>131</v>
      </c>
      <c r="H315" s="206" t="s">
        <v>16</v>
      </c>
      <c r="I315" s="207">
        <f ca="1">IFERROR(__xludf.DUMMYFUNCTION("IMPORTRANGE(""https://docs.google.com/spreadsheets/d/1C3CXT74ZlgGe6_JY_1olB1XN4rF0dxEuIIF-xsYjHgg/edit?usp=sharing"",""งบกองทุน!ag22"")"),10)</f>
        <v>10</v>
      </c>
      <c r="J315" s="247">
        <v>0</v>
      </c>
      <c r="K315" s="114">
        <f t="shared" ca="1" si="73"/>
        <v>0</v>
      </c>
      <c r="L315" s="115"/>
      <c r="M315" s="115"/>
      <c r="N315" s="115"/>
    </row>
    <row r="316" spans="1:14" ht="21.75" customHeight="1" x14ac:dyDescent="0.4">
      <c r="A316" s="55"/>
      <c r="B316" s="56"/>
      <c r="C316" s="56"/>
      <c r="D316" s="73"/>
      <c r="E316" s="77"/>
      <c r="F316" s="242" t="s">
        <v>132</v>
      </c>
      <c r="G316" s="76"/>
      <c r="H316" s="78" t="s">
        <v>16</v>
      </c>
      <c r="I316" s="243">
        <f ca="1">IFERROR(__xludf.DUMMYFUNCTION("IMPORTRANGE(""https://docs.google.com/spreadsheets/d/1C3CXT74ZlgGe6_JY_1olB1XN4rF0dxEuIIF-xsYjHgg/edit?usp=sharing"",""งบกองทุน!ai22"")"),15)</f>
        <v>15</v>
      </c>
      <c r="J316" s="79">
        <f ca="1">IF(AND(J318=I318,J319=I319,J320=I320),I318,0)</f>
        <v>0</v>
      </c>
      <c r="K316" s="80">
        <f t="shared" ca="1" si="73"/>
        <v>0</v>
      </c>
      <c r="L316" s="61"/>
      <c r="M316" s="61"/>
      <c r="N316" s="61"/>
    </row>
    <row r="317" spans="1:14" ht="21.75" customHeight="1" x14ac:dyDescent="0.4">
      <c r="A317" s="55"/>
      <c r="B317" s="56"/>
      <c r="C317" s="56"/>
      <c r="D317" s="73"/>
      <c r="E317" s="77"/>
      <c r="F317" s="75"/>
      <c r="G317" s="76"/>
      <c r="H317" s="78" t="s">
        <v>103</v>
      </c>
      <c r="I317" s="243">
        <f ca="1">IFERROR(__xludf.DUMMYFUNCTION("IMPORTRANGE(""https://docs.google.com/spreadsheets/d/1C3CXT74ZlgGe6_JY_1olB1XN4rF0dxEuIIF-xsYjHgg/edit?usp=sharing"",""งบกองทุน!ah22"")"),45)</f>
        <v>45</v>
      </c>
      <c r="J317" s="154">
        <v>0</v>
      </c>
      <c r="K317" s="80">
        <f t="shared" ca="1" si="73"/>
        <v>0</v>
      </c>
      <c r="L317" s="61"/>
      <c r="M317" s="61"/>
      <c r="N317" s="61"/>
    </row>
    <row r="318" spans="1:14" ht="21.75" customHeight="1" x14ac:dyDescent="0.4">
      <c r="A318" s="55"/>
      <c r="B318" s="56"/>
      <c r="C318" s="56"/>
      <c r="D318" s="73"/>
      <c r="E318" s="77"/>
      <c r="F318" s="75"/>
      <c r="G318" s="99" t="s">
        <v>133</v>
      </c>
      <c r="H318" s="60" t="s">
        <v>16</v>
      </c>
      <c r="I318" s="200">
        <f ca="1">IFERROR(__xludf.DUMMYFUNCTION("IMPORTRANGE(""https://docs.google.com/spreadsheets/d/1C3CXT74ZlgGe6_JY_1olB1XN4rF0dxEuIIF-xsYjHgg/edit?usp=sharing"",""งบกองทุน!aj22"")"),15)</f>
        <v>15</v>
      </c>
      <c r="J318" s="68">
        <v>0</v>
      </c>
      <c r="K318" s="49">
        <f t="shared" ca="1" si="73"/>
        <v>0</v>
      </c>
      <c r="L318" s="61"/>
      <c r="M318" s="61"/>
      <c r="N318" s="61"/>
    </row>
    <row r="319" spans="1:14" ht="21.75" customHeight="1" x14ac:dyDescent="0.4">
      <c r="A319" s="55"/>
      <c r="B319" s="56"/>
      <c r="C319" s="56"/>
      <c r="D319" s="73"/>
      <c r="E319" s="77"/>
      <c r="F319" s="75"/>
      <c r="G319" s="99" t="s">
        <v>134</v>
      </c>
      <c r="H319" s="60" t="s">
        <v>16</v>
      </c>
      <c r="I319" s="200">
        <f ca="1">IFERROR(__xludf.DUMMYFUNCTION("IMPORTRANGE(""https://docs.google.com/spreadsheets/d/1C3CXT74ZlgGe6_JY_1olB1XN4rF0dxEuIIF-xsYjHgg/edit?usp=sharing"",""งบกองทุน!ak22"")"),15)</f>
        <v>15</v>
      </c>
      <c r="J319" s="68">
        <v>0</v>
      </c>
      <c r="K319" s="49">
        <f t="shared" ca="1" si="73"/>
        <v>0</v>
      </c>
      <c r="L319" s="61"/>
      <c r="M319" s="61"/>
      <c r="N319" s="61"/>
    </row>
    <row r="320" spans="1:14" ht="21.75" customHeight="1" x14ac:dyDescent="0.4">
      <c r="A320" s="55"/>
      <c r="B320" s="56"/>
      <c r="C320" s="56"/>
      <c r="D320" s="73"/>
      <c r="E320" s="77"/>
      <c r="F320" s="75"/>
      <c r="G320" s="99" t="s">
        <v>135</v>
      </c>
      <c r="H320" s="60" t="s">
        <v>16</v>
      </c>
      <c r="I320" s="200">
        <f ca="1">IFERROR(__xludf.DUMMYFUNCTION("IMPORTRANGE(""https://docs.google.com/spreadsheets/d/1C3CXT74ZlgGe6_JY_1olB1XN4rF0dxEuIIF-xsYjHgg/edit?usp=sharing"",""งบกองทุน!al22"")"),15)</f>
        <v>15</v>
      </c>
      <c r="J320" s="68">
        <v>0</v>
      </c>
      <c r="K320" s="49">
        <f t="shared" ca="1" si="73"/>
        <v>0</v>
      </c>
      <c r="L320" s="61"/>
      <c r="M320" s="61"/>
      <c r="N320" s="61"/>
    </row>
    <row r="321" spans="1:14" ht="21.75" customHeight="1" x14ac:dyDescent="0.4">
      <c r="A321" s="55"/>
      <c r="B321" s="56"/>
      <c r="C321" s="56"/>
      <c r="D321" s="73"/>
      <c r="E321" s="77"/>
      <c r="F321" s="242" t="s">
        <v>136</v>
      </c>
      <c r="G321" s="76"/>
      <c r="H321" s="78" t="s">
        <v>16</v>
      </c>
      <c r="I321" s="243">
        <f ca="1">IFERROR(__xludf.DUMMYFUNCTION("IMPORTRANGE(""https://docs.google.com/spreadsheets/d/1C3CXT74ZlgGe6_JY_1olB1XN4rF0dxEuIIF-xsYjHgg/edit?usp=sharing"",""งบกองทุน!an22"")"),10)</f>
        <v>10</v>
      </c>
      <c r="J321" s="79">
        <f ca="1">IF(AND(J323=I323,J324=I324),I323,0)</f>
        <v>0</v>
      </c>
      <c r="K321" s="80">
        <f t="shared" ca="1" si="73"/>
        <v>0</v>
      </c>
      <c r="L321" s="61"/>
      <c r="M321" s="61"/>
      <c r="N321" s="61"/>
    </row>
    <row r="322" spans="1:14" ht="21.75" customHeight="1" x14ac:dyDescent="0.4">
      <c r="A322" s="55"/>
      <c r="B322" s="56"/>
      <c r="C322" s="56"/>
      <c r="D322" s="73"/>
      <c r="E322" s="77"/>
      <c r="F322" s="75"/>
      <c r="G322" s="76"/>
      <c r="H322" s="78" t="s">
        <v>103</v>
      </c>
      <c r="I322" s="243">
        <f ca="1">IFERROR(__xludf.DUMMYFUNCTION("IMPORTRANGE(""https://docs.google.com/spreadsheets/d/1C3CXT74ZlgGe6_JY_1olB1XN4rF0dxEuIIF-xsYjHgg/edit?usp=sharing"",""งบกองทุน!am22"")"),30)</f>
        <v>30</v>
      </c>
      <c r="J322" s="154">
        <v>0</v>
      </c>
      <c r="K322" s="80">
        <f t="shared" ca="1" si="73"/>
        <v>0</v>
      </c>
      <c r="L322" s="61"/>
      <c r="M322" s="61"/>
      <c r="N322" s="61"/>
    </row>
    <row r="323" spans="1:14" ht="21.75" customHeight="1" x14ac:dyDescent="0.4">
      <c r="A323" s="55"/>
      <c r="B323" s="56"/>
      <c r="C323" s="56"/>
      <c r="D323" s="73"/>
      <c r="E323" s="77"/>
      <c r="F323" s="75"/>
      <c r="G323" s="99" t="s">
        <v>137</v>
      </c>
      <c r="H323" s="60" t="s">
        <v>16</v>
      </c>
      <c r="I323" s="248">
        <f ca="1">IFERROR(__xludf.DUMMYFUNCTION("IMPORTRANGE(""https://docs.google.com/spreadsheets/d/1C3CXT74ZlgGe6_JY_1olB1XN4rF0dxEuIIF-xsYjHgg/edit?usp=sharing"",""งบกองทุน!ao22"")"),10)</f>
        <v>10</v>
      </c>
      <c r="J323" s="68">
        <v>0</v>
      </c>
      <c r="K323" s="49">
        <f t="shared" ca="1" si="73"/>
        <v>0</v>
      </c>
      <c r="L323" s="61"/>
      <c r="M323" s="61"/>
      <c r="N323" s="61"/>
    </row>
    <row r="324" spans="1:14" ht="21.75" customHeight="1" x14ac:dyDescent="0.4">
      <c r="A324" s="55"/>
      <c r="B324" s="56"/>
      <c r="C324" s="56"/>
      <c r="D324" s="73"/>
      <c r="E324" s="77"/>
      <c r="F324" s="75"/>
      <c r="G324" s="99" t="s">
        <v>138</v>
      </c>
      <c r="H324" s="60" t="s">
        <v>16</v>
      </c>
      <c r="I324" s="248">
        <f ca="1">IFERROR(__xludf.DUMMYFUNCTION("IMPORTRANGE(""https://docs.google.com/spreadsheets/d/1C3CXT74ZlgGe6_JY_1olB1XN4rF0dxEuIIF-xsYjHgg/edit?usp=sharing"",""งบกองทุน!ap22"")"),10)</f>
        <v>10</v>
      </c>
      <c r="J324" s="68">
        <v>0</v>
      </c>
      <c r="K324" s="49">
        <f t="shared" ca="1" si="73"/>
        <v>0</v>
      </c>
      <c r="L324" s="61"/>
      <c r="M324" s="61"/>
      <c r="N324" s="61"/>
    </row>
    <row r="325" spans="1:14" ht="21.75" customHeight="1" x14ac:dyDescent="0.4">
      <c r="A325" s="55"/>
      <c r="B325" s="56"/>
      <c r="C325" s="56"/>
      <c r="D325" s="73"/>
      <c r="E325" s="77"/>
      <c r="F325" s="74" t="s">
        <v>34</v>
      </c>
      <c r="G325" s="240"/>
      <c r="H325" s="241" t="s">
        <v>16</v>
      </c>
      <c r="I325" s="79">
        <f ca="1">SUM(I326,I327)</f>
        <v>25</v>
      </c>
      <c r="J325" s="79">
        <f ca="1">IF(AND(J326=I326,J327=I327),I325,0)</f>
        <v>0</v>
      </c>
      <c r="K325" s="80">
        <f t="shared" ca="1" si="73"/>
        <v>0</v>
      </c>
      <c r="L325" s="61"/>
      <c r="M325" s="61"/>
      <c r="N325" s="61"/>
    </row>
    <row r="326" spans="1:14" ht="21.75" customHeight="1" x14ac:dyDescent="0.4">
      <c r="A326" s="249"/>
      <c r="B326" s="250"/>
      <c r="C326" s="250"/>
      <c r="D326" s="251"/>
      <c r="E326" s="77"/>
      <c r="F326" s="75"/>
      <c r="G326" s="99" t="s">
        <v>139</v>
      </c>
      <c r="H326" s="60" t="s">
        <v>16</v>
      </c>
      <c r="I326" s="248">
        <f ca="1">IFERROR(__xludf.DUMMYFUNCTION("IMPORTRANGE(""https://docs.google.com/spreadsheets/d/1C3CXT74ZlgGe6_JY_1olB1XN4rF0dxEuIIF-xsYjHgg/edit?usp=sharing"",""งบกองทุน!ar22"")"),10)</f>
        <v>10</v>
      </c>
      <c r="J326" s="68">
        <v>0</v>
      </c>
      <c r="K326" s="49">
        <f t="shared" ca="1" si="73"/>
        <v>0</v>
      </c>
      <c r="L326" s="61"/>
      <c r="M326" s="61"/>
      <c r="N326" s="61"/>
    </row>
    <row r="327" spans="1:14" ht="21.75" customHeight="1" x14ac:dyDescent="0.4">
      <c r="A327" s="249"/>
      <c r="B327" s="250"/>
      <c r="C327" s="250"/>
      <c r="D327" s="251"/>
      <c r="E327" s="77"/>
      <c r="F327" s="75"/>
      <c r="G327" s="99" t="s">
        <v>140</v>
      </c>
      <c r="H327" s="60" t="s">
        <v>16</v>
      </c>
      <c r="I327" s="248">
        <f ca="1">IFERROR(__xludf.DUMMYFUNCTION("IMPORTRANGE(""https://docs.google.com/spreadsheets/d/1C3CXT74ZlgGe6_JY_1olB1XN4rF0dxEuIIF-xsYjHgg/edit?usp=sharing"",""งบกองทุน!as22"")"),15)</f>
        <v>15</v>
      </c>
      <c r="J327" s="68">
        <v>0</v>
      </c>
      <c r="K327" s="49">
        <f t="shared" ca="1" si="73"/>
        <v>0</v>
      </c>
      <c r="L327" s="61"/>
      <c r="M327" s="61"/>
      <c r="N327" s="61"/>
    </row>
    <row r="328" spans="1:14" ht="21.75" customHeight="1" x14ac:dyDescent="0.4">
      <c r="A328" s="55"/>
      <c r="B328" s="56"/>
      <c r="C328" s="56"/>
      <c r="D328" s="73"/>
      <c r="E328" s="74" t="s">
        <v>35</v>
      </c>
      <c r="F328" s="75"/>
      <c r="G328" s="76"/>
      <c r="H328" s="66"/>
      <c r="I328" s="67"/>
      <c r="J328" s="68">
        <v>0</v>
      </c>
      <c r="K328" s="49"/>
      <c r="L328" s="61"/>
      <c r="M328" s="61"/>
      <c r="N328" s="61"/>
    </row>
    <row r="329" spans="1:14" ht="21.75" customHeight="1" x14ac:dyDescent="0.4">
      <c r="A329" s="55"/>
      <c r="B329" s="56"/>
      <c r="C329" s="56"/>
      <c r="D329" s="81">
        <v>3</v>
      </c>
      <c r="E329" s="82" t="s">
        <v>36</v>
      </c>
      <c r="F329" s="83"/>
      <c r="G329" s="84"/>
      <c r="H329" s="66"/>
      <c r="I329" s="67"/>
      <c r="J329" s="85">
        <v>0</v>
      </c>
      <c r="K329" s="49"/>
      <c r="L329" s="61"/>
      <c r="M329" s="61"/>
      <c r="N329" s="61"/>
    </row>
    <row r="330" spans="1:14" ht="21.75" customHeight="1" x14ac:dyDescent="0.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20</v>
      </c>
      <c r="J330" s="257">
        <f>+J344</f>
        <v>20</v>
      </c>
      <c r="K330" s="258">
        <f ca="1">IF(I330&gt;0,J330*100/I330,0)</f>
        <v>100</v>
      </c>
      <c r="L330" s="259">
        <f t="shared" ref="L330:M330" ca="1" si="74">SUM(L331:L332)</f>
        <v>95000</v>
      </c>
      <c r="M330" s="259">
        <f t="shared" si="74"/>
        <v>17580</v>
      </c>
      <c r="N330" s="259">
        <f t="shared" ref="N330:N334" ca="1" si="75">+IF(L330&gt;0,M330*100/L330,0)</f>
        <v>18.505263157894738</v>
      </c>
    </row>
    <row r="331" spans="1:14" ht="21.75" customHeight="1" x14ac:dyDescent="0.4">
      <c r="A331" s="42"/>
      <c r="B331" s="43"/>
      <c r="C331" s="43" t="s">
        <v>17</v>
      </c>
      <c r="D331" s="44" t="s">
        <v>18</v>
      </c>
      <c r="E331" s="45"/>
      <c r="F331" s="45"/>
      <c r="G331" s="46" t="s">
        <v>19</v>
      </c>
      <c r="H331" s="47" t="s">
        <v>20</v>
      </c>
      <c r="I331" s="48" t="s">
        <v>21</v>
      </c>
      <c r="J331" s="48"/>
      <c r="K331" s="49"/>
      <c r="L331" s="50">
        <v>0</v>
      </c>
      <c r="M331" s="53">
        <v>0</v>
      </c>
      <c r="N331" s="53">
        <f t="shared" si="75"/>
        <v>0</v>
      </c>
    </row>
    <row r="332" spans="1:14" ht="21.75" customHeight="1" x14ac:dyDescent="0.4">
      <c r="A332" s="42"/>
      <c r="B332" s="43"/>
      <c r="C332" s="43"/>
      <c r="D332" s="51"/>
      <c r="E332" s="45"/>
      <c r="F332" s="45" t="s">
        <v>21</v>
      </c>
      <c r="G332" s="46" t="s">
        <v>22</v>
      </c>
      <c r="H332" s="47" t="s">
        <v>20</v>
      </c>
      <c r="I332" s="48"/>
      <c r="J332" s="48"/>
      <c r="K332" s="49"/>
      <c r="L332" s="50">
        <f t="shared" ref="L332:M332" ca="1" si="76">SUM(L333:L334)</f>
        <v>95000</v>
      </c>
      <c r="M332" s="53">
        <f t="shared" si="76"/>
        <v>17580</v>
      </c>
      <c r="N332" s="53">
        <f t="shared" ca="1" si="75"/>
        <v>18.505263157894738</v>
      </c>
    </row>
    <row r="333" spans="1:14" ht="21.75" customHeight="1" x14ac:dyDescent="0.4">
      <c r="A333" s="42"/>
      <c r="B333" s="43"/>
      <c r="C333" s="43"/>
      <c r="D333" s="51"/>
      <c r="E333" s="45"/>
      <c r="F333" s="45"/>
      <c r="G333" s="52" t="s">
        <v>110</v>
      </c>
      <c r="H333" s="47" t="s">
        <v>20</v>
      </c>
      <c r="I333" s="48"/>
      <c r="J333" s="48"/>
      <c r="K333" s="49"/>
      <c r="L333" s="53">
        <f ca="1">IFERROR(__xludf.DUMMYFUNCTION("IMPORTRANGE(""https://docs.google.com/spreadsheets/d/1C3CXT74ZlgGe6_JY_1olB1XN4rF0dxEuIIF-xsYjHgg/edit?usp=sharing"",""งบกองทุน!au22"")"),0)</f>
        <v>0</v>
      </c>
      <c r="M333" s="53">
        <v>0</v>
      </c>
      <c r="N333" s="53">
        <f t="shared" ca="1" si="75"/>
        <v>0</v>
      </c>
    </row>
    <row r="334" spans="1:14" ht="21.75" customHeight="1" x14ac:dyDescent="0.4">
      <c r="A334" s="42"/>
      <c r="B334" s="43"/>
      <c r="C334" s="43"/>
      <c r="D334" s="51"/>
      <c r="E334" s="45"/>
      <c r="F334" s="45"/>
      <c r="G334" s="52" t="s">
        <v>111</v>
      </c>
      <c r="H334" s="47" t="s">
        <v>20</v>
      </c>
      <c r="I334" s="48"/>
      <c r="J334" s="48"/>
      <c r="K334" s="49"/>
      <c r="L334" s="53">
        <f ca="1">IFERROR(__xludf.DUMMYFUNCTION("IMPORTRANGE(""https://docs.google.com/spreadsheets/d/1C3CXT74ZlgGe6_JY_1olB1XN4rF0dxEuIIF-xsYjHgg/edit?usp=sharing"",""งบกองทุน!av22"")"),95000)</f>
        <v>95000</v>
      </c>
      <c r="M334" s="53">
        <f>SUM(M335:M338)</f>
        <v>17580</v>
      </c>
      <c r="N334" s="53">
        <f t="shared" ca="1" si="75"/>
        <v>18.505263157894738</v>
      </c>
    </row>
    <row r="335" spans="1:14" ht="21.75" customHeight="1" x14ac:dyDescent="0.4">
      <c r="A335" s="230"/>
      <c r="B335" s="231"/>
      <c r="C335" s="43"/>
      <c r="D335" s="232"/>
      <c r="E335" s="45"/>
      <c r="F335" s="45"/>
      <c r="G335" s="46" t="s">
        <v>112</v>
      </c>
      <c r="H335" s="47" t="s">
        <v>20</v>
      </c>
      <c r="I335" s="67"/>
      <c r="J335" s="67"/>
      <c r="K335" s="233"/>
      <c r="L335" s="53"/>
      <c r="M335" s="54">
        <v>17580</v>
      </c>
      <c r="N335" s="53"/>
    </row>
    <row r="336" spans="1:14" ht="21.75" customHeight="1" x14ac:dyDescent="0.4">
      <c r="A336" s="230"/>
      <c r="B336" s="231"/>
      <c r="C336" s="43"/>
      <c r="D336" s="232"/>
      <c r="E336" s="45"/>
      <c r="F336" s="45"/>
      <c r="G336" s="46" t="s">
        <v>113</v>
      </c>
      <c r="H336" s="47" t="s">
        <v>20</v>
      </c>
      <c r="I336" s="67"/>
      <c r="J336" s="67"/>
      <c r="K336" s="233"/>
      <c r="L336" s="53"/>
      <c r="M336" s="54">
        <v>0</v>
      </c>
      <c r="N336" s="53"/>
    </row>
    <row r="337" spans="1:14" ht="21.75" customHeight="1" x14ac:dyDescent="0.4">
      <c r="A337" s="230"/>
      <c r="B337" s="231"/>
      <c r="C337" s="43"/>
      <c r="D337" s="232"/>
      <c r="E337" s="45"/>
      <c r="F337" s="45"/>
      <c r="G337" s="46" t="s">
        <v>114</v>
      </c>
      <c r="H337" s="47" t="s">
        <v>20</v>
      </c>
      <c r="I337" s="67"/>
      <c r="J337" s="67"/>
      <c r="K337" s="233"/>
      <c r="L337" s="53"/>
      <c r="M337" s="54">
        <v>0</v>
      </c>
      <c r="N337" s="53"/>
    </row>
    <row r="338" spans="1:14" ht="21.75" customHeight="1" x14ac:dyDescent="0.4">
      <c r="A338" s="230"/>
      <c r="B338" s="231"/>
      <c r="C338" s="43"/>
      <c r="D338" s="232"/>
      <c r="E338" s="45"/>
      <c r="F338" s="45"/>
      <c r="G338" s="46" t="s">
        <v>115</v>
      </c>
      <c r="H338" s="47" t="s">
        <v>20</v>
      </c>
      <c r="I338" s="67"/>
      <c r="J338" s="67"/>
      <c r="K338" s="233"/>
      <c r="L338" s="53"/>
      <c r="M338" s="54">
        <v>0</v>
      </c>
      <c r="N338" s="53"/>
    </row>
    <row r="339" spans="1:14" ht="21.75" customHeight="1" x14ac:dyDescent="0.4">
      <c r="A339" s="55"/>
      <c r="B339" s="56"/>
      <c r="C339" s="43" t="s">
        <v>17</v>
      </c>
      <c r="D339" s="57" t="s">
        <v>25</v>
      </c>
      <c r="E339" s="58"/>
      <c r="F339" s="58"/>
      <c r="G339" s="59"/>
      <c r="H339" s="60"/>
      <c r="I339" s="48"/>
      <c r="J339" s="48"/>
      <c r="K339" s="49"/>
      <c r="L339" s="61"/>
      <c r="M339" s="61"/>
      <c r="N339" s="61"/>
    </row>
    <row r="340" spans="1:14" ht="21.75" customHeight="1" x14ac:dyDescent="0.4">
      <c r="A340" s="55"/>
      <c r="B340" s="56"/>
      <c r="C340" s="56"/>
      <c r="D340" s="62">
        <v>1</v>
      </c>
      <c r="E340" s="63" t="s">
        <v>26</v>
      </c>
      <c r="F340" s="64"/>
      <c r="G340" s="65"/>
      <c r="H340" s="66"/>
      <c r="I340" s="67"/>
      <c r="J340" s="85">
        <v>0</v>
      </c>
      <c r="K340" s="49"/>
      <c r="L340" s="61"/>
      <c r="M340" s="61"/>
      <c r="N340" s="61"/>
    </row>
    <row r="341" spans="1:14" ht="21.75" customHeight="1" x14ac:dyDescent="0.4">
      <c r="A341" s="55"/>
      <c r="B341" s="56"/>
      <c r="C341" s="56"/>
      <c r="D341" s="69">
        <v>2</v>
      </c>
      <c r="E341" s="70" t="s">
        <v>27</v>
      </c>
      <c r="F341" s="71"/>
      <c r="G341" s="72"/>
      <c r="H341" s="66"/>
      <c r="I341" s="67"/>
      <c r="J341" s="85">
        <v>1</v>
      </c>
      <c r="K341" s="49"/>
      <c r="L341" s="61" t="s">
        <v>21</v>
      </c>
      <c r="M341" s="61" t="s">
        <v>21</v>
      </c>
      <c r="N341" s="61"/>
    </row>
    <row r="342" spans="1:14" ht="21.75" customHeight="1" x14ac:dyDescent="0.4">
      <c r="A342" s="55"/>
      <c r="B342" s="56"/>
      <c r="C342" s="56"/>
      <c r="D342" s="73"/>
      <c r="E342" s="74" t="s">
        <v>142</v>
      </c>
      <c r="F342" s="75"/>
      <c r="G342" s="76"/>
      <c r="H342" s="66"/>
      <c r="I342" s="67"/>
      <c r="J342" s="68">
        <v>1</v>
      </c>
      <c r="K342" s="49"/>
      <c r="L342" s="61"/>
      <c r="M342" s="61"/>
      <c r="N342" s="61"/>
    </row>
    <row r="343" spans="1:14" ht="21.75" customHeight="1" x14ac:dyDescent="0.4">
      <c r="A343" s="55"/>
      <c r="B343" s="56"/>
      <c r="C343" s="56"/>
      <c r="D343" s="73"/>
      <c r="E343" s="74" t="s">
        <v>29</v>
      </c>
      <c r="F343" s="75"/>
      <c r="G343" s="76"/>
      <c r="H343" s="66"/>
      <c r="I343" s="67"/>
      <c r="J343" s="68">
        <v>1</v>
      </c>
      <c r="K343" s="49"/>
      <c r="L343" s="61"/>
      <c r="M343" s="61"/>
      <c r="N343" s="61"/>
    </row>
    <row r="344" spans="1:14" ht="21.75" customHeight="1" x14ac:dyDescent="0.4">
      <c r="A344" s="55"/>
      <c r="B344" s="56"/>
      <c r="C344" s="56"/>
      <c r="D344" s="73"/>
      <c r="E344" s="77"/>
      <c r="F344" s="260" t="s">
        <v>82</v>
      </c>
      <c r="G344" s="76"/>
      <c r="H344" s="66" t="s">
        <v>16</v>
      </c>
      <c r="I344" s="243">
        <f t="shared" ref="I344:J344" ca="1" si="77">+I345+I346+I347</f>
        <v>20</v>
      </c>
      <c r="J344" s="79">
        <f t="shared" si="77"/>
        <v>20</v>
      </c>
      <c r="K344" s="49">
        <f t="shared" ref="K344:K347" ca="1" si="78">IF(I344&gt;0,J344*100/I344,0)</f>
        <v>100</v>
      </c>
      <c r="L344" s="61"/>
      <c r="M344" s="61"/>
      <c r="N344" s="61"/>
    </row>
    <row r="345" spans="1:14" ht="21.75" customHeight="1" x14ac:dyDescent="0.4">
      <c r="A345" s="55"/>
      <c r="B345" s="56"/>
      <c r="C345" s="56"/>
      <c r="D345" s="73"/>
      <c r="E345" s="77"/>
      <c r="F345" s="75"/>
      <c r="G345" s="99" t="s">
        <v>143</v>
      </c>
      <c r="H345" s="66" t="s">
        <v>16</v>
      </c>
      <c r="I345" s="200">
        <f ca="1">IFERROR(__xludf.DUMMYFUNCTION("IMPORTRANGE(""https://docs.google.com/spreadsheets/d/1C3CXT74ZlgGe6_JY_1olB1XN4rF0dxEuIIF-xsYjHgg/edit?usp=sharing"",""งบกองทุน!ay22"")"),20)</f>
        <v>20</v>
      </c>
      <c r="J345" s="68">
        <v>20</v>
      </c>
      <c r="K345" s="49">
        <f t="shared" ca="1" si="78"/>
        <v>100</v>
      </c>
      <c r="L345" s="61"/>
      <c r="M345" s="61"/>
      <c r="N345" s="61"/>
    </row>
    <row r="346" spans="1:14" ht="21.75" customHeight="1" x14ac:dyDescent="0.4">
      <c r="A346" s="55"/>
      <c r="B346" s="56"/>
      <c r="C346" s="56"/>
      <c r="D346" s="73"/>
      <c r="E346" s="77"/>
      <c r="F346" s="75"/>
      <c r="G346" s="76" t="s">
        <v>229</v>
      </c>
      <c r="H346" s="66" t="s">
        <v>16</v>
      </c>
      <c r="I346" s="200">
        <f ca="1">IFERROR(__xludf.DUMMYFUNCTION("IMPORTRANGE(""https://docs.google.com/spreadsheets/d/1C3CXT74ZlgGe6_JY_1olB1XN4rF0dxEuIIF-xsYjHgg/edit?usp=sharing"",""งบกองทุน!az22"")"),0)</f>
        <v>0</v>
      </c>
      <c r="J346" s="68">
        <v>0</v>
      </c>
      <c r="K346" s="49">
        <f t="shared" ca="1" si="78"/>
        <v>0</v>
      </c>
      <c r="L346" s="61"/>
      <c r="M346" s="61"/>
      <c r="N346" s="61"/>
    </row>
    <row r="347" spans="1:14" ht="21.75" customHeight="1" x14ac:dyDescent="0.4">
      <c r="A347" s="55"/>
      <c r="B347" s="56"/>
      <c r="C347" s="56"/>
      <c r="D347" s="73"/>
      <c r="E347" s="77"/>
      <c r="F347" s="75"/>
      <c r="G347" s="76" t="s">
        <v>145</v>
      </c>
      <c r="H347" s="66" t="s">
        <v>16</v>
      </c>
      <c r="I347" s="67">
        <f ca="1">IFERROR(__xludf.DUMMYFUNCTION("IMPORTRANGE(""https://docs.google.com/spreadsheets/d/1C3CXT74ZlgGe6_JY_1olB1XN4rF0dxEuIIF-xsYjHgg/edit?usp=sharing"",""งบกองทุน!Ba22"")"),0)</f>
        <v>0</v>
      </c>
      <c r="J347" s="68">
        <v>0</v>
      </c>
      <c r="K347" s="49">
        <f t="shared" ca="1" si="78"/>
        <v>0</v>
      </c>
      <c r="L347" s="61"/>
      <c r="M347" s="61"/>
      <c r="N347" s="61"/>
    </row>
    <row r="348" spans="1:14" ht="21.75" customHeight="1" x14ac:dyDescent="0.4">
      <c r="A348" s="55"/>
      <c r="B348" s="56"/>
      <c r="C348" s="56"/>
      <c r="D348" s="73"/>
      <c r="E348" s="74" t="s">
        <v>35</v>
      </c>
      <c r="F348" s="75"/>
      <c r="G348" s="76"/>
      <c r="H348" s="66"/>
      <c r="I348" s="67"/>
      <c r="J348" s="68">
        <v>0</v>
      </c>
      <c r="K348" s="49"/>
      <c r="L348" s="61"/>
      <c r="M348" s="61"/>
      <c r="N348" s="61"/>
    </row>
    <row r="349" spans="1:14" ht="21.75" customHeight="1" x14ac:dyDescent="0.4">
      <c r="A349" s="55"/>
      <c r="B349" s="56"/>
      <c r="C349" s="56"/>
      <c r="D349" s="81">
        <v>3</v>
      </c>
      <c r="E349" s="82" t="s">
        <v>36</v>
      </c>
      <c r="F349" s="83"/>
      <c r="G349" s="84"/>
      <c r="H349" s="66"/>
      <c r="I349" s="67"/>
      <c r="J349" s="85">
        <v>0</v>
      </c>
      <c r="K349" s="49"/>
      <c r="L349" s="61"/>
      <c r="M349" s="61"/>
      <c r="N349" s="61"/>
    </row>
    <row r="350" spans="1:14" ht="21.75" customHeight="1" x14ac:dyDescent="0.4">
      <c r="A350" s="222"/>
      <c r="B350" s="223">
        <v>5</v>
      </c>
      <c r="C350" s="224" t="s">
        <v>146</v>
      </c>
      <c r="D350" s="224"/>
      <c r="E350" s="224"/>
      <c r="F350" s="224"/>
      <c r="G350" s="225"/>
      <c r="H350" s="226" t="s">
        <v>103</v>
      </c>
      <c r="I350" s="227">
        <f ca="1">I359</f>
        <v>18110</v>
      </c>
      <c r="J350" s="227">
        <f>+J359</f>
        <v>0</v>
      </c>
      <c r="K350" s="228">
        <f ca="1">IF(I350&gt;0,J350*100/I350,0)</f>
        <v>0</v>
      </c>
      <c r="L350" s="229">
        <f t="shared" ref="L350:M350" ca="1" si="79">SUM(L351:L352)</f>
        <v>536539</v>
      </c>
      <c r="M350" s="229">
        <f t="shared" si="79"/>
        <v>29505.58</v>
      </c>
      <c r="N350" s="229">
        <f t="shared" ref="N350:N354" ca="1" si="80">+IF(L350&gt;0,M350*100/L350,0)</f>
        <v>5.4992423663517469</v>
      </c>
    </row>
    <row r="351" spans="1:14" ht="21.75" customHeight="1" x14ac:dyDescent="0.4">
      <c r="A351" s="42"/>
      <c r="B351" s="43"/>
      <c r="C351" s="43" t="s">
        <v>17</v>
      </c>
      <c r="D351" s="44" t="s">
        <v>18</v>
      </c>
      <c r="E351" s="45"/>
      <c r="F351" s="45"/>
      <c r="G351" s="46" t="s">
        <v>19</v>
      </c>
      <c r="H351" s="47" t="s">
        <v>20</v>
      </c>
      <c r="I351" s="48" t="s">
        <v>21</v>
      </c>
      <c r="J351" s="48"/>
      <c r="K351" s="49"/>
      <c r="L351" s="50">
        <v>0</v>
      </c>
      <c r="M351" s="53">
        <v>0</v>
      </c>
      <c r="N351" s="53">
        <f t="shared" si="80"/>
        <v>0</v>
      </c>
    </row>
    <row r="352" spans="1:14" ht="21.75" customHeight="1" x14ac:dyDescent="0.4">
      <c r="A352" s="42"/>
      <c r="B352" s="43"/>
      <c r="C352" s="43"/>
      <c r="D352" s="51"/>
      <c r="E352" s="45"/>
      <c r="F352" s="45" t="s">
        <v>21</v>
      </c>
      <c r="G352" s="46" t="s">
        <v>22</v>
      </c>
      <c r="H352" s="47" t="s">
        <v>20</v>
      </c>
      <c r="I352" s="48"/>
      <c r="J352" s="48"/>
      <c r="K352" s="49"/>
      <c r="L352" s="50">
        <f t="shared" ref="L352:M352" ca="1" si="81">SUM(L353:L354)</f>
        <v>536539</v>
      </c>
      <c r="M352" s="53">
        <f t="shared" si="81"/>
        <v>29505.58</v>
      </c>
      <c r="N352" s="53">
        <f t="shared" ca="1" si="80"/>
        <v>5.4992423663517469</v>
      </c>
    </row>
    <row r="353" spans="1:14" ht="21.75" customHeight="1" x14ac:dyDescent="0.4">
      <c r="A353" s="42"/>
      <c r="B353" s="43"/>
      <c r="C353" s="43"/>
      <c r="D353" s="51"/>
      <c r="E353" s="45"/>
      <c r="F353" s="45"/>
      <c r="G353" s="52" t="s">
        <v>110</v>
      </c>
      <c r="H353" s="47" t="s">
        <v>20</v>
      </c>
      <c r="I353" s="48"/>
      <c r="J353" s="48"/>
      <c r="K353" s="49"/>
      <c r="L353" s="53">
        <f ca="1">IFERROR(__xludf.DUMMYFUNCTION("IMPORTRANGE(""https://docs.google.com/spreadsheets/d/1C3CXT74ZlgGe6_JY_1olB1XN4rF0dxEuIIF-xsYjHgg/edit?usp=sharing"",""งบกองทุน!Bc22"")"),0)</f>
        <v>0</v>
      </c>
      <c r="M353" s="53">
        <v>0</v>
      </c>
      <c r="N353" s="53">
        <f t="shared" ca="1" si="80"/>
        <v>0</v>
      </c>
    </row>
    <row r="354" spans="1:14" ht="21.75" customHeight="1" x14ac:dyDescent="0.4">
      <c r="A354" s="42"/>
      <c r="B354" s="43"/>
      <c r="C354" s="43"/>
      <c r="D354" s="51"/>
      <c r="E354" s="45"/>
      <c r="F354" s="45"/>
      <c r="G354" s="52" t="s">
        <v>111</v>
      </c>
      <c r="H354" s="47" t="s">
        <v>20</v>
      </c>
      <c r="I354" s="48"/>
      <c r="J354" s="48"/>
      <c r="K354" s="49"/>
      <c r="L354" s="53">
        <f ca="1">IFERROR(__xludf.DUMMYFUNCTION("IMPORTRANGE(""https://docs.google.com/spreadsheets/d/1C3CXT74ZlgGe6_JY_1olB1XN4rF0dxEuIIF-xsYjHgg/edit?usp=sharing"",""งบกองทุน!Bd22"")"),536539)</f>
        <v>536539</v>
      </c>
      <c r="M354" s="53">
        <f>SUM(M355:M358)</f>
        <v>29505.58</v>
      </c>
      <c r="N354" s="53">
        <f t="shared" ca="1" si="80"/>
        <v>5.4992423663517469</v>
      </c>
    </row>
    <row r="355" spans="1:14" ht="21.75" customHeight="1" x14ac:dyDescent="0.4">
      <c r="A355" s="230"/>
      <c r="B355" s="231"/>
      <c r="C355" s="43"/>
      <c r="D355" s="232"/>
      <c r="E355" s="45"/>
      <c r="F355" s="45"/>
      <c r="G355" s="46" t="s">
        <v>112</v>
      </c>
      <c r="H355" s="47" t="s">
        <v>20</v>
      </c>
      <c r="I355" s="67"/>
      <c r="J355" s="67"/>
      <c r="K355" s="233"/>
      <c r="L355" s="53"/>
      <c r="M355" s="53">
        <v>0</v>
      </c>
      <c r="N355" s="53"/>
    </row>
    <row r="356" spans="1:14" ht="21.75" customHeight="1" x14ac:dyDescent="0.4">
      <c r="A356" s="230"/>
      <c r="B356" s="231"/>
      <c r="C356" s="43"/>
      <c r="D356" s="232"/>
      <c r="E356" s="45"/>
      <c r="F356" s="45"/>
      <c r="G356" s="46" t="s">
        <v>113</v>
      </c>
      <c r="H356" s="47" t="s">
        <v>20</v>
      </c>
      <c r="I356" s="67"/>
      <c r="J356" s="67"/>
      <c r="K356" s="233"/>
      <c r="L356" s="53"/>
      <c r="M356" s="53">
        <v>0</v>
      </c>
      <c r="N356" s="53"/>
    </row>
    <row r="357" spans="1:14" ht="21.75" customHeight="1" x14ac:dyDescent="0.4">
      <c r="A357" s="230"/>
      <c r="B357" s="231"/>
      <c r="C357" s="43"/>
      <c r="D357" s="232"/>
      <c r="E357" s="45"/>
      <c r="F357" s="45"/>
      <c r="G357" s="46" t="s">
        <v>114</v>
      </c>
      <c r="H357" s="47" t="s">
        <v>20</v>
      </c>
      <c r="I357" s="67"/>
      <c r="J357" s="67"/>
      <c r="K357" s="233"/>
      <c r="L357" s="53"/>
      <c r="M357" s="54">
        <v>20225.580000000002</v>
      </c>
      <c r="N357" s="53"/>
    </row>
    <row r="358" spans="1:14" ht="21.75" customHeight="1" x14ac:dyDescent="0.4">
      <c r="A358" s="230"/>
      <c r="B358" s="231"/>
      <c r="C358" s="43"/>
      <c r="D358" s="232"/>
      <c r="E358" s="45"/>
      <c r="F358" s="45"/>
      <c r="G358" s="46" t="s">
        <v>115</v>
      </c>
      <c r="H358" s="47" t="s">
        <v>20</v>
      </c>
      <c r="I358" s="67"/>
      <c r="J358" s="67"/>
      <c r="K358" s="233"/>
      <c r="L358" s="53"/>
      <c r="M358" s="54">
        <v>9280</v>
      </c>
      <c r="N358" s="53"/>
    </row>
    <row r="359" spans="1:14" ht="21.75" customHeight="1" x14ac:dyDescent="0.4">
      <c r="A359" s="55"/>
      <c r="B359" s="56"/>
      <c r="C359" s="261" t="s">
        <v>147</v>
      </c>
      <c r="D359" s="261"/>
      <c r="E359" s="262"/>
      <c r="F359" s="262"/>
      <c r="G359" s="263"/>
      <c r="H359" s="136" t="s">
        <v>103</v>
      </c>
      <c r="I359" s="137">
        <f ca="1">IFERROR(__xludf.DUMMYFUNCTION("IMPORTRANGE(""https://docs.google.com/spreadsheets/d/1C3CXT74ZlgGe6_JY_1olB1XN4rF0dxEuIIF-xsYjHgg/edit?usp=sharing"",""งบกองทุน!BE22"")"),18110)</f>
        <v>18110</v>
      </c>
      <c r="J359" s="137">
        <f>+J376</f>
        <v>0</v>
      </c>
      <c r="K359" s="138">
        <f t="shared" ref="K359:K422" ca="1" si="82">IF(I359&gt;0,J359*100/I359,0)</f>
        <v>0</v>
      </c>
      <c r="L359" s="140"/>
      <c r="M359" s="140"/>
      <c r="N359" s="140"/>
    </row>
    <row r="360" spans="1:14" ht="21.75" customHeight="1" x14ac:dyDescent="0.4">
      <c r="A360" s="249"/>
      <c r="B360" s="250"/>
      <c r="C360" s="250"/>
      <c r="D360" s="251"/>
      <c r="E360" s="73" t="s">
        <v>148</v>
      </c>
      <c r="F360" s="75"/>
      <c r="G360" s="76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IFERROR(__xludf.DUMMYFUNCTION("IMPORTRANGE(""https://docs.google.com/spreadsheets/d/1C3CXT74ZlgGe6_JY_1olB1XN4rF0dxEuIIF-xsYjHgg/edit?usp=sharing"",""งบกองทุน!BE22"")"),18110)</f>
        <v>18110</v>
      </c>
      <c r="J360" s="265">
        <f t="shared" ref="J360:J361" si="83">+J362+J364+J366</f>
        <v>0</v>
      </c>
      <c r="K360" s="80">
        <f t="shared" ca="1" si="82"/>
        <v>0</v>
      </c>
      <c r="L360" s="61"/>
      <c r="M360" s="61"/>
      <c r="N360" s="61"/>
    </row>
    <row r="361" spans="1:14" ht="21.75" customHeight="1" x14ac:dyDescent="0.4">
      <c r="A361" s="249"/>
      <c r="B361" s="250"/>
      <c r="C361" s="250"/>
      <c r="D361" s="251"/>
      <c r="E361" s="75"/>
      <c r="F361" s="75"/>
      <c r="G361" s="76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IFERROR(__xludf.DUMMYFUNCTION("IMPORTRANGE(""https://docs.google.com/spreadsheets/d/1C3CXT74ZlgGe6_JY_1olB1XN4rF0dxEuIIF-xsYjHgg/edit?usp=sharing"",""งบกองทุน!Bf22"")"),4394)</f>
        <v>4394</v>
      </c>
      <c r="J361" s="265">
        <f t="shared" si="83"/>
        <v>0</v>
      </c>
      <c r="K361" s="80">
        <f t="shared" ca="1" si="82"/>
        <v>0</v>
      </c>
      <c r="L361" s="61"/>
      <c r="M361" s="61"/>
      <c r="N361" s="61"/>
    </row>
    <row r="362" spans="1:14" ht="21.75" customHeight="1" x14ac:dyDescent="0.4">
      <c r="A362" s="249"/>
      <c r="B362" s="250"/>
      <c r="C362" s="250"/>
      <c r="D362" s="251"/>
      <c r="E362" s="75"/>
      <c r="F362" s="242" t="s">
        <v>149</v>
      </c>
      <c r="G362" s="266"/>
      <c r="H362" s="267" t="s">
        <v>103</v>
      </c>
      <c r="I362" s="48">
        <v>0</v>
      </c>
      <c r="J362" s="68">
        <v>0</v>
      </c>
      <c r="K362" s="49">
        <f t="shared" si="82"/>
        <v>0</v>
      </c>
      <c r="L362" s="61"/>
      <c r="M362" s="61"/>
      <c r="N362" s="61"/>
    </row>
    <row r="363" spans="1:14" ht="21.75" customHeight="1" x14ac:dyDescent="0.4">
      <c r="A363" s="249"/>
      <c r="B363" s="250"/>
      <c r="C363" s="250"/>
      <c r="D363" s="251"/>
      <c r="E363" s="75"/>
      <c r="F363" s="75"/>
      <c r="G363" s="266"/>
      <c r="H363" s="267" t="s">
        <v>15</v>
      </c>
      <c r="I363" s="48">
        <v>0</v>
      </c>
      <c r="J363" s="68">
        <v>0</v>
      </c>
      <c r="K363" s="49">
        <f t="shared" si="82"/>
        <v>0</v>
      </c>
      <c r="L363" s="61"/>
      <c r="M363" s="61"/>
      <c r="N363" s="61"/>
    </row>
    <row r="364" spans="1:14" ht="21.75" customHeight="1" x14ac:dyDescent="0.4">
      <c r="A364" s="249"/>
      <c r="B364" s="250"/>
      <c r="C364" s="250"/>
      <c r="D364" s="251"/>
      <c r="E364" s="75"/>
      <c r="F364" s="242" t="s">
        <v>150</v>
      </c>
      <c r="G364" s="266"/>
      <c r="H364" s="267" t="s">
        <v>103</v>
      </c>
      <c r="I364" s="48">
        <v>0</v>
      </c>
      <c r="J364" s="68">
        <v>0</v>
      </c>
      <c r="K364" s="49">
        <f t="shared" si="82"/>
        <v>0</v>
      </c>
      <c r="L364" s="61"/>
      <c r="M364" s="61"/>
      <c r="N364" s="61"/>
    </row>
    <row r="365" spans="1:14" ht="21.75" customHeight="1" x14ac:dyDescent="0.4">
      <c r="A365" s="249"/>
      <c r="B365" s="250"/>
      <c r="C365" s="250"/>
      <c r="D365" s="251"/>
      <c r="E365" s="75"/>
      <c r="F365" s="75"/>
      <c r="G365" s="266"/>
      <c r="H365" s="267" t="s">
        <v>15</v>
      </c>
      <c r="I365" s="48">
        <v>0</v>
      </c>
      <c r="J365" s="68">
        <v>0</v>
      </c>
      <c r="K365" s="49">
        <f t="shared" si="82"/>
        <v>0</v>
      </c>
      <c r="L365" s="61"/>
      <c r="M365" s="61"/>
      <c r="N365" s="61"/>
    </row>
    <row r="366" spans="1:14" ht="21.75" customHeight="1" x14ac:dyDescent="0.4">
      <c r="A366" s="249"/>
      <c r="B366" s="250"/>
      <c r="C366" s="250"/>
      <c r="D366" s="251"/>
      <c r="E366" s="75"/>
      <c r="F366" s="242" t="s">
        <v>151</v>
      </c>
      <c r="G366" s="266"/>
      <c r="H366" s="267" t="s">
        <v>103</v>
      </c>
      <c r="I366" s="48">
        <v>0</v>
      </c>
      <c r="J366" s="68">
        <v>0</v>
      </c>
      <c r="K366" s="49">
        <f t="shared" si="82"/>
        <v>0</v>
      </c>
      <c r="L366" s="61"/>
      <c r="M366" s="61"/>
      <c r="N366" s="61"/>
    </row>
    <row r="367" spans="1:14" ht="21.75" customHeight="1" x14ac:dyDescent="0.4">
      <c r="A367" s="249"/>
      <c r="B367" s="250"/>
      <c r="C367" s="250"/>
      <c r="D367" s="251"/>
      <c r="E367" s="75"/>
      <c r="F367" s="75"/>
      <c r="G367" s="75"/>
      <c r="H367" s="267" t="s">
        <v>15</v>
      </c>
      <c r="I367" s="48">
        <v>0</v>
      </c>
      <c r="J367" s="68">
        <v>0</v>
      </c>
      <c r="K367" s="49">
        <f t="shared" si="82"/>
        <v>0</v>
      </c>
      <c r="L367" s="61"/>
      <c r="M367" s="61"/>
      <c r="N367" s="61"/>
    </row>
    <row r="368" spans="1:14" ht="21.75" customHeight="1" x14ac:dyDescent="0.4">
      <c r="A368" s="249"/>
      <c r="B368" s="250"/>
      <c r="C368" s="250"/>
      <c r="D368" s="251"/>
      <c r="E368" s="155" t="s">
        <v>152</v>
      </c>
      <c r="F368" s="75"/>
      <c r="G368" s="76"/>
      <c r="H368" s="264" t="s">
        <v>103</v>
      </c>
      <c r="I368" s="265">
        <f ca="1">+I359</f>
        <v>18110</v>
      </c>
      <c r="J368" s="265">
        <f t="shared" ref="J368:J369" si="84">+J370+J372+J374</f>
        <v>0</v>
      </c>
      <c r="K368" s="80">
        <f t="shared" ca="1" si="82"/>
        <v>0</v>
      </c>
      <c r="L368" s="61"/>
      <c r="M368" s="61"/>
      <c r="N368" s="61"/>
    </row>
    <row r="369" spans="1:14" ht="21.75" customHeight="1" x14ac:dyDescent="0.4">
      <c r="A369" s="249"/>
      <c r="B369" s="250"/>
      <c r="C369" s="250"/>
      <c r="D369" s="251"/>
      <c r="E369" s="75"/>
      <c r="F369" s="75"/>
      <c r="G369" s="76"/>
      <c r="H369" s="264" t="s">
        <v>15</v>
      </c>
      <c r="I369" s="265">
        <f ca="1">I361</f>
        <v>4394</v>
      </c>
      <c r="J369" s="265">
        <f t="shared" si="84"/>
        <v>0</v>
      </c>
      <c r="K369" s="49">
        <f t="shared" ca="1" si="82"/>
        <v>0</v>
      </c>
      <c r="L369" s="61"/>
      <c r="M369" s="61"/>
      <c r="N369" s="61"/>
    </row>
    <row r="370" spans="1:14" ht="21.75" customHeight="1" x14ac:dyDescent="0.4">
      <c r="A370" s="249"/>
      <c r="B370" s="250"/>
      <c r="C370" s="250"/>
      <c r="D370" s="251"/>
      <c r="E370" s="75"/>
      <c r="F370" s="74" t="s">
        <v>153</v>
      </c>
      <c r="G370" s="266"/>
      <c r="H370" s="267" t="s">
        <v>103</v>
      </c>
      <c r="I370" s="48">
        <v>0</v>
      </c>
      <c r="J370" s="68">
        <v>0</v>
      </c>
      <c r="K370" s="49">
        <f t="shared" si="82"/>
        <v>0</v>
      </c>
      <c r="L370" s="61"/>
      <c r="M370" s="61"/>
      <c r="N370" s="61"/>
    </row>
    <row r="371" spans="1:14" ht="21.75" customHeight="1" x14ac:dyDescent="0.4">
      <c r="A371" s="249"/>
      <c r="B371" s="250"/>
      <c r="C371" s="250"/>
      <c r="D371" s="251"/>
      <c r="E371" s="75"/>
      <c r="F371" s="75"/>
      <c r="G371" s="266"/>
      <c r="H371" s="267" t="s">
        <v>15</v>
      </c>
      <c r="I371" s="48">
        <v>0</v>
      </c>
      <c r="J371" s="68">
        <v>0</v>
      </c>
      <c r="K371" s="49">
        <f t="shared" si="82"/>
        <v>0</v>
      </c>
      <c r="L371" s="61"/>
      <c r="M371" s="61"/>
      <c r="N371" s="61"/>
    </row>
    <row r="372" spans="1:14" ht="21.75" customHeight="1" x14ac:dyDescent="0.4">
      <c r="A372" s="249"/>
      <c r="B372" s="250"/>
      <c r="C372" s="250"/>
      <c r="D372" s="251"/>
      <c r="E372" s="75"/>
      <c r="F372" s="74" t="s">
        <v>154</v>
      </c>
      <c r="G372" s="266"/>
      <c r="H372" s="267" t="s">
        <v>103</v>
      </c>
      <c r="I372" s="48">
        <v>0</v>
      </c>
      <c r="J372" s="68">
        <v>0</v>
      </c>
      <c r="K372" s="49">
        <f t="shared" si="82"/>
        <v>0</v>
      </c>
      <c r="L372" s="61"/>
      <c r="M372" s="61"/>
      <c r="N372" s="61"/>
    </row>
    <row r="373" spans="1:14" ht="21.75" customHeight="1" x14ac:dyDescent="0.4">
      <c r="A373" s="249"/>
      <c r="B373" s="250"/>
      <c r="C373" s="250"/>
      <c r="D373" s="251"/>
      <c r="E373" s="75"/>
      <c r="F373" s="75"/>
      <c r="G373" s="266"/>
      <c r="H373" s="267" t="s">
        <v>15</v>
      </c>
      <c r="I373" s="48">
        <v>0</v>
      </c>
      <c r="J373" s="68">
        <v>0</v>
      </c>
      <c r="K373" s="49">
        <f t="shared" si="82"/>
        <v>0</v>
      </c>
      <c r="L373" s="61"/>
      <c r="M373" s="61"/>
      <c r="N373" s="61"/>
    </row>
    <row r="374" spans="1:14" ht="21.75" customHeight="1" x14ac:dyDescent="0.4">
      <c r="A374" s="249"/>
      <c r="B374" s="250"/>
      <c r="C374" s="250"/>
      <c r="D374" s="251"/>
      <c r="E374" s="75"/>
      <c r="F374" s="74" t="s">
        <v>155</v>
      </c>
      <c r="G374" s="266"/>
      <c r="H374" s="267" t="s">
        <v>103</v>
      </c>
      <c r="I374" s="48">
        <v>0</v>
      </c>
      <c r="J374" s="68">
        <v>0</v>
      </c>
      <c r="K374" s="49">
        <f t="shared" si="82"/>
        <v>0</v>
      </c>
      <c r="L374" s="61"/>
      <c r="M374" s="61"/>
      <c r="N374" s="61"/>
    </row>
    <row r="375" spans="1:14" ht="21.75" customHeight="1" x14ac:dyDescent="0.4">
      <c r="A375" s="249"/>
      <c r="B375" s="250"/>
      <c r="C375" s="250"/>
      <c r="D375" s="251"/>
      <c r="E375" s="75"/>
      <c r="F375" s="75"/>
      <c r="G375" s="76"/>
      <c r="H375" s="267" t="s">
        <v>15</v>
      </c>
      <c r="I375" s="48">
        <v>0</v>
      </c>
      <c r="J375" s="68">
        <v>0</v>
      </c>
      <c r="K375" s="49">
        <f t="shared" si="82"/>
        <v>0</v>
      </c>
      <c r="L375" s="61"/>
      <c r="M375" s="61"/>
      <c r="N375" s="61"/>
    </row>
    <row r="376" spans="1:14" ht="21.75" customHeight="1" x14ac:dyDescent="0.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18110</v>
      </c>
      <c r="J376" s="265">
        <f t="shared" ref="J376:J377" si="85">+J378+J380+J382+J388</f>
        <v>0</v>
      </c>
      <c r="K376" s="80">
        <f t="shared" ca="1" si="82"/>
        <v>0</v>
      </c>
      <c r="L376" s="275"/>
      <c r="M376" s="275"/>
      <c r="N376" s="275"/>
    </row>
    <row r="377" spans="1:14" ht="21.75" customHeight="1" x14ac:dyDescent="0.4">
      <c r="A377" s="249"/>
      <c r="B377" s="250"/>
      <c r="C377" s="250"/>
      <c r="D377" s="251"/>
      <c r="E377" s="75"/>
      <c r="F377" s="75"/>
      <c r="G377" s="76"/>
      <c r="H377" s="264" t="s">
        <v>15</v>
      </c>
      <c r="I377" s="265">
        <f ca="1">I361</f>
        <v>4394</v>
      </c>
      <c r="J377" s="265">
        <f t="shared" si="85"/>
        <v>0</v>
      </c>
      <c r="K377" s="49">
        <f t="shared" ca="1" si="82"/>
        <v>0</v>
      </c>
      <c r="L377" s="61"/>
      <c r="M377" s="61"/>
      <c r="N377" s="61"/>
    </row>
    <row r="378" spans="1:14" ht="21.75" customHeight="1" x14ac:dyDescent="0.4">
      <c r="A378" s="249"/>
      <c r="B378" s="250"/>
      <c r="C378" s="250"/>
      <c r="D378" s="251"/>
      <c r="E378" s="75"/>
      <c r="F378" s="74" t="s">
        <v>157</v>
      </c>
      <c r="G378" s="266"/>
      <c r="H378" s="267" t="s">
        <v>103</v>
      </c>
      <c r="I378" s="48">
        <v>0</v>
      </c>
      <c r="J378" s="68">
        <v>0</v>
      </c>
      <c r="K378" s="49">
        <f t="shared" si="82"/>
        <v>0</v>
      </c>
      <c r="L378" s="61"/>
      <c r="M378" s="61"/>
      <c r="N378" s="61"/>
    </row>
    <row r="379" spans="1:14" ht="21.75" customHeight="1" x14ac:dyDescent="0.4">
      <c r="A379" s="249"/>
      <c r="B379" s="250"/>
      <c r="C379" s="250"/>
      <c r="D379" s="251"/>
      <c r="E379" s="75"/>
      <c r="F379" s="75"/>
      <c r="G379" s="266"/>
      <c r="H379" s="267" t="s">
        <v>15</v>
      </c>
      <c r="I379" s="48">
        <v>0</v>
      </c>
      <c r="J379" s="68">
        <v>0</v>
      </c>
      <c r="K379" s="49">
        <f t="shared" si="82"/>
        <v>0</v>
      </c>
      <c r="L379" s="61"/>
      <c r="M379" s="61"/>
      <c r="N379" s="61"/>
    </row>
    <row r="380" spans="1:14" ht="21.75" customHeight="1" x14ac:dyDescent="0.4">
      <c r="A380" s="249"/>
      <c r="B380" s="250"/>
      <c r="C380" s="250"/>
      <c r="D380" s="251"/>
      <c r="E380" s="75"/>
      <c r="F380" s="74" t="s">
        <v>158</v>
      </c>
      <c r="G380" s="266"/>
      <c r="H380" s="267" t="s">
        <v>103</v>
      </c>
      <c r="I380" s="48">
        <v>0</v>
      </c>
      <c r="J380" s="68">
        <v>0</v>
      </c>
      <c r="K380" s="49">
        <f t="shared" si="82"/>
        <v>0</v>
      </c>
      <c r="L380" s="61"/>
      <c r="M380" s="61"/>
      <c r="N380" s="61"/>
    </row>
    <row r="381" spans="1:14" ht="21.75" customHeight="1" x14ac:dyDescent="0.4">
      <c r="A381" s="249"/>
      <c r="B381" s="250"/>
      <c r="C381" s="250"/>
      <c r="D381" s="251"/>
      <c r="E381" s="75"/>
      <c r="F381" s="75"/>
      <c r="G381" s="266"/>
      <c r="H381" s="267" t="s">
        <v>15</v>
      </c>
      <c r="I381" s="48">
        <v>0</v>
      </c>
      <c r="J381" s="68">
        <v>0</v>
      </c>
      <c r="K381" s="49">
        <f t="shared" si="82"/>
        <v>0</v>
      </c>
      <c r="L381" s="61"/>
      <c r="M381" s="61"/>
      <c r="N381" s="61"/>
    </row>
    <row r="382" spans="1:14" ht="21.75" customHeight="1" x14ac:dyDescent="0.4">
      <c r="A382" s="249"/>
      <c r="B382" s="250"/>
      <c r="C382" s="250"/>
      <c r="D382" s="251"/>
      <c r="E382" s="75"/>
      <c r="F382" s="74" t="s">
        <v>159</v>
      </c>
      <c r="G382" s="266"/>
      <c r="H382" s="267" t="s">
        <v>103</v>
      </c>
      <c r="I382" s="48">
        <v>0</v>
      </c>
      <c r="J382" s="265">
        <f t="shared" ref="J382:J383" si="86">J384+J386</f>
        <v>0</v>
      </c>
      <c r="K382" s="49">
        <f t="shared" si="82"/>
        <v>0</v>
      </c>
      <c r="L382" s="61"/>
      <c r="M382" s="61"/>
      <c r="N382" s="61"/>
    </row>
    <row r="383" spans="1:14" ht="21.75" customHeight="1" x14ac:dyDescent="0.4">
      <c r="A383" s="249"/>
      <c r="B383" s="250"/>
      <c r="C383" s="250"/>
      <c r="D383" s="251"/>
      <c r="E383" s="75"/>
      <c r="F383" s="75"/>
      <c r="G383" s="75"/>
      <c r="H383" s="267" t="s">
        <v>15</v>
      </c>
      <c r="I383" s="48">
        <v>0</v>
      </c>
      <c r="J383" s="265">
        <f t="shared" si="86"/>
        <v>0</v>
      </c>
      <c r="K383" s="49">
        <f t="shared" si="82"/>
        <v>0</v>
      </c>
      <c r="L383" s="61"/>
      <c r="M383" s="61"/>
      <c r="N383" s="61"/>
    </row>
    <row r="384" spans="1:14" ht="21.75" customHeight="1" x14ac:dyDescent="0.4">
      <c r="A384" s="249"/>
      <c r="B384" s="250"/>
      <c r="C384" s="250"/>
      <c r="D384" s="251"/>
      <c r="E384" s="75"/>
      <c r="F384" s="75"/>
      <c r="G384" s="74" t="s">
        <v>160</v>
      </c>
      <c r="H384" s="267" t="s">
        <v>103</v>
      </c>
      <c r="I384" s="48">
        <v>0</v>
      </c>
      <c r="J384" s="68">
        <v>0</v>
      </c>
      <c r="K384" s="49">
        <f t="shared" si="82"/>
        <v>0</v>
      </c>
      <c r="L384" s="61"/>
      <c r="M384" s="61"/>
      <c r="N384" s="61"/>
    </row>
    <row r="385" spans="1:14" ht="21.75" customHeight="1" x14ac:dyDescent="0.4">
      <c r="A385" s="249"/>
      <c r="B385" s="250"/>
      <c r="C385" s="250"/>
      <c r="D385" s="251"/>
      <c r="E385" s="75"/>
      <c r="F385" s="75"/>
      <c r="G385" s="75"/>
      <c r="H385" s="267" t="s">
        <v>15</v>
      </c>
      <c r="I385" s="48">
        <v>0</v>
      </c>
      <c r="J385" s="68">
        <v>0</v>
      </c>
      <c r="K385" s="49">
        <f t="shared" si="82"/>
        <v>0</v>
      </c>
      <c r="L385" s="61"/>
      <c r="M385" s="61"/>
      <c r="N385" s="61"/>
    </row>
    <row r="386" spans="1:14" ht="21.75" customHeight="1" x14ac:dyDescent="0.4">
      <c r="A386" s="249"/>
      <c r="B386" s="250"/>
      <c r="C386" s="250"/>
      <c r="D386" s="251"/>
      <c r="E386" s="75"/>
      <c r="F386" s="75"/>
      <c r="G386" s="74" t="s">
        <v>161</v>
      </c>
      <c r="H386" s="267" t="s">
        <v>103</v>
      </c>
      <c r="I386" s="48">
        <v>0</v>
      </c>
      <c r="J386" s="68">
        <v>0</v>
      </c>
      <c r="K386" s="49">
        <f t="shared" si="82"/>
        <v>0</v>
      </c>
      <c r="L386" s="61"/>
      <c r="M386" s="61"/>
      <c r="N386" s="61"/>
    </row>
    <row r="387" spans="1:14" ht="21.75" customHeight="1" x14ac:dyDescent="0.4">
      <c r="A387" s="249"/>
      <c r="B387" s="250"/>
      <c r="C387" s="250"/>
      <c r="D387" s="251"/>
      <c r="E387" s="75"/>
      <c r="F387" s="75"/>
      <c r="G387" s="76"/>
      <c r="H387" s="267" t="s">
        <v>15</v>
      </c>
      <c r="I387" s="48">
        <v>0</v>
      </c>
      <c r="J387" s="68">
        <v>0</v>
      </c>
      <c r="K387" s="49">
        <f t="shared" si="82"/>
        <v>0</v>
      </c>
      <c r="L387" s="61"/>
      <c r="M387" s="61"/>
      <c r="N387" s="61"/>
    </row>
    <row r="388" spans="1:14" ht="21.75" customHeight="1" x14ac:dyDescent="0.4">
      <c r="A388" s="249"/>
      <c r="B388" s="250"/>
      <c r="C388" s="250"/>
      <c r="D388" s="251"/>
      <c r="E388" s="75"/>
      <c r="F388" s="74" t="s">
        <v>162</v>
      </c>
      <c r="G388" s="266"/>
      <c r="H388" s="267" t="s">
        <v>103</v>
      </c>
      <c r="I388" s="48">
        <v>0</v>
      </c>
      <c r="J388" s="68">
        <v>0</v>
      </c>
      <c r="K388" s="49">
        <f t="shared" si="82"/>
        <v>0</v>
      </c>
      <c r="L388" s="61"/>
      <c r="M388" s="61"/>
      <c r="N388" s="61"/>
    </row>
    <row r="389" spans="1:14" ht="21.75" customHeight="1" x14ac:dyDescent="0.4">
      <c r="A389" s="276"/>
      <c r="B389" s="277"/>
      <c r="C389" s="277"/>
      <c r="D389" s="278"/>
      <c r="E389" s="204"/>
      <c r="F389" s="204"/>
      <c r="G389" s="204"/>
      <c r="H389" s="279" t="s">
        <v>15</v>
      </c>
      <c r="I389" s="384">
        <v>0</v>
      </c>
      <c r="J389" s="68">
        <v>0</v>
      </c>
      <c r="K389" s="114">
        <f t="shared" si="82"/>
        <v>0</v>
      </c>
      <c r="L389" s="115"/>
      <c r="M389" s="115"/>
      <c r="N389" s="115"/>
    </row>
    <row r="390" spans="1:14" ht="21.75" customHeight="1" x14ac:dyDescent="0.4">
      <c r="A390" s="55"/>
      <c r="B390" s="56"/>
      <c r="C390" s="261" t="s">
        <v>163</v>
      </c>
      <c r="D390" s="261"/>
      <c r="E390" s="262"/>
      <c r="F390" s="262"/>
      <c r="G390" s="263"/>
      <c r="H390" s="136" t="s">
        <v>103</v>
      </c>
      <c r="I390" s="137">
        <f ca="1">IFERROR(__xludf.DUMMYFUNCTION("IMPORTRANGE(""https://docs.google.com/spreadsheets/d/1C3CXT74ZlgGe6_JY_1olB1XN4rF0dxEuIIF-xsYjHgg/edit?usp=sharing"",""งบกองทุน!cd22"")"),5581)</f>
        <v>5581</v>
      </c>
      <c r="J390" s="137">
        <f>J391</f>
        <v>0</v>
      </c>
      <c r="K390" s="138">
        <f t="shared" ca="1" si="82"/>
        <v>0</v>
      </c>
      <c r="L390" s="140"/>
      <c r="M390" s="140"/>
      <c r="N390" s="140"/>
    </row>
    <row r="391" spans="1:14" ht="21.75" customHeight="1" x14ac:dyDescent="0.4">
      <c r="A391" s="55"/>
      <c r="B391" s="56"/>
      <c r="C391" s="56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IFERROR(__xludf.DUMMYFUNCTION("IMPORTRANGE(""https://docs.google.com/spreadsheets/d/1C3CXT74ZlgGe6_JY_1olB1XN4rF0dxEuIIF-xsYjHgg/edit?usp=sharing"",""งบกองทุน!cd22"")"),5581)</f>
        <v>5581</v>
      </c>
      <c r="J391" s="265">
        <f t="shared" ref="J391:J392" si="87">J393+J401+J407</f>
        <v>0</v>
      </c>
      <c r="K391" s="49">
        <f t="shared" ca="1" si="82"/>
        <v>0</v>
      </c>
      <c r="L391" s="61"/>
      <c r="M391" s="61"/>
      <c r="N391" s="61"/>
    </row>
    <row r="392" spans="1:14" ht="21.75" customHeight="1" x14ac:dyDescent="0.4">
      <c r="A392" s="55"/>
      <c r="B392" s="56"/>
      <c r="C392" s="56"/>
      <c r="D392" s="73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IFERROR(__xludf.DUMMYFUNCTION("IMPORTRANGE(""https://docs.google.com/spreadsheets/d/1C3CXT74ZlgGe6_JY_1olB1XN4rF0dxEuIIF-xsYjHgg/edit?usp=sharing"",""งบกองทุน!cc22"")"),697)</f>
        <v>697</v>
      </c>
      <c r="J392" s="265">
        <f t="shared" si="87"/>
        <v>0</v>
      </c>
      <c r="K392" s="80">
        <f t="shared" ca="1" si="82"/>
        <v>0</v>
      </c>
      <c r="L392" s="61"/>
      <c r="M392" s="61"/>
      <c r="N392" s="61"/>
    </row>
    <row r="393" spans="1:14" ht="21.75" customHeight="1" x14ac:dyDescent="0.4">
      <c r="A393" s="55"/>
      <c r="B393" s="56"/>
      <c r="C393" s="56"/>
      <c r="D393" s="251"/>
      <c r="E393" s="251" t="s">
        <v>165</v>
      </c>
      <c r="F393" s="75"/>
      <c r="G393" s="76"/>
      <c r="H393" s="267" t="s">
        <v>103</v>
      </c>
      <c r="I393" s="48">
        <v>0</v>
      </c>
      <c r="J393" s="48">
        <f t="shared" ref="J393:J394" si="88">J395+J397+J399</f>
        <v>0</v>
      </c>
      <c r="K393" s="49">
        <f t="shared" si="82"/>
        <v>0</v>
      </c>
      <c r="L393" s="61"/>
      <c r="M393" s="61"/>
      <c r="N393" s="61"/>
    </row>
    <row r="394" spans="1:14" ht="21.75" customHeight="1" x14ac:dyDescent="0.4">
      <c r="A394" s="55"/>
      <c r="B394" s="56"/>
      <c r="C394" s="56"/>
      <c r="D394" s="73"/>
      <c r="E394" s="75"/>
      <c r="F394" s="75"/>
      <c r="G394" s="76"/>
      <c r="H394" s="267" t="s">
        <v>15</v>
      </c>
      <c r="I394" s="48">
        <v>0</v>
      </c>
      <c r="J394" s="48">
        <f t="shared" si="88"/>
        <v>0</v>
      </c>
      <c r="K394" s="49">
        <f t="shared" si="82"/>
        <v>0</v>
      </c>
      <c r="L394" s="61"/>
      <c r="M394" s="61"/>
      <c r="N394" s="61"/>
    </row>
    <row r="395" spans="1:14" ht="21.75" customHeight="1" x14ac:dyDescent="0.4">
      <c r="A395" s="55"/>
      <c r="B395" s="56"/>
      <c r="C395" s="56"/>
      <c r="D395" s="73"/>
      <c r="E395" s="75"/>
      <c r="F395" s="242" t="s">
        <v>166</v>
      </c>
      <c r="G395" s="266"/>
      <c r="H395" s="267" t="s">
        <v>103</v>
      </c>
      <c r="I395" s="48">
        <v>0</v>
      </c>
      <c r="J395" s="68">
        <v>0</v>
      </c>
      <c r="K395" s="49">
        <f t="shared" si="82"/>
        <v>0</v>
      </c>
      <c r="L395" s="61"/>
      <c r="M395" s="61"/>
      <c r="N395" s="61"/>
    </row>
    <row r="396" spans="1:14" ht="21.75" customHeight="1" x14ac:dyDescent="0.4">
      <c r="A396" s="55"/>
      <c r="B396" s="56"/>
      <c r="C396" s="56"/>
      <c r="D396" s="73"/>
      <c r="E396" s="75"/>
      <c r="F396" s="75"/>
      <c r="G396" s="266"/>
      <c r="H396" s="267" t="s">
        <v>15</v>
      </c>
      <c r="I396" s="48">
        <v>0</v>
      </c>
      <c r="J396" s="68">
        <v>0</v>
      </c>
      <c r="K396" s="49">
        <f t="shared" si="82"/>
        <v>0</v>
      </c>
      <c r="L396" s="61"/>
      <c r="M396" s="61"/>
      <c r="N396" s="61"/>
    </row>
    <row r="397" spans="1:14" ht="21.75" customHeight="1" x14ac:dyDescent="0.4">
      <c r="A397" s="55"/>
      <c r="B397" s="56"/>
      <c r="C397" s="56"/>
      <c r="D397" s="73"/>
      <c r="E397" s="75"/>
      <c r="F397" s="242" t="s">
        <v>167</v>
      </c>
      <c r="G397" s="266"/>
      <c r="H397" s="267" t="s">
        <v>103</v>
      </c>
      <c r="I397" s="48">
        <v>0</v>
      </c>
      <c r="J397" s="68">
        <v>0</v>
      </c>
      <c r="K397" s="49">
        <f t="shared" si="82"/>
        <v>0</v>
      </c>
      <c r="L397" s="61"/>
      <c r="M397" s="61"/>
      <c r="N397" s="61"/>
    </row>
    <row r="398" spans="1:14" ht="21.75" customHeight="1" x14ac:dyDescent="0.4">
      <c r="A398" s="55"/>
      <c r="B398" s="56"/>
      <c r="C398" s="56"/>
      <c r="D398" s="73"/>
      <c r="E398" s="75"/>
      <c r="F398" s="75"/>
      <c r="G398" s="266"/>
      <c r="H398" s="267" t="s">
        <v>15</v>
      </c>
      <c r="I398" s="48">
        <v>0</v>
      </c>
      <c r="J398" s="68">
        <v>0</v>
      </c>
      <c r="K398" s="49">
        <f t="shared" si="82"/>
        <v>0</v>
      </c>
      <c r="L398" s="61"/>
      <c r="M398" s="61"/>
      <c r="N398" s="61"/>
    </row>
    <row r="399" spans="1:14" ht="21.75" customHeight="1" x14ac:dyDescent="0.4">
      <c r="A399" s="55"/>
      <c r="B399" s="56"/>
      <c r="C399" s="56"/>
      <c r="D399" s="73"/>
      <c r="E399" s="75"/>
      <c r="F399" s="242" t="s">
        <v>168</v>
      </c>
      <c r="G399" s="266"/>
      <c r="H399" s="267" t="s">
        <v>103</v>
      </c>
      <c r="I399" s="48">
        <v>0</v>
      </c>
      <c r="J399" s="68">
        <v>0</v>
      </c>
      <c r="K399" s="49">
        <f t="shared" si="82"/>
        <v>0</v>
      </c>
      <c r="L399" s="61"/>
      <c r="M399" s="61"/>
      <c r="N399" s="61"/>
    </row>
    <row r="400" spans="1:14" ht="21.75" customHeight="1" x14ac:dyDescent="0.4">
      <c r="A400" s="55"/>
      <c r="B400" s="56"/>
      <c r="C400" s="56"/>
      <c r="D400" s="73"/>
      <c r="E400" s="75"/>
      <c r="F400" s="75"/>
      <c r="G400" s="75"/>
      <c r="H400" s="267" t="s">
        <v>15</v>
      </c>
      <c r="I400" s="48">
        <v>0</v>
      </c>
      <c r="J400" s="68">
        <v>0</v>
      </c>
      <c r="K400" s="49">
        <f t="shared" si="82"/>
        <v>0</v>
      </c>
      <c r="L400" s="61"/>
      <c r="M400" s="61"/>
      <c r="N400" s="61"/>
    </row>
    <row r="401" spans="1:14" ht="21.75" customHeight="1" x14ac:dyDescent="0.4">
      <c r="A401" s="55"/>
      <c r="B401" s="56"/>
      <c r="C401" s="56"/>
      <c r="D401" s="73"/>
      <c r="E401" s="74" t="s">
        <v>169</v>
      </c>
      <c r="F401" s="75"/>
      <c r="G401" s="266"/>
      <c r="H401" s="267" t="s">
        <v>103</v>
      </c>
      <c r="I401" s="48">
        <v>0</v>
      </c>
      <c r="J401" s="48">
        <f t="shared" ref="J401:J402" si="89">+J403+J405</f>
        <v>0</v>
      </c>
      <c r="K401" s="49">
        <f t="shared" si="82"/>
        <v>0</v>
      </c>
      <c r="L401" s="61"/>
      <c r="M401" s="61"/>
      <c r="N401" s="61"/>
    </row>
    <row r="402" spans="1:14" ht="21.75" customHeight="1" x14ac:dyDescent="0.4">
      <c r="A402" s="55"/>
      <c r="B402" s="56"/>
      <c r="C402" s="56"/>
      <c r="D402" s="73"/>
      <c r="E402" s="75"/>
      <c r="F402" s="75"/>
      <c r="G402" s="75"/>
      <c r="H402" s="267" t="s">
        <v>15</v>
      </c>
      <c r="I402" s="48">
        <v>0</v>
      </c>
      <c r="J402" s="48">
        <f t="shared" si="89"/>
        <v>0</v>
      </c>
      <c r="K402" s="49">
        <f t="shared" si="82"/>
        <v>0</v>
      </c>
      <c r="L402" s="61"/>
      <c r="M402" s="61"/>
      <c r="N402" s="61"/>
    </row>
    <row r="403" spans="1:14" ht="21.75" customHeight="1" x14ac:dyDescent="0.4">
      <c r="A403" s="55"/>
      <c r="B403" s="56"/>
      <c r="C403" s="56"/>
      <c r="D403" s="73"/>
      <c r="E403" s="75"/>
      <c r="F403" s="74" t="s">
        <v>170</v>
      </c>
      <c r="G403" s="75"/>
      <c r="H403" s="267" t="s">
        <v>103</v>
      </c>
      <c r="I403" s="48">
        <v>0</v>
      </c>
      <c r="J403" s="68">
        <v>0</v>
      </c>
      <c r="K403" s="49">
        <f t="shared" si="82"/>
        <v>0</v>
      </c>
      <c r="L403" s="61"/>
      <c r="M403" s="61"/>
      <c r="N403" s="61"/>
    </row>
    <row r="404" spans="1:14" ht="21.75" customHeight="1" x14ac:dyDescent="0.4">
      <c r="A404" s="55"/>
      <c r="B404" s="56"/>
      <c r="C404" s="56"/>
      <c r="D404" s="73"/>
      <c r="E404" s="75"/>
      <c r="F404" s="75"/>
      <c r="G404" s="75"/>
      <c r="H404" s="267" t="s">
        <v>15</v>
      </c>
      <c r="I404" s="48">
        <v>0</v>
      </c>
      <c r="J404" s="68">
        <v>0</v>
      </c>
      <c r="K404" s="49">
        <f t="shared" si="82"/>
        <v>0</v>
      </c>
      <c r="L404" s="61"/>
      <c r="M404" s="61"/>
      <c r="N404" s="61"/>
    </row>
    <row r="405" spans="1:14" ht="21.75" customHeight="1" x14ac:dyDescent="0.4">
      <c r="A405" s="55"/>
      <c r="B405" s="56"/>
      <c r="C405" s="56"/>
      <c r="D405" s="73"/>
      <c r="E405" s="75"/>
      <c r="F405" s="74" t="s">
        <v>171</v>
      </c>
      <c r="G405" s="75"/>
      <c r="H405" s="267" t="s">
        <v>103</v>
      </c>
      <c r="I405" s="48">
        <v>0</v>
      </c>
      <c r="J405" s="68">
        <v>0</v>
      </c>
      <c r="K405" s="49">
        <f t="shared" si="82"/>
        <v>0</v>
      </c>
      <c r="L405" s="61"/>
      <c r="M405" s="61"/>
      <c r="N405" s="61"/>
    </row>
    <row r="406" spans="1:14" ht="21.75" customHeight="1" x14ac:dyDescent="0.4">
      <c r="A406" s="55"/>
      <c r="B406" s="56"/>
      <c r="C406" s="56"/>
      <c r="D406" s="73"/>
      <c r="E406" s="75"/>
      <c r="F406" s="75"/>
      <c r="G406" s="76"/>
      <c r="H406" s="267" t="s">
        <v>15</v>
      </c>
      <c r="I406" s="48">
        <v>0</v>
      </c>
      <c r="J406" s="68">
        <v>0</v>
      </c>
      <c r="K406" s="49">
        <f t="shared" si="82"/>
        <v>0</v>
      </c>
      <c r="L406" s="61"/>
      <c r="M406" s="61"/>
      <c r="N406" s="61"/>
    </row>
    <row r="407" spans="1:14" ht="21.75" customHeight="1" x14ac:dyDescent="0.4">
      <c r="A407" s="55"/>
      <c r="B407" s="56"/>
      <c r="C407" s="56"/>
      <c r="D407" s="251"/>
      <c r="E407" s="251" t="s">
        <v>225</v>
      </c>
      <c r="F407" s="75"/>
      <c r="G407" s="76"/>
      <c r="H407" s="267" t="s">
        <v>103</v>
      </c>
      <c r="I407" s="48">
        <v>0</v>
      </c>
      <c r="J407" s="68">
        <v>0</v>
      </c>
      <c r="K407" s="49">
        <f t="shared" si="82"/>
        <v>0</v>
      </c>
      <c r="L407" s="61"/>
      <c r="M407" s="61"/>
      <c r="N407" s="61"/>
    </row>
    <row r="408" spans="1:14" ht="21.75" customHeight="1" x14ac:dyDescent="0.4">
      <c r="A408" s="55"/>
      <c r="B408" s="56"/>
      <c r="C408" s="56"/>
      <c r="D408" s="73"/>
      <c r="E408" s="75"/>
      <c r="F408" s="75"/>
      <c r="G408" s="76"/>
      <c r="H408" s="267" t="s">
        <v>15</v>
      </c>
      <c r="I408" s="48">
        <v>0</v>
      </c>
      <c r="J408" s="68">
        <v>0</v>
      </c>
      <c r="K408" s="49">
        <f t="shared" si="82"/>
        <v>0</v>
      </c>
      <c r="L408" s="61"/>
      <c r="M408" s="61"/>
      <c r="N408" s="61"/>
    </row>
    <row r="409" spans="1:14" ht="21.75" customHeight="1" x14ac:dyDescent="0.4">
      <c r="A409" s="55"/>
      <c r="B409" s="56"/>
      <c r="C409" s="261" t="s">
        <v>173</v>
      </c>
      <c r="D409" s="261"/>
      <c r="E409" s="285"/>
      <c r="F409" s="285"/>
      <c r="G409" s="286"/>
      <c r="H409" s="287" t="s">
        <v>103</v>
      </c>
      <c r="I409" s="137">
        <f ca="1">IFERROR(__xludf.DUMMYFUNCTION("IMPORTRANGE(""https://docs.google.com/spreadsheets/d/1C3CXT74ZlgGe6_JY_1olB1XN4rF0dxEuIIF-xsYjHgg/edit?usp=sharing"",""งบกองทุน!cz22"")"),0)</f>
        <v>0</v>
      </c>
      <c r="J409" s="137">
        <f ca="1">SUM(J412,J414)</f>
        <v>0</v>
      </c>
      <c r="K409" s="138">
        <f t="shared" ca="1" si="82"/>
        <v>0</v>
      </c>
      <c r="L409" s="61"/>
      <c r="M409" s="61"/>
      <c r="N409" s="61"/>
    </row>
    <row r="410" spans="1:14" ht="21.75" customHeight="1" x14ac:dyDescent="0.4">
      <c r="A410" s="55"/>
      <c r="B410" s="56"/>
      <c r="C410" s="288"/>
      <c r="D410" s="288"/>
      <c r="E410" s="288" t="s">
        <v>174</v>
      </c>
      <c r="F410" s="289"/>
      <c r="G410" s="290"/>
      <c r="H410" s="291" t="s">
        <v>103</v>
      </c>
      <c r="I410" s="150">
        <f ca="1">IFERROR(__xludf.DUMMYFUNCTION("IMPORTRANGE(""https://docs.google.com/spreadsheets/d/1C3CXT74ZlgGe6_JY_1olB1XN4rF0dxEuIIF-xsYjHgg/edit?usp=sharing"",""งบกองทุน!cz22"")"),0)</f>
        <v>0</v>
      </c>
      <c r="J410" s="150">
        <f t="shared" ref="J410:J411" ca="1" si="90">SUM(J412,J414)</f>
        <v>0</v>
      </c>
      <c r="K410" s="147">
        <f t="shared" ca="1" si="82"/>
        <v>0</v>
      </c>
      <c r="L410" s="61"/>
      <c r="M410" s="61"/>
      <c r="N410" s="61"/>
    </row>
    <row r="411" spans="1:14" ht="21.75" customHeight="1" x14ac:dyDescent="0.4">
      <c r="A411" s="55"/>
      <c r="B411" s="56"/>
      <c r="C411" s="288"/>
      <c r="D411" s="288"/>
      <c r="E411" s="288" t="s">
        <v>175</v>
      </c>
      <c r="F411" s="289"/>
      <c r="G411" s="290"/>
      <c r="H411" s="291" t="s">
        <v>15</v>
      </c>
      <c r="I411" s="150">
        <f ca="1">IFERROR(__xludf.DUMMYFUNCTION("IMPORTRANGE(""https://docs.google.com/spreadsheets/d/1C3CXT74ZlgGe6_JY_1olB1XN4rF0dxEuIIF-xsYjHgg/edit?usp=sharing"",""งบกองทุน!cy22"")"),0)</f>
        <v>0</v>
      </c>
      <c r="J411" s="150">
        <f t="shared" ca="1" si="90"/>
        <v>0</v>
      </c>
      <c r="K411" s="147">
        <f t="shared" ca="1" si="82"/>
        <v>0</v>
      </c>
      <c r="L411" s="61"/>
      <c r="M411" s="61"/>
      <c r="N411" s="61"/>
    </row>
    <row r="412" spans="1:14" ht="21.75" customHeight="1" x14ac:dyDescent="0.4">
      <c r="A412" s="55"/>
      <c r="B412" s="56"/>
      <c r="C412" s="56"/>
      <c r="D412" s="73"/>
      <c r="E412" s="75"/>
      <c r="F412" s="75"/>
      <c r="G412" s="99" t="s">
        <v>176</v>
      </c>
      <c r="H412" s="267" t="s">
        <v>103</v>
      </c>
      <c r="I412" s="48">
        <v>0</v>
      </c>
      <c r="J412" s="67">
        <f ca="1">IFERROR(__xludf.DUMMYFUNCTION("IMPORTRANGE(""https://docs.google.com/spreadsheets/d/1C3CXT74ZlgGe6_JY_1olB1XN4rF0dxEuIIF-xsYjHgg/edit?usp=sharing"",""งบกองทุน!db22"")"),0)</f>
        <v>0</v>
      </c>
      <c r="K412" s="49">
        <f t="shared" si="82"/>
        <v>0</v>
      </c>
      <c r="L412" s="61"/>
      <c r="M412" s="61"/>
      <c r="N412" s="61"/>
    </row>
    <row r="413" spans="1:14" ht="21.75" customHeight="1" x14ac:dyDescent="0.4">
      <c r="A413" s="55"/>
      <c r="B413" s="56"/>
      <c r="C413" s="56"/>
      <c r="D413" s="73"/>
      <c r="E413" s="75"/>
      <c r="F413" s="75"/>
      <c r="G413" s="76"/>
      <c r="H413" s="267" t="s">
        <v>15</v>
      </c>
      <c r="I413" s="48">
        <v>0</v>
      </c>
      <c r="J413" s="67">
        <f ca="1">IFERROR(__xludf.DUMMYFUNCTION("IMPORTRANGE(""https://docs.google.com/spreadsheets/d/1C3CXT74ZlgGe6_JY_1olB1XN4rF0dxEuIIF-xsYjHgg/edit?usp=sharing"",""งบกองทุน!da22"")"),0)</f>
        <v>0</v>
      </c>
      <c r="K413" s="49">
        <f t="shared" si="82"/>
        <v>0</v>
      </c>
      <c r="L413" s="61"/>
      <c r="M413" s="61"/>
      <c r="N413" s="61"/>
    </row>
    <row r="414" spans="1:14" ht="21.75" customHeight="1" x14ac:dyDescent="0.4">
      <c r="A414" s="55"/>
      <c r="B414" s="56"/>
      <c r="C414" s="56"/>
      <c r="D414" s="73"/>
      <c r="E414" s="75"/>
      <c r="F414" s="75"/>
      <c r="G414" s="99" t="s">
        <v>177</v>
      </c>
      <c r="H414" s="267" t="s">
        <v>103</v>
      </c>
      <c r="I414" s="48">
        <v>0</v>
      </c>
      <c r="J414" s="67">
        <f ca="1">IFERROR(__xludf.DUMMYFUNCTION("IMPORTRANGE(""https://docs.google.com/spreadsheets/d/1C3CXT74ZlgGe6_JY_1olB1XN4rF0dxEuIIF-xsYjHgg/edit?usp=sharing"",""งบกองทุน!dd22"")"),0)</f>
        <v>0</v>
      </c>
      <c r="K414" s="49">
        <f t="shared" si="82"/>
        <v>0</v>
      </c>
      <c r="L414" s="61"/>
      <c r="M414" s="61"/>
      <c r="N414" s="61"/>
    </row>
    <row r="415" spans="1:14" ht="21.75" customHeight="1" x14ac:dyDescent="0.4">
      <c r="A415" s="55"/>
      <c r="B415" s="56"/>
      <c r="C415" s="56"/>
      <c r="D415" s="73"/>
      <c r="E415" s="75"/>
      <c r="F415" s="75"/>
      <c r="G415" s="76"/>
      <c r="H415" s="267" t="s">
        <v>15</v>
      </c>
      <c r="I415" s="48">
        <v>0</v>
      </c>
      <c r="J415" s="67">
        <f ca="1">IFERROR(__xludf.DUMMYFUNCTION("IMPORTRANGE(""https://docs.google.com/spreadsheets/d/1C3CXT74ZlgGe6_JY_1olB1XN4rF0dxEuIIF-xsYjHgg/edit?usp=sharing"",""งบกองทุน!dc22"")"),0)</f>
        <v>0</v>
      </c>
      <c r="K415" s="49">
        <f t="shared" si="82"/>
        <v>0</v>
      </c>
      <c r="L415" s="61"/>
      <c r="M415" s="61"/>
      <c r="N415" s="61"/>
    </row>
    <row r="416" spans="1:14" ht="21.75" customHeight="1" x14ac:dyDescent="0.4">
      <c r="A416" s="55"/>
      <c r="B416" s="56"/>
      <c r="C416" s="56"/>
      <c r="D416" s="73"/>
      <c r="E416" s="75"/>
      <c r="F416" s="75"/>
      <c r="G416" s="99" t="s">
        <v>178</v>
      </c>
      <c r="H416" s="267" t="s">
        <v>103</v>
      </c>
      <c r="I416" s="48">
        <v>0</v>
      </c>
      <c r="J416" s="67">
        <f ca="1">IFERROR(__xludf.DUMMYFUNCTION("IMPORTRANGE(""https://docs.google.com/spreadsheets/d/1C3CXT74ZlgGe6_JY_1olB1XN4rF0dxEuIIF-xsYjHgg/edit?usp=sharing"",""งบกองทุน!df22"")"),0)</f>
        <v>0</v>
      </c>
      <c r="K416" s="49">
        <f t="shared" si="82"/>
        <v>0</v>
      </c>
      <c r="L416" s="61"/>
      <c r="M416" s="61"/>
      <c r="N416" s="61"/>
    </row>
    <row r="417" spans="1:14" ht="21.75" customHeight="1" x14ac:dyDescent="0.4">
      <c r="A417" s="55"/>
      <c r="B417" s="56"/>
      <c r="C417" s="56"/>
      <c r="D417" s="73"/>
      <c r="E417" s="75"/>
      <c r="F417" s="75"/>
      <c r="G417" s="76"/>
      <c r="H417" s="267" t="s">
        <v>15</v>
      </c>
      <c r="I417" s="48">
        <v>0</v>
      </c>
      <c r="J417" s="67">
        <f ca="1">IFERROR(__xludf.DUMMYFUNCTION("IMPORTRANGE(""https://docs.google.com/spreadsheets/d/1C3CXT74ZlgGe6_JY_1olB1XN4rF0dxEuIIF-xsYjHgg/edit?usp=sharing"",""งบกองทุน!de22"")"),0)</f>
        <v>0</v>
      </c>
      <c r="K417" s="49">
        <f t="shared" si="82"/>
        <v>0</v>
      </c>
      <c r="L417" s="61"/>
      <c r="M417" s="61"/>
      <c r="N417" s="61"/>
    </row>
    <row r="418" spans="1:14" ht="21.75" customHeight="1" x14ac:dyDescent="0.4">
      <c r="A418" s="55"/>
      <c r="B418" s="56"/>
      <c r="C418" s="288"/>
      <c r="D418" s="288"/>
      <c r="E418" s="288" t="s">
        <v>179</v>
      </c>
      <c r="F418" s="289"/>
      <c r="G418" s="290"/>
      <c r="H418" s="291" t="s">
        <v>103</v>
      </c>
      <c r="I418" s="150">
        <f t="shared" ref="I418:I419" ca="1" si="91">J416</f>
        <v>0</v>
      </c>
      <c r="J418" s="150">
        <f t="shared" ref="J418:J419" si="92">SUM(J420,J422,J424)</f>
        <v>0</v>
      </c>
      <c r="K418" s="147">
        <f t="shared" ca="1" si="82"/>
        <v>0</v>
      </c>
      <c r="L418" s="61"/>
      <c r="M418" s="61"/>
      <c r="N418" s="61"/>
    </row>
    <row r="419" spans="1:14" ht="21.75" customHeight="1" x14ac:dyDescent="0.4">
      <c r="A419" s="55"/>
      <c r="B419" s="56"/>
      <c r="C419" s="288"/>
      <c r="D419" s="288"/>
      <c r="E419" s="288" t="s">
        <v>180</v>
      </c>
      <c r="F419" s="289"/>
      <c r="G419" s="290"/>
      <c r="H419" s="291" t="s">
        <v>15</v>
      </c>
      <c r="I419" s="150">
        <f t="shared" ca="1" si="91"/>
        <v>0</v>
      </c>
      <c r="J419" s="150">
        <f t="shared" si="92"/>
        <v>0</v>
      </c>
      <c r="K419" s="147">
        <f t="shared" ca="1" si="82"/>
        <v>0</v>
      </c>
      <c r="L419" s="61"/>
      <c r="M419" s="61"/>
      <c r="N419" s="61"/>
    </row>
    <row r="420" spans="1:14" ht="21.75" customHeight="1" x14ac:dyDescent="0.4">
      <c r="A420" s="55"/>
      <c r="B420" s="56"/>
      <c r="C420" s="56"/>
      <c r="D420" s="73"/>
      <c r="E420" s="75"/>
      <c r="F420" s="75"/>
      <c r="G420" s="99" t="s">
        <v>176</v>
      </c>
      <c r="H420" s="267" t="s">
        <v>103</v>
      </c>
      <c r="I420" s="48">
        <v>0</v>
      </c>
      <c r="J420" s="68">
        <v>0</v>
      </c>
      <c r="K420" s="49">
        <f t="shared" si="82"/>
        <v>0</v>
      </c>
      <c r="L420" s="61"/>
      <c r="M420" s="61"/>
      <c r="N420" s="61"/>
    </row>
    <row r="421" spans="1:14" ht="21.75" customHeight="1" x14ac:dyDescent="0.4">
      <c r="A421" s="55"/>
      <c r="B421" s="56"/>
      <c r="C421" s="56"/>
      <c r="D421" s="73"/>
      <c r="E421" s="75"/>
      <c r="F421" s="75"/>
      <c r="G421" s="76"/>
      <c r="H421" s="267" t="s">
        <v>15</v>
      </c>
      <c r="I421" s="48">
        <v>0</v>
      </c>
      <c r="J421" s="68">
        <v>0</v>
      </c>
      <c r="K421" s="49">
        <f t="shared" si="82"/>
        <v>0</v>
      </c>
      <c r="L421" s="61"/>
      <c r="M421" s="61"/>
      <c r="N421" s="61"/>
    </row>
    <row r="422" spans="1:14" ht="21.75" customHeight="1" x14ac:dyDescent="0.4">
      <c r="A422" s="55"/>
      <c r="B422" s="56"/>
      <c r="C422" s="56"/>
      <c r="D422" s="73"/>
      <c r="E422" s="75"/>
      <c r="F422" s="75"/>
      <c r="G422" s="99" t="s">
        <v>177</v>
      </c>
      <c r="H422" s="267" t="s">
        <v>103</v>
      </c>
      <c r="I422" s="48">
        <v>0</v>
      </c>
      <c r="J422" s="68">
        <v>0</v>
      </c>
      <c r="K422" s="49">
        <f t="shared" si="82"/>
        <v>0</v>
      </c>
      <c r="L422" s="61"/>
      <c r="M422" s="61"/>
      <c r="N422" s="61"/>
    </row>
    <row r="423" spans="1:14" ht="21.75" customHeight="1" x14ac:dyDescent="0.4">
      <c r="A423" s="55"/>
      <c r="B423" s="56"/>
      <c r="C423" s="56"/>
      <c r="D423" s="73"/>
      <c r="E423" s="75"/>
      <c r="F423" s="75"/>
      <c r="G423" s="76"/>
      <c r="H423" s="267" t="s">
        <v>15</v>
      </c>
      <c r="I423" s="48">
        <v>0</v>
      </c>
      <c r="J423" s="68">
        <v>0</v>
      </c>
      <c r="K423" s="49">
        <f>IF(I425&gt;0,J425*100/I425,0)</f>
        <v>0</v>
      </c>
      <c r="L423" s="61"/>
      <c r="M423" s="61"/>
      <c r="N423" s="61"/>
    </row>
    <row r="424" spans="1:14" ht="21.75" customHeight="1" x14ac:dyDescent="0.4">
      <c r="A424" s="55"/>
      <c r="B424" s="56"/>
      <c r="C424" s="56"/>
      <c r="D424" s="73"/>
      <c r="E424" s="75"/>
      <c r="F424" s="75"/>
      <c r="G424" s="99" t="s">
        <v>181</v>
      </c>
      <c r="H424" s="267" t="s">
        <v>103</v>
      </c>
      <c r="I424" s="48">
        <v>0</v>
      </c>
      <c r="J424" s="68">
        <v>0</v>
      </c>
      <c r="K424" s="49">
        <f>IF(I425&gt;0,J425*100/I425,0)</f>
        <v>0</v>
      </c>
      <c r="L424" s="61"/>
      <c r="M424" s="61"/>
      <c r="N424" s="61"/>
    </row>
    <row r="425" spans="1:14" ht="21.75" customHeight="1" x14ac:dyDescent="0.4">
      <c r="A425" s="292"/>
      <c r="B425" s="293"/>
      <c r="C425" s="293"/>
      <c r="D425" s="294"/>
      <c r="E425" s="295"/>
      <c r="F425" s="295"/>
      <c r="G425" s="296"/>
      <c r="H425" s="297" t="s">
        <v>15</v>
      </c>
      <c r="I425" s="298">
        <v>0</v>
      </c>
      <c r="J425" s="299">
        <v>0</v>
      </c>
      <c r="K425" s="309">
        <f>IF(I425&gt;0,J425*100/I425,0)</f>
        <v>0</v>
      </c>
      <c r="L425" s="300"/>
      <c r="M425" s="300"/>
      <c r="N425" s="300"/>
    </row>
    <row r="426" spans="1:14" ht="21.75" customHeight="1" x14ac:dyDescent="0.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3">I440</f>
        <v>26</v>
      </c>
      <c r="J426" s="257">
        <f t="shared" si="93"/>
        <v>26</v>
      </c>
      <c r="K426" s="258">
        <f ca="1">IF(I426&gt;0,J426*100/I426,0)</f>
        <v>100</v>
      </c>
      <c r="L426" s="259">
        <f t="shared" ref="L426:M426" ca="1" si="94">SUM(L427:L428)</f>
        <v>37740</v>
      </c>
      <c r="M426" s="259">
        <f t="shared" si="94"/>
        <v>27364</v>
      </c>
      <c r="N426" s="259">
        <f t="shared" ref="N426:N430" ca="1" si="95">+IF(L426&gt;0,M426*100/L426,0)</f>
        <v>72.506624271330153</v>
      </c>
    </row>
    <row r="427" spans="1:14" ht="21.75" customHeight="1" x14ac:dyDescent="0.4">
      <c r="A427" s="42"/>
      <c r="B427" s="43"/>
      <c r="C427" s="43" t="s">
        <v>17</v>
      </c>
      <c r="D427" s="44" t="s">
        <v>18</v>
      </c>
      <c r="E427" s="45"/>
      <c r="F427" s="45"/>
      <c r="G427" s="46" t="s">
        <v>19</v>
      </c>
      <c r="H427" s="47" t="s">
        <v>20</v>
      </c>
      <c r="I427" s="48" t="s">
        <v>21</v>
      </c>
      <c r="J427" s="48"/>
      <c r="K427" s="49"/>
      <c r="L427" s="50">
        <v>0</v>
      </c>
      <c r="M427" s="53">
        <v>0</v>
      </c>
      <c r="N427" s="53">
        <f t="shared" si="95"/>
        <v>0</v>
      </c>
    </row>
    <row r="428" spans="1:14" ht="21.75" customHeight="1" x14ac:dyDescent="0.4">
      <c r="A428" s="42"/>
      <c r="B428" s="43"/>
      <c r="C428" s="43"/>
      <c r="D428" s="51"/>
      <c r="E428" s="45"/>
      <c r="F428" s="45" t="s">
        <v>21</v>
      </c>
      <c r="G428" s="46" t="s">
        <v>22</v>
      </c>
      <c r="H428" s="47" t="s">
        <v>20</v>
      </c>
      <c r="I428" s="48"/>
      <c r="J428" s="48"/>
      <c r="K428" s="49"/>
      <c r="L428" s="50">
        <f t="shared" ref="L428:M428" ca="1" si="96">SUM(L429:L430)</f>
        <v>37740</v>
      </c>
      <c r="M428" s="53">
        <f t="shared" si="96"/>
        <v>27364</v>
      </c>
      <c r="N428" s="53">
        <f t="shared" ca="1" si="95"/>
        <v>72.506624271330153</v>
      </c>
    </row>
    <row r="429" spans="1:14" ht="21.75" customHeight="1" x14ac:dyDescent="0.4">
      <c r="A429" s="42"/>
      <c r="B429" s="43"/>
      <c r="C429" s="43"/>
      <c r="D429" s="51"/>
      <c r="E429" s="45"/>
      <c r="F429" s="45"/>
      <c r="G429" s="52" t="s">
        <v>110</v>
      </c>
      <c r="H429" s="47" t="s">
        <v>20</v>
      </c>
      <c r="I429" s="48"/>
      <c r="J429" s="48"/>
      <c r="K429" s="49"/>
      <c r="L429" s="53">
        <f ca="1">IFERROR(__xludf.DUMMYFUNCTION("IMPORTRANGE(""https://docs.google.com/spreadsheets/d/1C3CXT74ZlgGe6_JY_1olB1XN4rF0dxEuIIF-xsYjHgg/edit?usp=sharing"",""งบกองทุน!dn22"")"),0)</f>
        <v>0</v>
      </c>
      <c r="M429" s="53">
        <v>0</v>
      </c>
      <c r="N429" s="53">
        <f t="shared" ca="1" si="95"/>
        <v>0</v>
      </c>
    </row>
    <row r="430" spans="1:14" ht="21.75" customHeight="1" x14ac:dyDescent="0.4">
      <c r="A430" s="42"/>
      <c r="B430" s="43"/>
      <c r="C430" s="43"/>
      <c r="D430" s="51"/>
      <c r="E430" s="45"/>
      <c r="F430" s="45"/>
      <c r="G430" s="52" t="s">
        <v>111</v>
      </c>
      <c r="H430" s="47" t="s">
        <v>20</v>
      </c>
      <c r="I430" s="48"/>
      <c r="J430" s="48"/>
      <c r="K430" s="49"/>
      <c r="L430" s="53">
        <f ca="1">IFERROR(__xludf.DUMMYFUNCTION("IMPORTRANGE(""https://docs.google.com/spreadsheets/d/1C3CXT74ZlgGe6_JY_1olB1XN4rF0dxEuIIF-xsYjHgg/edit?usp=sharing"",""งบกองทุน!do22"")"),37740)</f>
        <v>37740</v>
      </c>
      <c r="M430" s="53">
        <f>SUM(M431:M434)</f>
        <v>27364</v>
      </c>
      <c r="N430" s="53">
        <f t="shared" ca="1" si="95"/>
        <v>72.506624271330153</v>
      </c>
    </row>
    <row r="431" spans="1:14" ht="21.75" customHeight="1" x14ac:dyDescent="0.4">
      <c r="A431" s="230"/>
      <c r="B431" s="231"/>
      <c r="C431" s="43"/>
      <c r="D431" s="232"/>
      <c r="E431" s="45"/>
      <c r="F431" s="45"/>
      <c r="G431" s="46" t="s">
        <v>112</v>
      </c>
      <c r="H431" s="47" t="s">
        <v>20</v>
      </c>
      <c r="I431" s="67"/>
      <c r="J431" s="67"/>
      <c r="K431" s="233"/>
      <c r="L431" s="53"/>
      <c r="M431" s="54">
        <v>22140</v>
      </c>
      <c r="N431" s="53"/>
    </row>
    <row r="432" spans="1:14" ht="21.75" customHeight="1" x14ac:dyDescent="0.4">
      <c r="A432" s="230"/>
      <c r="B432" s="231"/>
      <c r="C432" s="43"/>
      <c r="D432" s="232"/>
      <c r="E432" s="45"/>
      <c r="F432" s="45"/>
      <c r="G432" s="46" t="s">
        <v>113</v>
      </c>
      <c r="H432" s="47" t="s">
        <v>20</v>
      </c>
      <c r="I432" s="67"/>
      <c r="J432" s="67"/>
      <c r="K432" s="233"/>
      <c r="L432" s="53"/>
      <c r="M432" s="54">
        <v>0</v>
      </c>
      <c r="N432" s="53"/>
    </row>
    <row r="433" spans="1:14" ht="21.75" customHeight="1" x14ac:dyDescent="0.4">
      <c r="A433" s="230"/>
      <c r="B433" s="231"/>
      <c r="C433" s="43"/>
      <c r="D433" s="232"/>
      <c r="E433" s="45"/>
      <c r="F433" s="45"/>
      <c r="G433" s="46" t="s">
        <v>114</v>
      </c>
      <c r="H433" s="47" t="s">
        <v>20</v>
      </c>
      <c r="I433" s="67"/>
      <c r="J433" s="67"/>
      <c r="K433" s="233"/>
      <c r="L433" s="53"/>
      <c r="M433" s="54">
        <v>0</v>
      </c>
      <c r="N433" s="53"/>
    </row>
    <row r="434" spans="1:14" ht="21.75" customHeight="1" x14ac:dyDescent="0.4">
      <c r="A434" s="230"/>
      <c r="B434" s="231"/>
      <c r="C434" s="43"/>
      <c r="D434" s="232"/>
      <c r="E434" s="45"/>
      <c r="F434" s="45"/>
      <c r="G434" s="46" t="s">
        <v>115</v>
      </c>
      <c r="H434" s="47" t="s">
        <v>20</v>
      </c>
      <c r="I434" s="67"/>
      <c r="J434" s="67"/>
      <c r="K434" s="233"/>
      <c r="L434" s="53"/>
      <c r="M434" s="54">
        <v>5224</v>
      </c>
      <c r="N434" s="53"/>
    </row>
    <row r="435" spans="1:14" ht="21.75" customHeight="1" x14ac:dyDescent="0.4">
      <c r="A435" s="55"/>
      <c r="B435" s="56"/>
      <c r="C435" s="43" t="s">
        <v>17</v>
      </c>
      <c r="D435" s="57" t="s">
        <v>25</v>
      </c>
      <c r="E435" s="58"/>
      <c r="F435" s="58"/>
      <c r="G435" s="59"/>
      <c r="H435" s="60"/>
      <c r="I435" s="48"/>
      <c r="J435" s="48"/>
      <c r="K435" s="49"/>
      <c r="L435" s="61"/>
      <c r="M435" s="61"/>
      <c r="N435" s="61"/>
    </row>
    <row r="436" spans="1:14" ht="21.75" customHeight="1" x14ac:dyDescent="0.4">
      <c r="A436" s="55"/>
      <c r="B436" s="56"/>
      <c r="C436" s="56"/>
      <c r="D436" s="62">
        <v>1</v>
      </c>
      <c r="E436" s="63" t="s">
        <v>26</v>
      </c>
      <c r="F436" s="64"/>
      <c r="G436" s="65"/>
      <c r="H436" s="66"/>
      <c r="I436" s="67"/>
      <c r="J436" s="68">
        <v>0</v>
      </c>
      <c r="K436" s="49"/>
      <c r="L436" s="61"/>
      <c r="M436" s="61"/>
      <c r="N436" s="61"/>
    </row>
    <row r="437" spans="1:14" ht="21.75" customHeight="1" x14ac:dyDescent="0.4">
      <c r="A437" s="55"/>
      <c r="B437" s="56"/>
      <c r="C437" s="56"/>
      <c r="D437" s="69">
        <v>2</v>
      </c>
      <c r="E437" s="70" t="s">
        <v>27</v>
      </c>
      <c r="F437" s="71"/>
      <c r="G437" s="72"/>
      <c r="H437" s="66"/>
      <c r="I437" s="67"/>
      <c r="J437" s="68">
        <v>1</v>
      </c>
      <c r="K437" s="49"/>
      <c r="L437" s="61" t="s">
        <v>21</v>
      </c>
      <c r="M437" s="61" t="s">
        <v>21</v>
      </c>
      <c r="N437" s="61"/>
    </row>
    <row r="438" spans="1:14" ht="21.75" customHeight="1" x14ac:dyDescent="0.4">
      <c r="A438" s="55"/>
      <c r="B438" s="56"/>
      <c r="C438" s="56"/>
      <c r="D438" s="73"/>
      <c r="E438" s="74" t="s">
        <v>28</v>
      </c>
      <c r="F438" s="75"/>
      <c r="G438" s="76"/>
      <c r="H438" s="66"/>
      <c r="I438" s="67"/>
      <c r="J438" s="68">
        <v>1</v>
      </c>
      <c r="K438" s="49"/>
      <c r="L438" s="61"/>
      <c r="M438" s="61"/>
      <c r="N438" s="61"/>
    </row>
    <row r="439" spans="1:14" ht="21.75" customHeight="1" x14ac:dyDescent="0.4">
      <c r="A439" s="55"/>
      <c r="B439" s="56"/>
      <c r="C439" s="56"/>
      <c r="D439" s="73"/>
      <c r="E439" s="74" t="s">
        <v>29</v>
      </c>
      <c r="F439" s="75"/>
      <c r="G439" s="76"/>
      <c r="H439" s="66"/>
      <c r="I439" s="67"/>
      <c r="J439" s="68">
        <v>0</v>
      </c>
      <c r="K439" s="49"/>
      <c r="L439" s="61"/>
      <c r="M439" s="61"/>
      <c r="N439" s="61"/>
    </row>
    <row r="440" spans="1:14" ht="21.75" customHeight="1" x14ac:dyDescent="0.4">
      <c r="A440" s="55"/>
      <c r="B440" s="56"/>
      <c r="C440" s="56"/>
      <c r="D440" s="73"/>
      <c r="E440" s="77"/>
      <c r="F440" s="75"/>
      <c r="G440" s="99" t="s">
        <v>183</v>
      </c>
      <c r="H440" s="66" t="s">
        <v>16</v>
      </c>
      <c r="I440" s="200">
        <f ca="1">IFERROR(__xludf.DUMMYFUNCTION("IMPORTRANGE(""https://docs.google.com/spreadsheets/d/1C3CXT74ZlgGe6_JY_1olB1XN4rF0dxEuIIF-xsYjHgg/edit?usp=sharing"",""งบกองทุน!dq22"")"),26)</f>
        <v>26</v>
      </c>
      <c r="J440" s="68">
        <v>26</v>
      </c>
      <c r="K440" s="49">
        <f t="shared" ref="K440:K441" ca="1" si="97">IF(I440&gt;0,J440*100/I440,0)</f>
        <v>100</v>
      </c>
      <c r="L440" s="61"/>
      <c r="M440" s="61"/>
      <c r="N440" s="61"/>
    </row>
    <row r="441" spans="1:14" ht="21.75" hidden="1" customHeight="1" x14ac:dyDescent="0.4">
      <c r="A441" s="55"/>
      <c r="B441" s="56"/>
      <c r="C441" s="56"/>
      <c r="D441" s="73"/>
      <c r="E441" s="77"/>
      <c r="F441" s="75"/>
      <c r="G441" s="99" t="s">
        <v>184</v>
      </c>
      <c r="H441" s="66" t="s">
        <v>16</v>
      </c>
      <c r="I441" s="200">
        <f ca="1">IFERROR(__xludf.DUMMYFUNCTION("IMPORTRANGE(""https://docs.google.com/spreadsheets/d/1C3CXT74ZlgGe6_JY_1olB1XN4rF0dxEuIIF-xsYjHgg/edit?usp=sharing"",""งบกองทุน!dr22"")"),26)</f>
        <v>26</v>
      </c>
      <c r="J441" s="68">
        <v>0</v>
      </c>
      <c r="K441" s="49">
        <f t="shared" ca="1" si="97"/>
        <v>0</v>
      </c>
      <c r="L441" s="61"/>
      <c r="M441" s="61"/>
      <c r="N441" s="61"/>
    </row>
    <row r="442" spans="1:14" ht="21.75" customHeight="1" x14ac:dyDescent="0.4">
      <c r="A442" s="55"/>
      <c r="B442" s="56"/>
      <c r="C442" s="56"/>
      <c r="D442" s="73"/>
      <c r="E442" s="74" t="s">
        <v>35</v>
      </c>
      <c r="F442" s="75"/>
      <c r="G442" s="76"/>
      <c r="H442" s="66"/>
      <c r="I442" s="67"/>
      <c r="J442" s="68">
        <v>0</v>
      </c>
      <c r="K442" s="49"/>
      <c r="L442" s="61"/>
      <c r="M442" s="61"/>
      <c r="N442" s="61"/>
    </row>
    <row r="443" spans="1:14" ht="21.75" customHeight="1" x14ac:dyDescent="0.4">
      <c r="A443" s="292"/>
      <c r="B443" s="293"/>
      <c r="C443" s="293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309"/>
      <c r="L443" s="300"/>
      <c r="M443" s="300"/>
      <c r="N443" s="300"/>
    </row>
    <row r="444" spans="1:14" ht="21.75" customHeight="1" x14ac:dyDescent="0.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8">SUM(I453,I455)</f>
        <v>3000</v>
      </c>
      <c r="J444" s="257">
        <f t="shared" si="98"/>
        <v>0</v>
      </c>
      <c r="K444" s="258">
        <f ca="1">IF(I444&gt;0,J444*100/I444,0)</f>
        <v>0</v>
      </c>
      <c r="L444" s="259">
        <f t="shared" ref="L444:M444" ca="1" si="99">SUM(L445:L446)</f>
        <v>188000</v>
      </c>
      <c r="M444" s="259">
        <f t="shared" si="99"/>
        <v>1067.8599999999999</v>
      </c>
      <c r="N444" s="259">
        <f t="shared" ref="N444:N448" ca="1" si="100">+IF(L444&gt;0,M444*100/L444,0)</f>
        <v>0.56801063829787224</v>
      </c>
    </row>
    <row r="445" spans="1:14" ht="21.75" customHeight="1" x14ac:dyDescent="0.4">
      <c r="A445" s="42"/>
      <c r="B445" s="43"/>
      <c r="C445" s="43" t="s">
        <v>17</v>
      </c>
      <c r="D445" s="44" t="s">
        <v>18</v>
      </c>
      <c r="E445" s="45"/>
      <c r="F445" s="45"/>
      <c r="G445" s="46" t="s">
        <v>19</v>
      </c>
      <c r="H445" s="47" t="s">
        <v>20</v>
      </c>
      <c r="I445" s="48" t="s">
        <v>21</v>
      </c>
      <c r="J445" s="48"/>
      <c r="K445" s="49"/>
      <c r="L445" s="50">
        <v>0</v>
      </c>
      <c r="M445" s="53">
        <v>0</v>
      </c>
      <c r="N445" s="53">
        <f t="shared" si="100"/>
        <v>0</v>
      </c>
    </row>
    <row r="446" spans="1:14" ht="21.75" customHeight="1" x14ac:dyDescent="0.4">
      <c r="A446" s="42"/>
      <c r="B446" s="43"/>
      <c r="C446" s="43"/>
      <c r="D446" s="51"/>
      <c r="E446" s="45"/>
      <c r="F446" s="45" t="s">
        <v>21</v>
      </c>
      <c r="G446" s="46" t="s">
        <v>22</v>
      </c>
      <c r="H446" s="47" t="s">
        <v>20</v>
      </c>
      <c r="I446" s="48"/>
      <c r="J446" s="48"/>
      <c r="K446" s="49"/>
      <c r="L446" s="50">
        <f t="shared" ref="L446:M446" ca="1" si="101">SUM(L447:L448)</f>
        <v>188000</v>
      </c>
      <c r="M446" s="53">
        <f t="shared" si="101"/>
        <v>1067.8599999999999</v>
      </c>
      <c r="N446" s="53">
        <f t="shared" ca="1" si="100"/>
        <v>0.56801063829787224</v>
      </c>
    </row>
    <row r="447" spans="1:14" ht="21.75" customHeight="1" x14ac:dyDescent="0.4">
      <c r="A447" s="42"/>
      <c r="B447" s="43"/>
      <c r="C447" s="43"/>
      <c r="D447" s="51"/>
      <c r="E447" s="45"/>
      <c r="F447" s="45"/>
      <c r="G447" s="52" t="s">
        <v>110</v>
      </c>
      <c r="H447" s="47" t="s">
        <v>20</v>
      </c>
      <c r="I447" s="48"/>
      <c r="J447" s="48"/>
      <c r="K447" s="49"/>
      <c r="L447" s="53">
        <f ca="1">IFERROR(__xludf.DUMMYFUNCTION("IMPORTRANGE(""https://docs.google.com/spreadsheets/d/1C3CXT74ZlgGe6_JY_1olB1XN4rF0dxEuIIF-xsYjHgg/edit?usp=sharing"",""งบกองทุน!dt22"")"),0)</f>
        <v>0</v>
      </c>
      <c r="M447" s="53">
        <v>0</v>
      </c>
      <c r="N447" s="53">
        <f t="shared" ca="1" si="100"/>
        <v>0</v>
      </c>
    </row>
    <row r="448" spans="1:14" ht="21.75" customHeight="1" x14ac:dyDescent="0.4">
      <c r="A448" s="42"/>
      <c r="B448" s="43"/>
      <c r="C448" s="43"/>
      <c r="D448" s="51"/>
      <c r="E448" s="45"/>
      <c r="F448" s="45"/>
      <c r="G448" s="52" t="s">
        <v>111</v>
      </c>
      <c r="H448" s="47" t="s">
        <v>20</v>
      </c>
      <c r="I448" s="48"/>
      <c r="J448" s="48"/>
      <c r="K448" s="49"/>
      <c r="L448" s="53">
        <f ca="1">IFERROR(__xludf.DUMMYFUNCTION("IMPORTRANGE(""https://docs.google.com/spreadsheets/d/1C3CXT74ZlgGe6_JY_1olB1XN4rF0dxEuIIF-xsYjHgg/edit?usp=sharing"",""งบกองทุน!du22"")"),188000)</f>
        <v>188000</v>
      </c>
      <c r="M448" s="53">
        <f>SUM(M449:M452)</f>
        <v>1067.8599999999999</v>
      </c>
      <c r="N448" s="53">
        <f t="shared" ca="1" si="100"/>
        <v>0.56801063829787224</v>
      </c>
    </row>
    <row r="449" spans="1:14" ht="21.75" customHeight="1" x14ac:dyDescent="0.4">
      <c r="A449" s="230"/>
      <c r="B449" s="231"/>
      <c r="C449" s="43"/>
      <c r="D449" s="232"/>
      <c r="E449" s="45"/>
      <c r="F449" s="45"/>
      <c r="G449" s="46" t="s">
        <v>112</v>
      </c>
      <c r="H449" s="47" t="s">
        <v>20</v>
      </c>
      <c r="I449" s="67"/>
      <c r="J449" s="67"/>
      <c r="K449" s="233"/>
      <c r="L449" s="53"/>
      <c r="M449" s="54">
        <v>0</v>
      </c>
      <c r="N449" s="53"/>
    </row>
    <row r="450" spans="1:14" ht="21.75" customHeight="1" x14ac:dyDescent="0.4">
      <c r="A450" s="230"/>
      <c r="B450" s="231"/>
      <c r="C450" s="43"/>
      <c r="D450" s="232"/>
      <c r="E450" s="45"/>
      <c r="F450" s="45"/>
      <c r="G450" s="46" t="s">
        <v>113</v>
      </c>
      <c r="H450" s="47" t="s">
        <v>20</v>
      </c>
      <c r="I450" s="67"/>
      <c r="J450" s="67"/>
      <c r="K450" s="233"/>
      <c r="L450" s="53"/>
      <c r="M450" s="54">
        <v>0</v>
      </c>
      <c r="N450" s="53"/>
    </row>
    <row r="451" spans="1:14" ht="21.75" customHeight="1" x14ac:dyDescent="0.4">
      <c r="A451" s="230"/>
      <c r="B451" s="231"/>
      <c r="C451" s="43"/>
      <c r="D451" s="232"/>
      <c r="E451" s="45"/>
      <c r="F451" s="45"/>
      <c r="G451" s="46" t="s">
        <v>114</v>
      </c>
      <c r="H451" s="47" t="s">
        <v>20</v>
      </c>
      <c r="I451" s="67"/>
      <c r="J451" s="67"/>
      <c r="K451" s="233"/>
      <c r="L451" s="53"/>
      <c r="M451" s="54">
        <v>0</v>
      </c>
      <c r="N451" s="53"/>
    </row>
    <row r="452" spans="1:14" ht="21.75" customHeight="1" x14ac:dyDescent="0.4">
      <c r="A452" s="230"/>
      <c r="B452" s="231"/>
      <c r="C452" s="43"/>
      <c r="D452" s="232"/>
      <c r="E452" s="45"/>
      <c r="F452" s="45"/>
      <c r="G452" s="46" t="s">
        <v>115</v>
      </c>
      <c r="H452" s="47" t="s">
        <v>20</v>
      </c>
      <c r="I452" s="67"/>
      <c r="J452" s="67"/>
      <c r="K452" s="233"/>
      <c r="L452" s="53"/>
      <c r="M452" s="54">
        <v>1067.8599999999999</v>
      </c>
      <c r="N452" s="53"/>
    </row>
    <row r="453" spans="1:14" ht="21.75" customHeight="1" x14ac:dyDescent="0.4">
      <c r="A453" s="230"/>
      <c r="B453" s="231"/>
      <c r="C453" s="231"/>
      <c r="D453" s="310"/>
      <c r="E453" s="311"/>
      <c r="F453" s="311" t="s">
        <v>186</v>
      </c>
      <c r="G453" s="312"/>
      <c r="H453" s="313" t="s">
        <v>103</v>
      </c>
      <c r="I453" s="67">
        <f ca="1">IFERROR(__xludf.DUMMYFUNCTION("IMPORTRANGE(""https://docs.google.com/spreadsheets/d/1C3CXT74ZlgGe6_JY_1olB1XN4rF0dxEuIIF-xsYjHgg/edit?usp=sharing"",""งบกองทุน!dw22"")"),3000)</f>
        <v>3000</v>
      </c>
      <c r="J453" s="67">
        <v>0</v>
      </c>
      <c r="K453" s="233">
        <f t="shared" ref="K453:K457" ca="1" si="102">IF(I453&gt;0,J453*100/I453,0)</f>
        <v>0</v>
      </c>
      <c r="L453" s="53"/>
      <c r="M453" s="53"/>
      <c r="N453" s="53"/>
    </row>
    <row r="454" spans="1:14" ht="21.75" customHeight="1" x14ac:dyDescent="0.4">
      <c r="A454" s="230"/>
      <c r="B454" s="231"/>
      <c r="C454" s="231"/>
      <c r="D454" s="310"/>
      <c r="E454" s="311"/>
      <c r="F454" s="311"/>
      <c r="G454" s="312"/>
      <c r="H454" s="313" t="s">
        <v>15</v>
      </c>
      <c r="I454" s="67">
        <f ca="1">IFERROR(__xludf.DUMMYFUNCTION("IMPORTRANGE(""https://docs.google.com/spreadsheets/d/1C3CXT74ZlgGe6_JY_1olB1XN4rF0dxEuIIF-xsYjHgg/edit?usp=sharing"",""งบกองทุน!dx22"")"),0)</f>
        <v>0</v>
      </c>
      <c r="J454" s="67">
        <v>0</v>
      </c>
      <c r="K454" s="233">
        <f t="shared" ca="1" si="102"/>
        <v>0</v>
      </c>
      <c r="L454" s="53"/>
      <c r="M454" s="53"/>
      <c r="N454" s="53"/>
    </row>
    <row r="455" spans="1:14" ht="21.75" customHeight="1" x14ac:dyDescent="0.4">
      <c r="A455" s="230"/>
      <c r="B455" s="231"/>
      <c r="C455" s="231"/>
      <c r="D455" s="310"/>
      <c r="E455" s="311"/>
      <c r="F455" s="311" t="s">
        <v>187</v>
      </c>
      <c r="G455" s="312"/>
      <c r="H455" s="313" t="s">
        <v>103</v>
      </c>
      <c r="I455" s="67">
        <f ca="1">IFERROR(__xludf.DUMMYFUNCTION("IMPORTRANGE(""https://docs.google.com/spreadsheets/d/1C3CXT74ZlgGe6_JY_1olB1XN4rF0dxEuIIF-xsYjHgg/edit?usp=sharing"",""งบกองทุน!dy22"")"),0)</f>
        <v>0</v>
      </c>
      <c r="J455" s="67">
        <v>0</v>
      </c>
      <c r="K455" s="233">
        <f t="shared" ca="1" si="102"/>
        <v>0</v>
      </c>
      <c r="L455" s="53"/>
      <c r="M455" s="53"/>
      <c r="N455" s="53"/>
    </row>
    <row r="456" spans="1:14" ht="21.75" customHeight="1" x14ac:dyDescent="0.4">
      <c r="A456" s="230"/>
      <c r="B456" s="231"/>
      <c r="C456" s="231"/>
      <c r="D456" s="310"/>
      <c r="E456" s="311"/>
      <c r="F456" s="311"/>
      <c r="G456" s="312"/>
      <c r="H456" s="313" t="s">
        <v>15</v>
      </c>
      <c r="I456" s="67">
        <f ca="1">IFERROR(__xludf.DUMMYFUNCTION("IMPORTRANGE(""https://docs.google.com/spreadsheets/d/1C3CXT74ZlgGe6_JY_1olB1XN4rF0dxEuIIF-xsYjHgg/edit?usp=sharing"",""งบกองทุน!dz22"")"),0)</f>
        <v>0</v>
      </c>
      <c r="J456" s="67">
        <v>0</v>
      </c>
      <c r="K456" s="233">
        <f t="shared" ca="1" si="102"/>
        <v>0</v>
      </c>
      <c r="L456" s="53"/>
      <c r="M456" s="53"/>
      <c r="N456" s="53"/>
    </row>
    <row r="457" spans="1:14" ht="21.75" customHeight="1" x14ac:dyDescent="0.4">
      <c r="A457" s="222"/>
      <c r="B457" s="223">
        <v>8</v>
      </c>
      <c r="C457" s="224" t="s">
        <v>188</v>
      </c>
      <c r="D457" s="224"/>
      <c r="E457" s="224"/>
      <c r="F457" s="224"/>
      <c r="G457" s="225"/>
      <c r="H457" s="226" t="s">
        <v>16</v>
      </c>
      <c r="I457" s="227">
        <f ca="1">I466</f>
        <v>1000</v>
      </c>
      <c r="J457" s="227">
        <f>+J466</f>
        <v>195</v>
      </c>
      <c r="K457" s="228">
        <f t="shared" ca="1" si="102"/>
        <v>19.5</v>
      </c>
      <c r="L457" s="229">
        <f t="shared" ref="L457:M457" ca="1" si="103">SUM(L458:L459)</f>
        <v>130880</v>
      </c>
      <c r="M457" s="229">
        <f t="shared" si="103"/>
        <v>0</v>
      </c>
      <c r="N457" s="229">
        <f t="shared" ref="N457:N461" ca="1" si="104">+IF(L457&gt;0,M457*100/L457,0)</f>
        <v>0</v>
      </c>
    </row>
    <row r="458" spans="1:14" ht="21.75" customHeight="1" x14ac:dyDescent="0.4">
      <c r="A458" s="42"/>
      <c r="B458" s="43"/>
      <c r="C458" s="43" t="s">
        <v>17</v>
      </c>
      <c r="D458" s="44" t="s">
        <v>18</v>
      </c>
      <c r="E458" s="45"/>
      <c r="F458" s="45"/>
      <c r="G458" s="46" t="s">
        <v>19</v>
      </c>
      <c r="H458" s="47" t="s">
        <v>20</v>
      </c>
      <c r="I458" s="48" t="s">
        <v>21</v>
      </c>
      <c r="J458" s="48"/>
      <c r="K458" s="49"/>
      <c r="L458" s="50">
        <v>0</v>
      </c>
      <c r="M458" s="53">
        <v>0</v>
      </c>
      <c r="N458" s="53">
        <f t="shared" si="104"/>
        <v>0</v>
      </c>
    </row>
    <row r="459" spans="1:14" ht="21.75" customHeight="1" x14ac:dyDescent="0.4">
      <c r="A459" s="42"/>
      <c r="B459" s="43"/>
      <c r="C459" s="43"/>
      <c r="D459" s="51"/>
      <c r="E459" s="45"/>
      <c r="F459" s="45" t="s">
        <v>21</v>
      </c>
      <c r="G459" s="46" t="s">
        <v>22</v>
      </c>
      <c r="H459" s="47" t="s">
        <v>20</v>
      </c>
      <c r="I459" s="48"/>
      <c r="J459" s="48"/>
      <c r="K459" s="49"/>
      <c r="L459" s="50">
        <f t="shared" ref="L459:M459" ca="1" si="105">SUM(L460:L461)</f>
        <v>130880</v>
      </c>
      <c r="M459" s="53">
        <f t="shared" si="105"/>
        <v>0</v>
      </c>
      <c r="N459" s="53">
        <f t="shared" ca="1" si="104"/>
        <v>0</v>
      </c>
    </row>
    <row r="460" spans="1:14" ht="21.75" customHeight="1" x14ac:dyDescent="0.4">
      <c r="A460" s="42"/>
      <c r="B460" s="43"/>
      <c r="C460" s="43"/>
      <c r="D460" s="51"/>
      <c r="E460" s="45"/>
      <c r="F460" s="45"/>
      <c r="G460" s="52" t="s">
        <v>110</v>
      </c>
      <c r="H460" s="47" t="s">
        <v>20</v>
      </c>
      <c r="I460" s="48"/>
      <c r="J460" s="48"/>
      <c r="K460" s="49"/>
      <c r="L460" s="53">
        <f ca="1">IFERROR(__xludf.DUMMYFUNCTION("IMPORTRANGE(""https://docs.google.com/spreadsheets/d/1C3CXT74ZlgGe6_JY_1olB1XN4rF0dxEuIIF-xsYjHgg/edit?usp=sharing"",""งบกองทุน!Eb22"")"),0)</f>
        <v>0</v>
      </c>
      <c r="M460" s="53">
        <v>0</v>
      </c>
      <c r="N460" s="53">
        <f t="shared" ca="1" si="104"/>
        <v>0</v>
      </c>
    </row>
    <row r="461" spans="1:14" ht="21.75" customHeight="1" x14ac:dyDescent="0.4">
      <c r="A461" s="42"/>
      <c r="B461" s="43"/>
      <c r="C461" s="43"/>
      <c r="D461" s="51"/>
      <c r="E461" s="45"/>
      <c r="F461" s="45"/>
      <c r="G461" s="52" t="s">
        <v>111</v>
      </c>
      <c r="H461" s="47" t="s">
        <v>20</v>
      </c>
      <c r="I461" s="48"/>
      <c r="J461" s="48"/>
      <c r="K461" s="49"/>
      <c r="L461" s="53">
        <f ca="1">IFERROR(__xludf.DUMMYFUNCTION("IMPORTRANGE(""https://docs.google.com/spreadsheets/d/1C3CXT74ZlgGe6_JY_1olB1XN4rF0dxEuIIF-xsYjHgg/edit?usp=sharing"",""งบกองทุน!Ec22"")"),130880)</f>
        <v>130880</v>
      </c>
      <c r="M461" s="53">
        <f>SUM(M462:M465)</f>
        <v>0</v>
      </c>
      <c r="N461" s="53">
        <f t="shared" ca="1" si="104"/>
        <v>0</v>
      </c>
    </row>
    <row r="462" spans="1:14" ht="21.75" customHeight="1" x14ac:dyDescent="0.4">
      <c r="A462" s="230"/>
      <c r="B462" s="231"/>
      <c r="C462" s="43"/>
      <c r="D462" s="232"/>
      <c r="E462" s="45"/>
      <c r="F462" s="45"/>
      <c r="G462" s="46" t="s">
        <v>112</v>
      </c>
      <c r="H462" s="47" t="s">
        <v>20</v>
      </c>
      <c r="I462" s="67"/>
      <c r="J462" s="67"/>
      <c r="K462" s="233"/>
      <c r="L462" s="53"/>
      <c r="M462" s="53">
        <v>0</v>
      </c>
      <c r="N462" s="53"/>
    </row>
    <row r="463" spans="1:14" ht="21.75" customHeight="1" x14ac:dyDescent="0.4">
      <c r="A463" s="230"/>
      <c r="B463" s="231"/>
      <c r="C463" s="43"/>
      <c r="D463" s="232"/>
      <c r="E463" s="45"/>
      <c r="F463" s="45"/>
      <c r="G463" s="46" t="s">
        <v>113</v>
      </c>
      <c r="H463" s="47" t="s">
        <v>20</v>
      </c>
      <c r="I463" s="67"/>
      <c r="J463" s="67"/>
      <c r="K463" s="233"/>
      <c r="L463" s="53"/>
      <c r="M463" s="53">
        <v>0</v>
      </c>
      <c r="N463" s="53"/>
    </row>
    <row r="464" spans="1:14" ht="21.75" customHeight="1" x14ac:dyDescent="0.4">
      <c r="A464" s="230"/>
      <c r="B464" s="231"/>
      <c r="C464" s="43"/>
      <c r="D464" s="232"/>
      <c r="E464" s="45"/>
      <c r="F464" s="45"/>
      <c r="G464" s="46" t="s">
        <v>114</v>
      </c>
      <c r="H464" s="47" t="s">
        <v>20</v>
      </c>
      <c r="I464" s="67"/>
      <c r="J464" s="67"/>
      <c r="K464" s="233"/>
      <c r="L464" s="53"/>
      <c r="M464" s="54">
        <v>0</v>
      </c>
      <c r="N464" s="53"/>
    </row>
    <row r="465" spans="1:14" ht="21.75" customHeight="1" x14ac:dyDescent="0.4">
      <c r="A465" s="230"/>
      <c r="B465" s="231"/>
      <c r="C465" s="43"/>
      <c r="D465" s="232"/>
      <c r="E465" s="45"/>
      <c r="F465" s="45"/>
      <c r="G465" s="46" t="s">
        <v>115</v>
      </c>
      <c r="H465" s="47" t="s">
        <v>20</v>
      </c>
      <c r="I465" s="67"/>
      <c r="J465" s="67"/>
      <c r="K465" s="233"/>
      <c r="L465" s="53"/>
      <c r="M465" s="54">
        <v>0</v>
      </c>
      <c r="N465" s="53"/>
    </row>
    <row r="466" spans="1:14" ht="21.75" customHeight="1" x14ac:dyDescent="0.4">
      <c r="A466" s="55"/>
      <c r="B466" s="56"/>
      <c r="C466" s="56"/>
      <c r="D466" s="75"/>
      <c r="E466" s="74" t="s">
        <v>21</v>
      </c>
      <c r="F466" s="260" t="s">
        <v>189</v>
      </c>
      <c r="G466" s="240"/>
      <c r="H466" s="314" t="s">
        <v>16</v>
      </c>
      <c r="I466" s="265">
        <f ca="1">IFERROR(__xludf.DUMMYFUNCTION("IMPORTRANGE(""https://docs.google.com/spreadsheets/d/1C3CXT74ZlgGe6_JY_1olB1XN4rF0dxEuIIF-xsYjHgg/edit?usp=sharing"",""งบกองทุน!Ed22"")"),1000)</f>
        <v>1000</v>
      </c>
      <c r="J466" s="265">
        <f>+J469+J470+J471+J472</f>
        <v>195</v>
      </c>
      <c r="K466" s="80">
        <f ca="1">IF(I466&gt;0,J466*100/I466,0)</f>
        <v>19.5</v>
      </c>
      <c r="L466" s="61"/>
      <c r="M466" s="61"/>
      <c r="N466" s="61"/>
    </row>
    <row r="467" spans="1:14" ht="21.75" customHeight="1" x14ac:dyDescent="0.4">
      <c r="A467" s="55"/>
      <c r="B467" s="56"/>
      <c r="C467" s="56"/>
      <c r="D467" s="75"/>
      <c r="E467" s="75"/>
      <c r="F467" s="74" t="s">
        <v>190</v>
      </c>
      <c r="G467" s="76"/>
      <c r="H467" s="315"/>
      <c r="I467" s="48"/>
      <c r="J467" s="48"/>
      <c r="K467" s="49"/>
      <c r="L467" s="61"/>
      <c r="M467" s="61"/>
      <c r="N467" s="61"/>
    </row>
    <row r="468" spans="1:14" ht="21.75" customHeight="1" x14ac:dyDescent="0.4">
      <c r="A468" s="55"/>
      <c r="B468" s="56"/>
      <c r="C468" s="56"/>
      <c r="D468" s="75"/>
      <c r="E468" s="74" t="s">
        <v>21</v>
      </c>
      <c r="F468" s="74" t="s">
        <v>191</v>
      </c>
      <c r="G468" s="76"/>
      <c r="H468" s="315" t="s">
        <v>57</v>
      </c>
      <c r="I468" s="48">
        <v>0</v>
      </c>
      <c r="J468" s="68">
        <v>1</v>
      </c>
      <c r="K468" s="49">
        <f t="shared" ref="K468:K472" si="106">IF(I468&gt;0,J468*100/I468,0)</f>
        <v>0</v>
      </c>
      <c r="L468" s="61"/>
      <c r="M468" s="61"/>
      <c r="N468" s="61"/>
    </row>
    <row r="469" spans="1:14" ht="21.75" customHeight="1" x14ac:dyDescent="0.4">
      <c r="A469" s="55"/>
      <c r="B469" s="56"/>
      <c r="C469" s="56"/>
      <c r="D469" s="75"/>
      <c r="E469" s="75"/>
      <c r="F469" s="74" t="s">
        <v>192</v>
      </c>
      <c r="G469" s="76"/>
      <c r="H469" s="315" t="s">
        <v>16</v>
      </c>
      <c r="I469" s="48">
        <v>0</v>
      </c>
      <c r="J469" s="68">
        <v>35</v>
      </c>
      <c r="K469" s="49">
        <f t="shared" si="106"/>
        <v>0</v>
      </c>
      <c r="L469" s="61"/>
      <c r="M469" s="61"/>
      <c r="N469" s="61"/>
    </row>
    <row r="470" spans="1:14" ht="21.75" customHeight="1" x14ac:dyDescent="0.4">
      <c r="A470" s="55"/>
      <c r="B470" s="56"/>
      <c r="C470" s="56"/>
      <c r="D470" s="75"/>
      <c r="E470" s="75"/>
      <c r="F470" s="74" t="s">
        <v>193</v>
      </c>
      <c r="G470" s="76"/>
      <c r="H470" s="315" t="s">
        <v>16</v>
      </c>
      <c r="I470" s="48">
        <v>0</v>
      </c>
      <c r="J470" s="68">
        <v>153</v>
      </c>
      <c r="K470" s="49">
        <f t="shared" si="106"/>
        <v>0</v>
      </c>
      <c r="L470" s="61"/>
      <c r="M470" s="61"/>
      <c r="N470" s="61"/>
    </row>
    <row r="471" spans="1:14" ht="21.75" customHeight="1" x14ac:dyDescent="0.4">
      <c r="A471" s="55"/>
      <c r="B471" s="56"/>
      <c r="C471" s="56"/>
      <c r="D471" s="75"/>
      <c r="E471" s="75"/>
      <c r="F471" s="74" t="s">
        <v>194</v>
      </c>
      <c r="G471" s="266"/>
      <c r="H471" s="315" t="s">
        <v>16</v>
      </c>
      <c r="I471" s="48">
        <v>0</v>
      </c>
      <c r="J471" s="68">
        <v>0</v>
      </c>
      <c r="K471" s="49">
        <f t="shared" si="106"/>
        <v>0</v>
      </c>
      <c r="L471" s="61"/>
      <c r="M471" s="61"/>
      <c r="N471" s="61"/>
    </row>
    <row r="472" spans="1:14" ht="21.75" customHeight="1" x14ac:dyDescent="0.4">
      <c r="A472" s="55"/>
      <c r="B472" s="56"/>
      <c r="C472" s="56"/>
      <c r="D472" s="75"/>
      <c r="E472" s="75"/>
      <c r="F472" s="74" t="s">
        <v>195</v>
      </c>
      <c r="G472" s="266"/>
      <c r="H472" s="315" t="s">
        <v>16</v>
      </c>
      <c r="I472" s="48">
        <v>0</v>
      </c>
      <c r="J472" s="68">
        <v>7</v>
      </c>
      <c r="K472" s="49">
        <f t="shared" si="106"/>
        <v>0</v>
      </c>
      <c r="L472" s="61"/>
      <c r="M472" s="61"/>
      <c r="N472" s="61"/>
    </row>
    <row r="473" spans="1:14" ht="21.75" customHeight="1" x14ac:dyDescent="0.4">
      <c r="A473" s="222"/>
      <c r="B473" s="223">
        <v>9</v>
      </c>
      <c r="C473" s="224" t="s">
        <v>196</v>
      </c>
      <c r="D473" s="224"/>
      <c r="E473" s="224"/>
      <c r="F473" s="224"/>
      <c r="G473" s="225"/>
      <c r="H473" s="226" t="s">
        <v>16</v>
      </c>
      <c r="I473" s="227">
        <f ca="1">I484</f>
        <v>30</v>
      </c>
      <c r="J473" s="227">
        <f ca="1">J488</f>
        <v>0</v>
      </c>
      <c r="K473" s="228">
        <f ca="1">IF(I473&gt;0,J473*100/I473,0)</f>
        <v>0</v>
      </c>
      <c r="L473" s="229">
        <f ca="1">SUM(L474,L475)</f>
        <v>153230</v>
      </c>
      <c r="M473" s="229">
        <f>SUM(M474:M475)</f>
        <v>0</v>
      </c>
      <c r="N473" s="229">
        <f t="shared" ref="N473:N477" ca="1" si="107">+IF(L473&gt;0,M473*100/L473,0)</f>
        <v>0</v>
      </c>
    </row>
    <row r="474" spans="1:14" ht="21.75" customHeight="1" x14ac:dyDescent="0.4">
      <c r="A474" s="42"/>
      <c r="B474" s="43"/>
      <c r="C474" s="43" t="s">
        <v>17</v>
      </c>
      <c r="D474" s="44" t="s">
        <v>18</v>
      </c>
      <c r="E474" s="45"/>
      <c r="F474" s="45"/>
      <c r="G474" s="46" t="s">
        <v>19</v>
      </c>
      <c r="H474" s="47" t="s">
        <v>20</v>
      </c>
      <c r="I474" s="48" t="s">
        <v>21</v>
      </c>
      <c r="J474" s="48"/>
      <c r="K474" s="49"/>
      <c r="L474" s="50">
        <v>0</v>
      </c>
      <c r="M474" s="53">
        <v>0</v>
      </c>
      <c r="N474" s="53">
        <f t="shared" si="107"/>
        <v>0</v>
      </c>
    </row>
    <row r="475" spans="1:14" ht="21.75" customHeight="1" x14ac:dyDescent="0.4">
      <c r="A475" s="42"/>
      <c r="B475" s="43"/>
      <c r="C475" s="43"/>
      <c r="D475" s="51"/>
      <c r="E475" s="45"/>
      <c r="F475" s="45" t="s">
        <v>21</v>
      </c>
      <c r="G475" s="46" t="s">
        <v>22</v>
      </c>
      <c r="H475" s="47" t="s">
        <v>20</v>
      </c>
      <c r="I475" s="48"/>
      <c r="J475" s="48"/>
      <c r="K475" s="49"/>
      <c r="L475" s="50">
        <f t="shared" ref="L475:M475" ca="1" si="108">SUM(L476:L477)</f>
        <v>153230</v>
      </c>
      <c r="M475" s="53">
        <f t="shared" si="108"/>
        <v>0</v>
      </c>
      <c r="N475" s="53">
        <f t="shared" ca="1" si="107"/>
        <v>0</v>
      </c>
    </row>
    <row r="476" spans="1:14" ht="21.75" customHeight="1" x14ac:dyDescent="0.4">
      <c r="A476" s="42"/>
      <c r="B476" s="43"/>
      <c r="C476" s="43"/>
      <c r="D476" s="51"/>
      <c r="E476" s="45"/>
      <c r="F476" s="45"/>
      <c r="G476" s="52" t="s">
        <v>110</v>
      </c>
      <c r="H476" s="47" t="s">
        <v>20</v>
      </c>
      <c r="I476" s="48"/>
      <c r="J476" s="48"/>
      <c r="K476" s="49"/>
      <c r="L476" s="53">
        <f ca="1">IFERROR(__xludf.DUMMYFUNCTION("IMPORTRANGE(""https://docs.google.com/spreadsheets/d/1C3CXT74ZlgGe6_JY_1olB1XN4rF0dxEuIIF-xsYjHgg/edit?usp=sharing"",""งบกองทุน!Ek22"")"),0)</f>
        <v>0</v>
      </c>
      <c r="M476" s="53">
        <v>0</v>
      </c>
      <c r="N476" s="53">
        <f t="shared" ca="1" si="107"/>
        <v>0</v>
      </c>
    </row>
    <row r="477" spans="1:14" ht="21.75" customHeight="1" x14ac:dyDescent="0.4">
      <c r="A477" s="42"/>
      <c r="B477" s="43"/>
      <c r="C477" s="43"/>
      <c r="D477" s="51"/>
      <c r="E477" s="45"/>
      <c r="F477" s="45"/>
      <c r="G477" s="52" t="s">
        <v>111</v>
      </c>
      <c r="H477" s="47" t="s">
        <v>20</v>
      </c>
      <c r="I477" s="48"/>
      <c r="J477" s="48"/>
      <c r="K477" s="49"/>
      <c r="L477" s="53">
        <f ca="1">IFERROR(__xludf.DUMMYFUNCTION("IMPORTRANGE(""https://docs.google.com/spreadsheets/d/1C3CXT74ZlgGe6_JY_1olB1XN4rF0dxEuIIF-xsYjHgg/edit?usp=sharing"",""งบกองทุน!El22"")"),153230)</f>
        <v>153230</v>
      </c>
      <c r="M477" s="53">
        <f>SUM(M478:M481)</f>
        <v>0</v>
      </c>
      <c r="N477" s="53">
        <f t="shared" ca="1" si="107"/>
        <v>0</v>
      </c>
    </row>
    <row r="478" spans="1:14" ht="21.75" customHeight="1" x14ac:dyDescent="0.4">
      <c r="A478" s="230"/>
      <c r="B478" s="231"/>
      <c r="C478" s="43"/>
      <c r="D478" s="232"/>
      <c r="E478" s="45"/>
      <c r="F478" s="45"/>
      <c r="G478" s="46" t="s">
        <v>112</v>
      </c>
      <c r="H478" s="47" t="s">
        <v>20</v>
      </c>
      <c r="I478" s="67"/>
      <c r="J478" s="67"/>
      <c r="K478" s="233"/>
      <c r="L478" s="53"/>
      <c r="M478" s="53">
        <v>0</v>
      </c>
      <c r="N478" s="53"/>
    </row>
    <row r="479" spans="1:14" ht="21.75" customHeight="1" x14ac:dyDescent="0.4">
      <c r="A479" s="230"/>
      <c r="B479" s="231"/>
      <c r="C479" s="43"/>
      <c r="D479" s="232"/>
      <c r="E479" s="45"/>
      <c r="F479" s="45"/>
      <c r="G479" s="46" t="s">
        <v>113</v>
      </c>
      <c r="H479" s="47" t="s">
        <v>20</v>
      </c>
      <c r="I479" s="67"/>
      <c r="J479" s="67"/>
      <c r="K479" s="233"/>
      <c r="L479" s="53"/>
      <c r="M479" s="53">
        <v>0</v>
      </c>
      <c r="N479" s="53"/>
    </row>
    <row r="480" spans="1:14" ht="21.75" customHeight="1" x14ac:dyDescent="0.4">
      <c r="A480" s="230"/>
      <c r="B480" s="231"/>
      <c r="C480" s="43"/>
      <c r="D480" s="232"/>
      <c r="E480" s="45"/>
      <c r="F480" s="45"/>
      <c r="G480" s="46" t="s">
        <v>114</v>
      </c>
      <c r="H480" s="47" t="s">
        <v>20</v>
      </c>
      <c r="I480" s="67"/>
      <c r="J480" s="67"/>
      <c r="K480" s="233"/>
      <c r="L480" s="53"/>
      <c r="M480" s="54">
        <v>0</v>
      </c>
      <c r="N480" s="53"/>
    </row>
    <row r="481" spans="1:14" ht="21.75" customHeight="1" x14ac:dyDescent="0.4">
      <c r="A481" s="230"/>
      <c r="B481" s="231"/>
      <c r="C481" s="43"/>
      <c r="D481" s="232"/>
      <c r="E481" s="45"/>
      <c r="F481" s="45"/>
      <c r="G481" s="46" t="s">
        <v>115</v>
      </c>
      <c r="H481" s="47" t="s">
        <v>20</v>
      </c>
      <c r="I481" s="67"/>
      <c r="J481" s="67"/>
      <c r="K481" s="233"/>
      <c r="L481" s="53"/>
      <c r="M481" s="54">
        <v>0</v>
      </c>
      <c r="N481" s="53"/>
    </row>
    <row r="482" spans="1:14" ht="21.75" customHeight="1" x14ac:dyDescent="0.4">
      <c r="A482" s="316"/>
      <c r="B482" s="51"/>
      <c r="C482" s="43"/>
      <c r="D482" s="155"/>
      <c r="E482" s="74" t="s">
        <v>197</v>
      </c>
      <c r="F482" s="75"/>
      <c r="G482" s="76"/>
      <c r="H482" s="60" t="s">
        <v>15</v>
      </c>
      <c r="I482" s="200">
        <f ca="1">IFERROR(__xludf.DUMMYFUNCTION("IMPORTRANGE(""https://docs.google.com/spreadsheets/d/1C3CXT74ZlgGe6_JY_1olB1XN4rF0dxEuIIF-xsYjHgg/edit?usp=sharing"",""งบกองทุน!Em22"")"),30)</f>
        <v>30</v>
      </c>
      <c r="J482" s="67">
        <f ca="1">IFERROR(__xludf.DUMMYFUNCTION("IMPORTRANGE(""https://docs.google.com/spreadsheets/d/1AGHcLOeeYFL3K4b9R1dSzyJy00PE_ra89DNTVfnxSWM/edit?usp=sharing"",""รวมที่ชุมชน!G11"")"),0)</f>
        <v>0</v>
      </c>
      <c r="K482" s="49">
        <f t="shared" ref="K482:K489" ca="1" si="109">IF(I482&gt;0,J482*100/I482,0)</f>
        <v>0</v>
      </c>
      <c r="L482" s="61"/>
      <c r="M482" s="61"/>
      <c r="N482" s="61"/>
    </row>
    <row r="483" spans="1:14" ht="21.75" customHeight="1" x14ac:dyDescent="0.4">
      <c r="A483" s="316"/>
      <c r="B483" s="51"/>
      <c r="C483" s="43"/>
      <c r="D483" s="155"/>
      <c r="E483" s="75"/>
      <c r="F483" s="75"/>
      <c r="G483" s="76"/>
      <c r="H483" s="60" t="s">
        <v>103</v>
      </c>
      <c r="I483" s="200">
        <f ca="1">IFERROR(__xludf.DUMMYFUNCTION("IMPORTRANGE(""https://docs.google.com/spreadsheets/d/1C3CXT74ZlgGe6_JY_1olB1XN4rF0dxEuIIF-xsYjHgg/edit?usp=sharing"",""งบกองทุน!En22"")"),0)</f>
        <v>0</v>
      </c>
      <c r="J483" s="67">
        <f ca="1">IFERROR(__xludf.DUMMYFUNCTION("IMPORTRANGE(""https://docs.google.com/spreadsheets/d/1AGHcLOeeYFL3K4b9R1dSzyJy00PE_ra89DNTVfnxSWM/edit?usp=sharing"",""รวมที่ชุมชน!H11"")"),0)</f>
        <v>0</v>
      </c>
      <c r="K483" s="49">
        <f t="shared" ca="1" si="109"/>
        <v>0</v>
      </c>
      <c r="L483" s="61"/>
      <c r="M483" s="61"/>
      <c r="N483" s="61"/>
    </row>
    <row r="484" spans="1:14" ht="21.75" customHeight="1" x14ac:dyDescent="0.4">
      <c r="A484" s="316"/>
      <c r="B484" s="51"/>
      <c r="C484" s="43"/>
      <c r="D484" s="155"/>
      <c r="E484" s="74" t="s">
        <v>104</v>
      </c>
      <c r="F484" s="75"/>
      <c r="G484" s="76"/>
      <c r="H484" s="60" t="s">
        <v>16</v>
      </c>
      <c r="I484" s="200">
        <f ca="1">IFERROR(__xludf.DUMMYFUNCTION("IMPORTRANGE(""https://docs.google.com/spreadsheets/d/1C3CXT74ZlgGe6_JY_1olB1XN4rF0dxEuIIF-xsYjHgg/edit?usp=sharing"",""งบกองทุน!Eo22"")"),30)</f>
        <v>30</v>
      </c>
      <c r="J484" s="67">
        <f ca="1">IFERROR(__xludf.DUMMYFUNCTION("IMPORTRANGE(""https://docs.google.com/spreadsheets/d/1AGHcLOeeYFL3K4b9R1dSzyJy00PE_ra89DNTVfnxSWM/edit?usp=sharing"",""รวมที่ชุมชน!J11"")"),0)</f>
        <v>0</v>
      </c>
      <c r="K484" s="49">
        <f t="shared" ca="1" si="109"/>
        <v>0</v>
      </c>
      <c r="L484" s="61"/>
      <c r="M484" s="61"/>
      <c r="N484" s="61"/>
    </row>
    <row r="485" spans="1:14" ht="21.75" customHeight="1" x14ac:dyDescent="0.4">
      <c r="A485" s="316"/>
      <c r="B485" s="51"/>
      <c r="C485" s="43"/>
      <c r="D485" s="155"/>
      <c r="E485" s="75"/>
      <c r="F485" s="75"/>
      <c r="G485" s="76"/>
      <c r="H485" s="60" t="s">
        <v>103</v>
      </c>
      <c r="I485" s="200">
        <f ca="1">IFERROR(__xludf.DUMMYFUNCTION("IMPORTRANGE(""https://docs.google.com/spreadsheets/d/1C3CXT74ZlgGe6_JY_1olB1XN4rF0dxEuIIF-xsYjHgg/edit?usp=sharing"",""งบกองทุน!Ep22"")"),0)</f>
        <v>0</v>
      </c>
      <c r="J485" s="67">
        <f ca="1">IFERROR(__xludf.DUMMYFUNCTION("IMPORTRANGE(""https://docs.google.com/spreadsheets/d/1AGHcLOeeYFL3K4b9R1dSzyJy00PE_ra89DNTVfnxSWM/edit?usp=sharing"",""รวมที่ชุมชน!L11"")"),0)</f>
        <v>0</v>
      </c>
      <c r="K485" s="49">
        <f t="shared" ca="1" si="109"/>
        <v>0</v>
      </c>
      <c r="L485" s="61"/>
      <c r="M485" s="61"/>
      <c r="N485" s="61"/>
    </row>
    <row r="486" spans="1:14" ht="21.75" customHeight="1" x14ac:dyDescent="0.4">
      <c r="A486" s="316"/>
      <c r="B486" s="51"/>
      <c r="C486" s="43"/>
      <c r="D486" s="155"/>
      <c r="E486" s="74" t="s">
        <v>105</v>
      </c>
      <c r="F486" s="75"/>
      <c r="G486" s="76"/>
      <c r="H486" s="60" t="s">
        <v>16</v>
      </c>
      <c r="I486" s="200">
        <f ca="1">IFERROR(__xludf.DUMMYFUNCTION("IMPORTRANGE(""https://docs.google.com/spreadsheets/d/1C3CXT74ZlgGe6_JY_1olB1XN4rF0dxEuIIF-xsYjHgg/edit?usp=sharing"",""งบกองทุน!Eq22"")"),30)</f>
        <v>30</v>
      </c>
      <c r="J486" s="67">
        <f ca="1">IFERROR(__xludf.DUMMYFUNCTION("IMPORTRANGE(""https://docs.google.com/spreadsheets/d/1AGHcLOeeYFL3K4b9R1dSzyJy00PE_ra89DNTVfnxSWM/edit?usp=sharing"",""รวมที่ชุมชน!S11"")"),0)</f>
        <v>0</v>
      </c>
      <c r="K486" s="49">
        <f t="shared" ca="1" si="109"/>
        <v>0</v>
      </c>
      <c r="L486" s="61"/>
      <c r="M486" s="61"/>
      <c r="N486" s="61"/>
    </row>
    <row r="487" spans="1:14" ht="21.75" customHeight="1" x14ac:dyDescent="0.4">
      <c r="A487" s="316"/>
      <c r="B487" s="51"/>
      <c r="C487" s="43"/>
      <c r="D487" s="155"/>
      <c r="E487" s="75"/>
      <c r="F487" s="75"/>
      <c r="G487" s="76"/>
      <c r="H487" s="60" t="s">
        <v>103</v>
      </c>
      <c r="I487" s="200">
        <f ca="1">IFERROR(__xludf.DUMMYFUNCTION("IMPORTRANGE(""https://docs.google.com/spreadsheets/d/1C3CXT74ZlgGe6_JY_1olB1XN4rF0dxEuIIF-xsYjHgg/edit?usp=sharing"",""งบกองทุน!Er22"")"),0)</f>
        <v>0</v>
      </c>
      <c r="J487" s="67">
        <f ca="1">IFERROR(__xludf.DUMMYFUNCTION("IMPORTRANGE(""https://docs.google.com/spreadsheets/d/1AGHcLOeeYFL3K4b9R1dSzyJy00PE_ra89DNTVfnxSWM/edit?usp=sharing"",""รวมที่ชุมชน!U11"")"),0)</f>
        <v>0</v>
      </c>
      <c r="K487" s="49">
        <f t="shared" ca="1" si="109"/>
        <v>0</v>
      </c>
      <c r="L487" s="61"/>
      <c r="M487" s="61"/>
      <c r="N487" s="61"/>
    </row>
    <row r="488" spans="1:14" ht="21.75" customHeight="1" x14ac:dyDescent="0.4">
      <c r="A488" s="316"/>
      <c r="B488" s="51"/>
      <c r="C488" s="43"/>
      <c r="D488" s="155"/>
      <c r="E488" s="74" t="s">
        <v>106</v>
      </c>
      <c r="F488" s="75"/>
      <c r="G488" s="76"/>
      <c r="H488" s="60" t="s">
        <v>16</v>
      </c>
      <c r="I488" s="200">
        <f ca="1">IFERROR(__xludf.DUMMYFUNCTION("IMPORTRANGE(""https://docs.google.com/spreadsheets/d/1C3CXT74ZlgGe6_JY_1olB1XN4rF0dxEuIIF-xsYjHgg/edit?usp=sharing"",""งบกองทุน!Es22"")"),30)</f>
        <v>30</v>
      </c>
      <c r="J488" s="67">
        <f ca="1">IFERROR(__xludf.DUMMYFUNCTION("IMPORTRANGE(""https://docs.google.com/spreadsheets/d/1AGHcLOeeYFL3K4b9R1dSzyJy00PE_ra89DNTVfnxSWM/edit?usp=sharing"",""รวมที่ชุมชน!V11"")"),0)</f>
        <v>0</v>
      </c>
      <c r="K488" s="49">
        <f t="shared" ca="1" si="109"/>
        <v>0</v>
      </c>
      <c r="L488" s="61"/>
      <c r="M488" s="61"/>
      <c r="N488" s="61"/>
    </row>
    <row r="489" spans="1:14" ht="21.75" customHeight="1" x14ac:dyDescent="0.4">
      <c r="A489" s="317"/>
      <c r="B489" s="318"/>
      <c r="C489" s="319"/>
      <c r="D489" s="320"/>
      <c r="E489" s="295"/>
      <c r="F489" s="295"/>
      <c r="G489" s="296"/>
      <c r="H489" s="321" t="s">
        <v>103</v>
      </c>
      <c r="I489" s="322">
        <f ca="1">IFERROR(__xludf.DUMMYFUNCTION("IMPORTRANGE(""https://docs.google.com/spreadsheets/d/1C3CXT74ZlgGe6_JY_1olB1XN4rF0dxEuIIF-xsYjHgg/edit?usp=sharing"",""งบกองทุน!Et22"")"),0)</f>
        <v>0</v>
      </c>
      <c r="J489" s="112">
        <f ca="1">IFERROR(__xludf.DUMMYFUNCTION("IMPORTRANGE(""https://docs.google.com/spreadsheets/d/1AGHcLOeeYFL3K4b9R1dSzyJy00PE_ra89DNTVfnxSWM/edit?usp=sharing"",""รวมที่ชุมชน!X11"")"),0)</f>
        <v>0</v>
      </c>
      <c r="K489" s="114">
        <f t="shared" ca="1" si="109"/>
        <v>0</v>
      </c>
      <c r="L489" s="300"/>
      <c r="M489" s="300"/>
      <c r="N489" s="300"/>
    </row>
    <row r="490" spans="1:14" ht="21.75" customHeight="1" x14ac:dyDescent="0.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10">I504</f>
        <v>100</v>
      </c>
      <c r="J490" s="375">
        <f t="shared" si="110"/>
        <v>0</v>
      </c>
      <c r="K490" s="301">
        <f ca="1">IF(I490&gt;0,J490*100/I490,0)</f>
        <v>0</v>
      </c>
      <c r="L490" s="259">
        <f ca="1">SUM(L491,L492)</f>
        <v>10900</v>
      </c>
      <c r="M490" s="259">
        <f>SUM(M491:M492)</f>
        <v>2380</v>
      </c>
      <c r="N490" s="259">
        <f t="shared" ref="N490:N494" ca="1" si="111">+IF(L490&gt;0,M490*100/L490,0)</f>
        <v>21.834862385321102</v>
      </c>
    </row>
    <row r="491" spans="1:14" ht="21.75" customHeight="1" x14ac:dyDescent="0.4">
      <c r="A491" s="42"/>
      <c r="B491" s="43"/>
      <c r="C491" s="43" t="s">
        <v>17</v>
      </c>
      <c r="D491" s="44" t="s">
        <v>18</v>
      </c>
      <c r="E491" s="45"/>
      <c r="F491" s="45"/>
      <c r="G491" s="46" t="s">
        <v>19</v>
      </c>
      <c r="H491" s="47" t="s">
        <v>20</v>
      </c>
      <c r="I491" s="48" t="s">
        <v>21</v>
      </c>
      <c r="J491" s="48"/>
      <c r="K491" s="49"/>
      <c r="L491" s="50">
        <v>0</v>
      </c>
      <c r="M491" s="53">
        <v>0</v>
      </c>
      <c r="N491" s="53">
        <f t="shared" si="111"/>
        <v>0</v>
      </c>
    </row>
    <row r="492" spans="1:14" ht="21.75" customHeight="1" x14ac:dyDescent="0.4">
      <c r="A492" s="42"/>
      <c r="B492" s="43"/>
      <c r="C492" s="43"/>
      <c r="D492" s="51"/>
      <c r="E492" s="45"/>
      <c r="F492" s="45" t="s">
        <v>21</v>
      </c>
      <c r="G492" s="46" t="s">
        <v>22</v>
      </c>
      <c r="H492" s="47" t="s">
        <v>20</v>
      </c>
      <c r="I492" s="48"/>
      <c r="J492" s="48"/>
      <c r="K492" s="49"/>
      <c r="L492" s="50">
        <f t="shared" ref="L492:M492" ca="1" si="112">SUM(L493:L494)</f>
        <v>10900</v>
      </c>
      <c r="M492" s="53">
        <f t="shared" si="112"/>
        <v>2380</v>
      </c>
      <c r="N492" s="53">
        <f t="shared" ca="1" si="111"/>
        <v>21.834862385321102</v>
      </c>
    </row>
    <row r="493" spans="1:14" ht="21.75" customHeight="1" x14ac:dyDescent="0.4">
      <c r="A493" s="42"/>
      <c r="B493" s="43"/>
      <c r="C493" s="43"/>
      <c r="D493" s="51"/>
      <c r="E493" s="45"/>
      <c r="F493" s="45"/>
      <c r="G493" s="52" t="s">
        <v>110</v>
      </c>
      <c r="H493" s="47" t="s">
        <v>20</v>
      </c>
      <c r="I493" s="48"/>
      <c r="J493" s="48"/>
      <c r="K493" s="49"/>
      <c r="L493" s="53">
        <f ca="1">IFERROR(__xludf.DUMMYFUNCTION("IMPORTRANGE(""https://docs.google.com/spreadsheets/d/1C3CXT74ZlgGe6_JY_1olB1XN4rF0dxEuIIF-xsYjHgg/edit?usp=sharing"",""งบกองทุน!Ev22"")"),0)</f>
        <v>0</v>
      </c>
      <c r="M493" s="53">
        <v>0</v>
      </c>
      <c r="N493" s="53">
        <f t="shared" ca="1" si="111"/>
        <v>0</v>
      </c>
    </row>
    <row r="494" spans="1:14" ht="21.75" customHeight="1" x14ac:dyDescent="0.4">
      <c r="A494" s="42"/>
      <c r="B494" s="43"/>
      <c r="C494" s="43"/>
      <c r="D494" s="51"/>
      <c r="E494" s="45"/>
      <c r="F494" s="45"/>
      <c r="G494" s="52" t="s">
        <v>111</v>
      </c>
      <c r="H494" s="47" t="s">
        <v>20</v>
      </c>
      <c r="I494" s="48"/>
      <c r="J494" s="48"/>
      <c r="K494" s="49"/>
      <c r="L494" s="53">
        <f ca="1">IFERROR(__xludf.DUMMYFUNCTION("IMPORTRANGE(""https://docs.google.com/spreadsheets/d/1C3CXT74ZlgGe6_JY_1olB1XN4rF0dxEuIIF-xsYjHgg/edit?usp=sharing"",""งบกองทุน!Ew22"")"),10900)</f>
        <v>10900</v>
      </c>
      <c r="M494" s="53">
        <f>SUM(M495:M498)</f>
        <v>2380</v>
      </c>
      <c r="N494" s="53">
        <f t="shared" ca="1" si="111"/>
        <v>21.834862385321102</v>
      </c>
    </row>
    <row r="495" spans="1:14" ht="21.75" customHeight="1" x14ac:dyDescent="0.4">
      <c r="A495" s="230"/>
      <c r="B495" s="231"/>
      <c r="C495" s="43"/>
      <c r="D495" s="232"/>
      <c r="E495" s="45"/>
      <c r="F495" s="45"/>
      <c r="G495" s="46" t="s">
        <v>112</v>
      </c>
      <c r="H495" s="47" t="s">
        <v>20</v>
      </c>
      <c r="I495" s="67"/>
      <c r="J495" s="67"/>
      <c r="K495" s="233"/>
      <c r="L495" s="53"/>
      <c r="M495" s="53">
        <v>0</v>
      </c>
      <c r="N495" s="53"/>
    </row>
    <row r="496" spans="1:14" ht="21.75" customHeight="1" x14ac:dyDescent="0.4">
      <c r="A496" s="230"/>
      <c r="B496" s="231"/>
      <c r="C496" s="43"/>
      <c r="D496" s="232"/>
      <c r="E496" s="45"/>
      <c r="F496" s="45"/>
      <c r="G496" s="46" t="s">
        <v>113</v>
      </c>
      <c r="H496" s="47" t="s">
        <v>20</v>
      </c>
      <c r="I496" s="67"/>
      <c r="J496" s="67"/>
      <c r="K496" s="233"/>
      <c r="L496" s="53"/>
      <c r="M496" s="53">
        <v>0</v>
      </c>
      <c r="N496" s="53"/>
    </row>
    <row r="497" spans="1:14" ht="21.75" customHeight="1" x14ac:dyDescent="0.4">
      <c r="A497" s="230"/>
      <c r="B497" s="231"/>
      <c r="C497" s="43"/>
      <c r="D497" s="232"/>
      <c r="E497" s="45"/>
      <c r="F497" s="45"/>
      <c r="G497" s="46" t="s">
        <v>114</v>
      </c>
      <c r="H497" s="47" t="s">
        <v>20</v>
      </c>
      <c r="I497" s="67"/>
      <c r="J497" s="67"/>
      <c r="K497" s="233"/>
      <c r="L497" s="53"/>
      <c r="M497" s="54">
        <v>0</v>
      </c>
      <c r="N497" s="53"/>
    </row>
    <row r="498" spans="1:14" ht="21.75" customHeight="1" x14ac:dyDescent="0.4">
      <c r="A498" s="230"/>
      <c r="B498" s="231"/>
      <c r="C498" s="43"/>
      <c r="D498" s="232"/>
      <c r="E498" s="45"/>
      <c r="F498" s="45"/>
      <c r="G498" s="46" t="s">
        <v>115</v>
      </c>
      <c r="H498" s="47" t="s">
        <v>20</v>
      </c>
      <c r="I498" s="67"/>
      <c r="J498" s="67"/>
      <c r="K498" s="233"/>
      <c r="L498" s="53"/>
      <c r="M498" s="54">
        <v>2380</v>
      </c>
      <c r="N498" s="53"/>
    </row>
    <row r="499" spans="1:14" ht="21.75" customHeight="1" x14ac:dyDescent="0.4">
      <c r="A499" s="55"/>
      <c r="B499" s="56"/>
      <c r="C499" s="43" t="s">
        <v>17</v>
      </c>
      <c r="D499" s="57" t="s">
        <v>25</v>
      </c>
      <c r="E499" s="58"/>
      <c r="F499" s="58"/>
      <c r="G499" s="59"/>
      <c r="H499" s="60"/>
      <c r="I499" s="48"/>
      <c r="J499" s="48"/>
      <c r="K499" s="49"/>
      <c r="L499" s="61"/>
      <c r="M499" s="61"/>
      <c r="N499" s="61"/>
    </row>
    <row r="500" spans="1:14" ht="21.75" customHeight="1" x14ac:dyDescent="0.4">
      <c r="A500" s="55"/>
      <c r="B500" s="56"/>
      <c r="C500" s="56"/>
      <c r="D500" s="62">
        <v>1</v>
      </c>
      <c r="E500" s="63" t="s">
        <v>26</v>
      </c>
      <c r="F500" s="64"/>
      <c r="G500" s="65"/>
      <c r="H500" s="66"/>
      <c r="I500" s="67"/>
      <c r="J500" s="68">
        <v>0</v>
      </c>
      <c r="K500" s="49"/>
      <c r="L500" s="61"/>
      <c r="M500" s="61"/>
      <c r="N500" s="61"/>
    </row>
    <row r="501" spans="1:14" ht="21.75" customHeight="1" x14ac:dyDescent="0.4">
      <c r="A501" s="55"/>
      <c r="B501" s="56"/>
      <c r="C501" s="56"/>
      <c r="D501" s="69">
        <v>2</v>
      </c>
      <c r="E501" s="70" t="s">
        <v>27</v>
      </c>
      <c r="F501" s="71"/>
      <c r="G501" s="72"/>
      <c r="H501" s="66"/>
      <c r="I501" s="67"/>
      <c r="J501" s="68">
        <v>0</v>
      </c>
      <c r="K501" s="49"/>
      <c r="L501" s="61" t="s">
        <v>21</v>
      </c>
      <c r="M501" s="61" t="s">
        <v>21</v>
      </c>
      <c r="N501" s="61"/>
    </row>
    <row r="502" spans="1:14" ht="21.75" hidden="1" customHeight="1" x14ac:dyDescent="0.4">
      <c r="A502" s="376"/>
      <c r="B502" s="377"/>
      <c r="C502" s="377"/>
      <c r="D502" s="378"/>
      <c r="E502" s="379" t="s">
        <v>28</v>
      </c>
      <c r="F502" s="380"/>
      <c r="G502" s="381"/>
      <c r="H502" s="330"/>
      <c r="I502" s="331"/>
      <c r="J502" s="331">
        <v>0</v>
      </c>
      <c r="K502" s="382"/>
      <c r="L502" s="383"/>
      <c r="M502" s="383"/>
      <c r="N502" s="383"/>
    </row>
    <row r="503" spans="1:14" ht="21.75" hidden="1" customHeight="1" x14ac:dyDescent="0.4">
      <c r="A503" s="376"/>
      <c r="B503" s="377"/>
      <c r="C503" s="377"/>
      <c r="D503" s="378"/>
      <c r="E503" s="379" t="s">
        <v>29</v>
      </c>
      <c r="F503" s="380"/>
      <c r="G503" s="381"/>
      <c r="H503" s="330"/>
      <c r="I503" s="331"/>
      <c r="J503" s="331">
        <v>0</v>
      </c>
      <c r="K503" s="382"/>
      <c r="L503" s="383"/>
      <c r="M503" s="383"/>
      <c r="N503" s="383"/>
    </row>
    <row r="504" spans="1:14" ht="21.75" customHeight="1" x14ac:dyDescent="0.4">
      <c r="A504" s="55"/>
      <c r="B504" s="56"/>
      <c r="C504" s="56"/>
      <c r="D504" s="73"/>
      <c r="E504" s="75"/>
      <c r="F504" s="75" t="s">
        <v>199</v>
      </c>
      <c r="G504" s="76"/>
      <c r="H504" s="60" t="s">
        <v>103</v>
      </c>
      <c r="I504" s="67">
        <f ca="1">IFERROR(__xludf.DUMMYFUNCTION("IMPORTRANGE(""https://docs.google.com/spreadsheets/d/1C3CXT74ZlgGe6_JY_1olB1XN4rF0dxEuIIF-xsYjHgg/edit?usp=sharing"",""งบกองทุน!EZ22"")"),100)</f>
        <v>100</v>
      </c>
      <c r="J504" s="48">
        <f>+J510</f>
        <v>0</v>
      </c>
      <c r="K504" s="49">
        <f t="shared" ref="K504:K512" ca="1" si="113">IF(I$504&gt;0,J504*100/I$504,0)</f>
        <v>0</v>
      </c>
      <c r="L504" s="61"/>
      <c r="M504" s="61"/>
      <c r="N504" s="61"/>
    </row>
    <row r="505" spans="1:14" ht="21.75" customHeight="1" x14ac:dyDescent="0.4">
      <c r="A505" s="55"/>
      <c r="B505" s="56"/>
      <c r="C505" s="56"/>
      <c r="D505" s="73"/>
      <c r="E505" s="77"/>
      <c r="F505" s="75"/>
      <c r="G505" s="99" t="s">
        <v>200</v>
      </c>
      <c r="H505" s="60" t="s">
        <v>103</v>
      </c>
      <c r="I505" s="67">
        <v>0</v>
      </c>
      <c r="J505" s="68">
        <v>0</v>
      </c>
      <c r="K505" s="49">
        <f t="shared" ca="1" si="113"/>
        <v>0</v>
      </c>
      <c r="L505" s="61"/>
      <c r="M505" s="61"/>
      <c r="N505" s="61"/>
    </row>
    <row r="506" spans="1:14" ht="21.75" customHeight="1" x14ac:dyDescent="0.4">
      <c r="A506" s="55"/>
      <c r="B506" s="56"/>
      <c r="C506" s="56"/>
      <c r="D506" s="73"/>
      <c r="E506" s="77"/>
      <c r="F506" s="75"/>
      <c r="G506" s="99" t="s">
        <v>201</v>
      </c>
      <c r="H506" s="60" t="s">
        <v>103</v>
      </c>
      <c r="I506" s="67">
        <v>0</v>
      </c>
      <c r="J506" s="68">
        <v>0</v>
      </c>
      <c r="K506" s="49">
        <f t="shared" ca="1" si="113"/>
        <v>0</v>
      </c>
      <c r="L506" s="61"/>
      <c r="M506" s="61"/>
      <c r="N506" s="61"/>
    </row>
    <row r="507" spans="1:14" ht="21.75" customHeight="1" x14ac:dyDescent="0.4">
      <c r="A507" s="55"/>
      <c r="B507" s="56"/>
      <c r="C507" s="56"/>
      <c r="D507" s="73"/>
      <c r="E507" s="77"/>
      <c r="F507" s="75"/>
      <c r="G507" s="99" t="s">
        <v>202</v>
      </c>
      <c r="H507" s="60" t="s">
        <v>103</v>
      </c>
      <c r="I507" s="67">
        <v>0</v>
      </c>
      <c r="J507" s="68">
        <v>0</v>
      </c>
      <c r="K507" s="49">
        <f t="shared" ca="1" si="113"/>
        <v>0</v>
      </c>
      <c r="L507" s="61"/>
      <c r="M507" s="61"/>
      <c r="N507" s="61"/>
    </row>
    <row r="508" spans="1:14" ht="21.75" customHeight="1" x14ac:dyDescent="0.4">
      <c r="A508" s="55"/>
      <c r="B508" s="56"/>
      <c r="C508" s="56"/>
      <c r="D508" s="73"/>
      <c r="E508" s="77"/>
      <c r="F508" s="75"/>
      <c r="G508" s="99" t="s">
        <v>203</v>
      </c>
      <c r="H508" s="60" t="s">
        <v>103</v>
      </c>
      <c r="I508" s="67">
        <v>0</v>
      </c>
      <c r="J508" s="68">
        <v>0</v>
      </c>
      <c r="K508" s="49">
        <f t="shared" ca="1" si="113"/>
        <v>0</v>
      </c>
      <c r="L508" s="61"/>
      <c r="M508" s="61"/>
      <c r="N508" s="61"/>
    </row>
    <row r="509" spans="1:14" ht="21.75" customHeight="1" x14ac:dyDescent="0.4">
      <c r="A509" s="55"/>
      <c r="B509" s="56"/>
      <c r="C509" s="56"/>
      <c r="D509" s="73"/>
      <c r="E509" s="77"/>
      <c r="F509" s="75"/>
      <c r="G509" s="74" t="s">
        <v>204</v>
      </c>
      <c r="H509" s="60" t="s">
        <v>103</v>
      </c>
      <c r="I509" s="67">
        <v>0</v>
      </c>
      <c r="J509" s="68">
        <v>0</v>
      </c>
      <c r="K509" s="49">
        <f t="shared" ca="1" si="113"/>
        <v>0</v>
      </c>
      <c r="L509" s="61"/>
      <c r="M509" s="61"/>
      <c r="N509" s="61"/>
    </row>
    <row r="510" spans="1:14" ht="21.75" customHeight="1" x14ac:dyDescent="0.4">
      <c r="A510" s="55"/>
      <c r="B510" s="56"/>
      <c r="C510" s="56"/>
      <c r="D510" s="73"/>
      <c r="E510" s="77"/>
      <c r="F510" s="75"/>
      <c r="G510" s="74" t="s">
        <v>205</v>
      </c>
      <c r="H510" s="60" t="s">
        <v>103</v>
      </c>
      <c r="I510" s="67">
        <f t="shared" ref="I510:J510" si="114">I511+I512</f>
        <v>0</v>
      </c>
      <c r="J510" s="67">
        <f t="shared" si="114"/>
        <v>0</v>
      </c>
      <c r="K510" s="49">
        <f t="shared" ca="1" si="113"/>
        <v>0</v>
      </c>
      <c r="L510" s="61"/>
      <c r="M510" s="61"/>
      <c r="N510" s="61"/>
    </row>
    <row r="511" spans="1:14" ht="21.75" customHeight="1" x14ac:dyDescent="0.4">
      <c r="A511" s="55"/>
      <c r="B511" s="56"/>
      <c r="C511" s="56"/>
      <c r="D511" s="73"/>
      <c r="E511" s="77"/>
      <c r="F511" s="75"/>
      <c r="G511" s="334" t="s">
        <v>206</v>
      </c>
      <c r="H511" s="60" t="s">
        <v>103</v>
      </c>
      <c r="I511" s="67">
        <v>0</v>
      </c>
      <c r="J511" s="68">
        <v>0</v>
      </c>
      <c r="K511" s="49">
        <f t="shared" ca="1" si="113"/>
        <v>0</v>
      </c>
      <c r="L511" s="61"/>
      <c r="M511" s="61"/>
      <c r="N511" s="61"/>
    </row>
    <row r="512" spans="1:14" ht="21.75" customHeight="1" x14ac:dyDescent="0.4">
      <c r="A512" s="55"/>
      <c r="B512" s="56"/>
      <c r="C512" s="56"/>
      <c r="D512" s="73"/>
      <c r="E512" s="77"/>
      <c r="F512" s="75"/>
      <c r="G512" s="334" t="s">
        <v>207</v>
      </c>
      <c r="H512" s="60" t="s">
        <v>103</v>
      </c>
      <c r="I512" s="67">
        <v>0</v>
      </c>
      <c r="J512" s="68">
        <v>0</v>
      </c>
      <c r="K512" s="49">
        <f t="shared" ca="1" si="113"/>
        <v>0</v>
      </c>
      <c r="L512" s="61"/>
      <c r="M512" s="61"/>
      <c r="N512" s="61"/>
    </row>
    <row r="513" spans="1:14" ht="21.75" customHeight="1" x14ac:dyDescent="0.4">
      <c r="A513" s="55"/>
      <c r="B513" s="56"/>
      <c r="C513" s="56"/>
      <c r="D513" s="73"/>
      <c r="E513" s="75"/>
      <c r="F513" s="74" t="s">
        <v>208</v>
      </c>
      <c r="G513" s="76"/>
      <c r="H513" s="60" t="s">
        <v>103</v>
      </c>
      <c r="I513" s="67">
        <f ca="1">IFERROR(__xludf.DUMMYFUNCTION("IMPORTRANGE(""https://docs.google.com/spreadsheets/d/1C3CXT74ZlgGe6_JY_1olB1XN4rF0dxEuIIF-xsYjHgg/edit?usp=sharing"",""งบกองทุน!ff22"")"),100)</f>
        <v>100</v>
      </c>
      <c r="J513" s="48">
        <f>J514</f>
        <v>0</v>
      </c>
      <c r="K513" s="49">
        <f t="shared" ref="K513:K519" ca="1" si="115">IF(I$513&gt;0,J513*100/I$513,0)</f>
        <v>0</v>
      </c>
      <c r="L513" s="61"/>
      <c r="M513" s="61"/>
      <c r="N513" s="61"/>
    </row>
    <row r="514" spans="1:14" ht="21.75" customHeight="1" x14ac:dyDescent="0.4">
      <c r="A514" s="55"/>
      <c r="B514" s="56"/>
      <c r="C514" s="56"/>
      <c r="D514" s="73"/>
      <c r="E514" s="77"/>
      <c r="F514" s="75"/>
      <c r="G514" s="99" t="s">
        <v>205</v>
      </c>
      <c r="H514" s="60" t="s">
        <v>103</v>
      </c>
      <c r="I514" s="48">
        <f t="shared" ref="I514:J514" si="116">I515+I516</f>
        <v>0</v>
      </c>
      <c r="J514" s="48">
        <f t="shared" si="116"/>
        <v>0</v>
      </c>
      <c r="K514" s="49">
        <f t="shared" ca="1" si="115"/>
        <v>0</v>
      </c>
      <c r="L514" s="61"/>
      <c r="M514" s="61"/>
      <c r="N514" s="61"/>
    </row>
    <row r="515" spans="1:14" ht="21.75" customHeight="1" x14ac:dyDescent="0.4">
      <c r="A515" s="55"/>
      <c r="B515" s="56"/>
      <c r="C515" s="56"/>
      <c r="D515" s="73"/>
      <c r="E515" s="77"/>
      <c r="F515" s="75"/>
      <c r="G515" s="334" t="s">
        <v>206</v>
      </c>
      <c r="H515" s="60" t="s">
        <v>103</v>
      </c>
      <c r="I515" s="67">
        <v>0</v>
      </c>
      <c r="J515" s="68">
        <v>0</v>
      </c>
      <c r="K515" s="49">
        <f t="shared" ca="1" si="115"/>
        <v>0</v>
      </c>
      <c r="L515" s="61"/>
      <c r="M515" s="61"/>
      <c r="N515" s="61"/>
    </row>
    <row r="516" spans="1:14" ht="21.75" customHeight="1" x14ac:dyDescent="0.4">
      <c r="A516" s="55"/>
      <c r="B516" s="56"/>
      <c r="C516" s="56"/>
      <c r="D516" s="73"/>
      <c r="E516" s="77"/>
      <c r="F516" s="75"/>
      <c r="G516" s="334" t="s">
        <v>207</v>
      </c>
      <c r="H516" s="60" t="s">
        <v>103</v>
      </c>
      <c r="I516" s="67">
        <v>0</v>
      </c>
      <c r="J516" s="68">
        <v>0</v>
      </c>
      <c r="K516" s="49">
        <f t="shared" ca="1" si="115"/>
        <v>0</v>
      </c>
      <c r="L516" s="61"/>
      <c r="M516" s="61"/>
      <c r="N516" s="61"/>
    </row>
    <row r="517" spans="1:14" ht="21.75" customHeight="1" x14ac:dyDescent="0.4">
      <c r="A517" s="55"/>
      <c r="B517" s="56"/>
      <c r="C517" s="56"/>
      <c r="D517" s="73"/>
      <c r="E517" s="77"/>
      <c r="F517" s="75"/>
      <c r="G517" s="99" t="s">
        <v>209</v>
      </c>
      <c r="H517" s="60" t="s">
        <v>103</v>
      </c>
      <c r="I517" s="67">
        <f t="shared" ref="I517:J517" si="117">SUM(I518:I519)</f>
        <v>0</v>
      </c>
      <c r="J517" s="67">
        <f t="shared" si="117"/>
        <v>100</v>
      </c>
      <c r="K517" s="49">
        <f t="shared" ca="1" si="115"/>
        <v>100</v>
      </c>
      <c r="L517" s="61"/>
      <c r="M517" s="61"/>
      <c r="N517" s="61"/>
    </row>
    <row r="518" spans="1:14" ht="21.75" customHeight="1" x14ac:dyDescent="0.4">
      <c r="A518" s="55"/>
      <c r="B518" s="56"/>
      <c r="C518" s="56"/>
      <c r="D518" s="73"/>
      <c r="E518" s="77"/>
      <c r="F518" s="75"/>
      <c r="G518" s="334" t="s">
        <v>210</v>
      </c>
      <c r="H518" s="60" t="s">
        <v>103</v>
      </c>
      <c r="I518" s="67">
        <v>0</v>
      </c>
      <c r="J518" s="68">
        <v>0</v>
      </c>
      <c r="K518" s="49">
        <f t="shared" ca="1" si="115"/>
        <v>0</v>
      </c>
      <c r="L518" s="61"/>
      <c r="M518" s="61"/>
      <c r="N518" s="61"/>
    </row>
    <row r="519" spans="1:14" ht="21.75" customHeight="1" x14ac:dyDescent="0.4">
      <c r="A519" s="55"/>
      <c r="B519" s="56"/>
      <c r="C519" s="56"/>
      <c r="D519" s="73"/>
      <c r="E519" s="77"/>
      <c r="F519" s="75"/>
      <c r="G519" s="334" t="s">
        <v>211</v>
      </c>
      <c r="H519" s="60" t="s">
        <v>103</v>
      </c>
      <c r="I519" s="67">
        <v>0</v>
      </c>
      <c r="J519" s="68">
        <v>100</v>
      </c>
      <c r="K519" s="49">
        <f t="shared" ca="1" si="115"/>
        <v>100</v>
      </c>
      <c r="L519" s="61"/>
      <c r="M519" s="61"/>
      <c r="N519" s="61"/>
    </row>
    <row r="520" spans="1:14" ht="21.75" customHeight="1" x14ac:dyDescent="0.4">
      <c r="A520" s="335" t="s">
        <v>212</v>
      </c>
      <c r="B520" s="336"/>
      <c r="C520" s="336"/>
      <c r="D520" s="336"/>
      <c r="E520" s="336"/>
      <c r="F520" s="336"/>
      <c r="G520" s="337"/>
      <c r="H520" s="338"/>
      <c r="I520" s="339">
        <f ca="1">I521+I523+I525</f>
        <v>5548893.3499999894</v>
      </c>
      <c r="J520" s="339"/>
      <c r="K520" s="340"/>
      <c r="L520" s="340"/>
      <c r="M520" s="340">
        <f t="shared" ref="M520:N520" si="118">M521+M523+M525</f>
        <v>361766.17999999993</v>
      </c>
      <c r="N520" s="340">
        <f t="shared" ca="1" si="118"/>
        <v>16.28061136027312</v>
      </c>
    </row>
    <row r="521" spans="1:14" ht="21.75" customHeight="1" x14ac:dyDescent="0.4">
      <c r="A521" s="316"/>
      <c r="B521" s="45" t="s">
        <v>213</v>
      </c>
      <c r="C521" s="43"/>
      <c r="D521" s="51"/>
      <c r="E521" s="45"/>
      <c r="F521" s="45"/>
      <c r="G521" s="46"/>
      <c r="H521" s="342" t="s">
        <v>20</v>
      </c>
      <c r="I521" s="200">
        <f ca="1">IFERROR(__xludf.DUMMYFUNCTION("IMPORTRANGE(""https://docs.google.com/spreadsheets/d/1muirlRDkqiswvy_NRZ3Yh955hx-PF6_HhssUYiSJj8o/edit?usp=sharing"",""กองทุน!D22"")"),2948302.07)</f>
        <v>2948302.07</v>
      </c>
      <c r="J521" s="200">
        <f ca="1">IFERROR(__xludf.DUMMYFUNCTION("IMPORTRANGE(""https://docs.google.com/spreadsheets/d/1muirlRDkqiswvy_NRZ3Yh955hx-PF6_HhssUYiSJj8o/edit?usp=sharing"",""กองทุน!F22"")"),0)</f>
        <v>0</v>
      </c>
      <c r="K521" s="201">
        <f t="shared" ref="K521:K528" ca="1" si="119">IF(I521&gt;0,J521*100/I521,0)</f>
        <v>0</v>
      </c>
      <c r="L521" s="201"/>
      <c r="M521" s="201">
        <v>343297.04</v>
      </c>
      <c r="N521" s="53">
        <f t="shared" ref="N521:N527" ca="1" si="120">M521*100/I521</f>
        <v>11.643889664263609</v>
      </c>
    </row>
    <row r="522" spans="1:14" ht="21.75" customHeight="1" x14ac:dyDescent="0.4">
      <c r="A522" s="316"/>
      <c r="B522" s="43"/>
      <c r="C522" s="43"/>
      <c r="D522" s="51"/>
      <c r="E522" s="45"/>
      <c r="F522" s="45"/>
      <c r="G522" s="46"/>
      <c r="H522" s="342" t="s">
        <v>16</v>
      </c>
      <c r="I522" s="200">
        <f ca="1">IFERROR(__xludf.DUMMYFUNCTION("IMPORTRANGE(""https://docs.google.com/spreadsheets/d/1muirlRDkqiswvy_NRZ3Yh955hx-PF6_HhssUYiSJj8o/edit?usp=sharing"",""กองทุน!C22"")"),159)</f>
        <v>159</v>
      </c>
      <c r="J522" s="200">
        <f ca="1">IFERROR(__xludf.DUMMYFUNCTION("IMPORTRANGE(""https://docs.google.com/spreadsheets/d/1muirlRDkqiswvy_NRZ3Yh955hx-PF6_HhssUYiSJj8o/edit?usp=sharing"",""กองทุน!E22"")"),0)</f>
        <v>0</v>
      </c>
      <c r="K522" s="201">
        <f t="shared" ca="1" si="119"/>
        <v>0</v>
      </c>
      <c r="L522" s="201"/>
      <c r="M522" s="201">
        <v>19</v>
      </c>
      <c r="N522" s="53">
        <f t="shared" ca="1" si="120"/>
        <v>11.949685534591195</v>
      </c>
    </row>
    <row r="523" spans="1:14" ht="21.75" customHeight="1" x14ac:dyDescent="0.4">
      <c r="A523" s="316"/>
      <c r="B523" s="45" t="s">
        <v>214</v>
      </c>
      <c r="C523" s="43"/>
      <c r="D523" s="51"/>
      <c r="E523" s="45"/>
      <c r="F523" s="45"/>
      <c r="G523" s="46"/>
      <c r="H523" s="342" t="s">
        <v>20</v>
      </c>
      <c r="I523" s="200">
        <f ca="1">IFERROR(__xludf.DUMMYFUNCTION("IMPORTRANGE(""https://docs.google.com/spreadsheets/d/1muirlRDkqiswvy_NRZ3Yh955hx-PF6_HhssUYiSJj8o/edit?usp=sharing"",""กองทุน!I22"")"),2497940.64999999)</f>
        <v>2497940.6499999901</v>
      </c>
      <c r="J523" s="200">
        <f ca="1">IFERROR(__xludf.DUMMYFUNCTION("IMPORTRANGE(""https://docs.google.com/spreadsheets/d/1muirlRDkqiswvy_NRZ3Yh955hx-PF6_HhssUYiSJj8o/edit?usp=sharing"",""กองทุน!K22"")"),673.24)</f>
        <v>673.24</v>
      </c>
      <c r="K523" s="201">
        <f t="shared" ca="1" si="119"/>
        <v>2.6951801276783843E-2</v>
      </c>
      <c r="L523" s="201"/>
      <c r="M523" s="201">
        <v>14297.04</v>
      </c>
      <c r="N523" s="53">
        <f t="shared" ca="1" si="120"/>
        <v>0.5723530701179812</v>
      </c>
    </row>
    <row r="524" spans="1:14" ht="21.75" customHeight="1" x14ac:dyDescent="0.4">
      <c r="A524" s="316"/>
      <c r="B524" s="43"/>
      <c r="C524" s="43"/>
      <c r="D524" s="51"/>
      <c r="E524" s="45"/>
      <c r="F524" s="45"/>
      <c r="G524" s="46"/>
      <c r="H524" s="342" t="s">
        <v>16</v>
      </c>
      <c r="I524" s="200">
        <f ca="1">IFERROR(__xludf.DUMMYFUNCTION("IMPORTRANGE(""https://docs.google.com/spreadsheets/d/1muirlRDkqiswvy_NRZ3Yh955hx-PF6_HhssUYiSJj8o/edit?usp=sharing"",""กองทุน!H22"")"),81)</f>
        <v>81</v>
      </c>
      <c r="J524" s="200">
        <f ca="1">IFERROR(__xludf.DUMMYFUNCTION("IMPORTRANGE(""https://docs.google.com/spreadsheets/d/1muirlRDkqiswvy_NRZ3Yh955hx-PF6_HhssUYiSJj8o/edit?usp=sharing"",""กองทุน!J22"")"),1)</f>
        <v>1</v>
      </c>
      <c r="K524" s="201">
        <f t="shared" ca="1" si="119"/>
        <v>1.2345679012345678</v>
      </c>
      <c r="L524" s="201"/>
      <c r="M524" s="201">
        <v>8</v>
      </c>
      <c r="N524" s="53">
        <f t="shared" ca="1" si="120"/>
        <v>9.8765432098765427</v>
      </c>
    </row>
    <row r="525" spans="1:14" ht="21.75" customHeight="1" x14ac:dyDescent="0.4">
      <c r="A525" s="316"/>
      <c r="B525" s="45" t="s">
        <v>215</v>
      </c>
      <c r="C525" s="43"/>
      <c r="D525" s="51"/>
      <c r="E525" s="45"/>
      <c r="F525" s="45"/>
      <c r="G525" s="46"/>
      <c r="H525" s="342" t="s">
        <v>20</v>
      </c>
      <c r="I525" s="200">
        <f ca="1">IFERROR(__xludf.DUMMYFUNCTION("IMPORTRANGE(""https://docs.google.com/spreadsheets/d/1muirlRDkqiswvy_NRZ3Yh955hx-PF6_HhssUYiSJj8o/edit?usp=sharing"",""กองทุน!N22"")"),102650.63)</f>
        <v>102650.63</v>
      </c>
      <c r="J525" s="200">
        <f ca="1">IFERROR(__xludf.DUMMYFUNCTION("IMPORTRANGE(""https://docs.google.com/spreadsheets/d/1muirlRDkqiswvy_NRZ3Yh955hx-PF6_HhssUYiSJj8o/edit?usp=sharing"",""กองทุน!P22"")"),1468.36)</f>
        <v>1468.36</v>
      </c>
      <c r="K525" s="201">
        <f t="shared" ca="1" si="119"/>
        <v>1.4304442164651108</v>
      </c>
      <c r="L525" s="201"/>
      <c r="M525" s="201">
        <f>3384.6+787.5</f>
        <v>4172.1000000000004</v>
      </c>
      <c r="N525" s="53">
        <f t="shared" ca="1" si="120"/>
        <v>4.0643686258915315</v>
      </c>
    </row>
    <row r="526" spans="1:14" ht="21.75" customHeight="1" x14ac:dyDescent="0.4">
      <c r="A526" s="316"/>
      <c r="B526" s="45"/>
      <c r="C526" s="43"/>
      <c r="D526" s="51"/>
      <c r="E526" s="45"/>
      <c r="F526" s="45"/>
      <c r="G526" s="46"/>
      <c r="H526" s="342" t="s">
        <v>16</v>
      </c>
      <c r="I526" s="200">
        <f ca="1">IFERROR(__xludf.DUMMYFUNCTION("IMPORTRANGE(""https://docs.google.com/spreadsheets/d/1muirlRDkqiswvy_NRZ3Yh955hx-PF6_HhssUYiSJj8o/edit?usp=sharing"",""กองทุน!M22"")"),23)</f>
        <v>23</v>
      </c>
      <c r="J526" s="200">
        <f ca="1">IFERROR(__xludf.DUMMYFUNCTION("IMPORTRANGE(""https://docs.google.com/spreadsheets/d/1muirlRDkqiswvy_NRZ3Yh955hx-PF6_HhssUYiSJj8o/edit?usp=sharing"",""กองทุน!O22"")"),1)</f>
        <v>1</v>
      </c>
      <c r="K526" s="201">
        <f t="shared" ca="1" si="119"/>
        <v>4.3478260869565215</v>
      </c>
      <c r="L526" s="201"/>
      <c r="M526" s="201">
        <v>4</v>
      </c>
      <c r="N526" s="53">
        <f t="shared" ca="1" si="120"/>
        <v>17.391304347826086</v>
      </c>
    </row>
    <row r="527" spans="1:14" ht="21.75" customHeight="1" x14ac:dyDescent="0.4">
      <c r="A527" s="316"/>
      <c r="B527" s="45" t="s">
        <v>216</v>
      </c>
      <c r="C527" s="43"/>
      <c r="D527" s="51"/>
      <c r="E527" s="45"/>
      <c r="F527" s="45"/>
      <c r="G527" s="46"/>
      <c r="H527" s="342" t="s">
        <v>20</v>
      </c>
      <c r="I527" s="200">
        <f ca="1">IFERROR(__xludf.DUMMYFUNCTION("IMPORTRANGE(""https://docs.google.com/spreadsheets/d/1muirlRDkqiswvy_NRZ3Yh955hx-PF6_HhssUYiSJj8o/edit?usp=sharing"",""กองทุน!S22"")"),1890000)</f>
        <v>1890000</v>
      </c>
      <c r="J527" s="200">
        <f ca="1">IFERROR(__xludf.DUMMYFUNCTION("IMPORTRANGE(""https://docs.google.com/spreadsheets/d/1muirlRDkqiswvy_NRZ3Yh955hx-PF6_HhssUYiSJj8o/edit?usp=sharing"",""กองทุน!U22"")"),0)</f>
        <v>0</v>
      </c>
      <c r="K527" s="201">
        <f t="shared" ca="1" si="119"/>
        <v>0</v>
      </c>
      <c r="L527" s="201"/>
      <c r="M527" s="201">
        <v>0</v>
      </c>
      <c r="N527" s="53">
        <f t="shared" ca="1" si="120"/>
        <v>0</v>
      </c>
    </row>
    <row r="528" spans="1:14" ht="21.75" customHeight="1" x14ac:dyDescent="0.4">
      <c r="A528" s="317"/>
      <c r="B528" s="319"/>
      <c r="C528" s="319"/>
      <c r="D528" s="318"/>
      <c r="E528" s="343"/>
      <c r="F528" s="343"/>
      <c r="G528" s="344"/>
      <c r="H528" s="345" t="s">
        <v>16</v>
      </c>
      <c r="I528" s="322">
        <f ca="1">IFERROR(__xludf.DUMMYFUNCTION("IMPORTRANGE(""https://docs.google.com/spreadsheets/d/1muirlRDkqiswvy_NRZ3Yh955hx-PF6_HhssUYiSJj8o/edit?usp=sharing"",""กองทุน!R22"")"),63)</f>
        <v>63</v>
      </c>
      <c r="J528" s="322">
        <f ca="1">IFERROR(__xludf.DUMMYFUNCTION("IMPORTRANGE(""https://docs.google.com/spreadsheets/d/1muirlRDkqiswvy_NRZ3Yh955hx-PF6_HhssUYiSJj8o/edit?usp=sharing"",""กองทุน!T22"")"),0)</f>
        <v>0</v>
      </c>
      <c r="K528" s="323">
        <f t="shared" ca="1" si="119"/>
        <v>0</v>
      </c>
      <c r="L528" s="323"/>
      <c r="M528" s="323"/>
      <c r="N528" s="346"/>
    </row>
    <row r="529" spans="1:14" ht="21.75" customHeight="1" x14ac:dyDescent="0.4">
      <c r="A529" s="347"/>
      <c r="B529" s="347"/>
      <c r="C529" s="347"/>
      <c r="D529" s="347"/>
      <c r="E529" s="348" t="s">
        <v>217</v>
      </c>
      <c r="F529" s="348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&amp;P/&amp;N&amp;R&amp;F</oddFooter>
  </headerFooter>
  <rowBreaks count="7" manualBreakCount="7">
    <brk id="65" max="16383" man="1"/>
    <brk id="128" max="16383" man="1"/>
    <brk id="197" max="16383" man="1"/>
    <brk id="274" max="16383" man="1"/>
    <brk id="329" max="16383" man="1"/>
    <brk id="389" max="16383" man="1"/>
    <brk id="45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L18" sqref="L18"/>
      <selection pane="bottomLeft" activeCell="L18" sqref="L18"/>
    </sheetView>
  </sheetViews>
  <sheetFormatPr defaultColWidth="12.625" defaultRowHeight="15" customHeight="1" x14ac:dyDescent="0.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8.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4">
      <c r="A1" s="403" t="s">
        <v>0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</row>
    <row r="2" spans="1:14" ht="18" customHeight="1" x14ac:dyDescent="0.4">
      <c r="A2" s="403" t="s">
        <v>230</v>
      </c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404"/>
    </row>
    <row r="3" spans="1:14" ht="18" customHeight="1" x14ac:dyDescent="0.4">
      <c r="A3" s="403" t="s">
        <v>249</v>
      </c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04"/>
    </row>
    <row r="4" spans="1:14" ht="33.75" customHeight="1" x14ac:dyDescent="0.4">
      <c r="A4" s="2"/>
      <c r="B4" s="2"/>
      <c r="C4" s="2"/>
      <c r="D4" s="2"/>
      <c r="E4" s="2"/>
      <c r="F4" s="2"/>
      <c r="G4" s="2"/>
      <c r="H4" s="2"/>
      <c r="I4" s="2"/>
      <c r="J4" s="354" t="s">
        <v>2</v>
      </c>
      <c r="K4" s="4"/>
      <c r="L4" s="5"/>
      <c r="M4" s="355" t="s">
        <v>3</v>
      </c>
      <c r="N4" s="2"/>
    </row>
    <row r="5" spans="1:14" ht="21.75" customHeight="1" x14ac:dyDescent="0.55000000000000004">
      <c r="A5" s="405" t="s">
        <v>4</v>
      </c>
      <c r="B5" s="406"/>
      <c r="C5" s="406"/>
      <c r="D5" s="406"/>
      <c r="E5" s="406"/>
      <c r="F5" s="406"/>
      <c r="G5" s="407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1571000</v>
      </c>
      <c r="M6" s="16">
        <f t="shared" si="0"/>
        <v>166519</v>
      </c>
      <c r="N6" s="17">
        <f ca="1">IF(L6&gt;0,M6*100/L6,0)</f>
        <v>10.5995544239338</v>
      </c>
    </row>
    <row r="7" spans="1:14" ht="21.75" customHeight="1" x14ac:dyDescent="0.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41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41">
        <f ca="1">IF(L9&gt;0,M9*100/L9,0)</f>
        <v>0</v>
      </c>
    </row>
    <row r="10" spans="1:14" ht="21.75" customHeight="1" x14ac:dyDescent="0.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41">
        <f t="shared" ca="1" si="2"/>
        <v>0</v>
      </c>
      <c r="L10" s="40"/>
      <c r="M10" s="40"/>
      <c r="N10" s="41"/>
    </row>
    <row r="11" spans="1:14" ht="21.75" customHeight="1" x14ac:dyDescent="0.4">
      <c r="A11" s="42"/>
      <c r="B11" s="43"/>
      <c r="C11" s="43" t="s">
        <v>17</v>
      </c>
      <c r="D11" s="44" t="s">
        <v>18</v>
      </c>
      <c r="E11" s="45"/>
      <c r="F11" s="45"/>
      <c r="G11" s="46" t="s">
        <v>19</v>
      </c>
      <c r="H11" s="47" t="s">
        <v>20</v>
      </c>
      <c r="I11" s="48" t="s">
        <v>21</v>
      </c>
      <c r="J11" s="48"/>
      <c r="K11" s="49"/>
      <c r="L11" s="50">
        <v>0</v>
      </c>
      <c r="M11" s="50">
        <v>0</v>
      </c>
      <c r="N11" s="50">
        <f t="shared" ref="N11:N14" si="4">+IF(L11&gt;0,M11*100/L11,0)</f>
        <v>0</v>
      </c>
    </row>
    <row r="12" spans="1:14" ht="21.75" customHeight="1" x14ac:dyDescent="0.4">
      <c r="A12" s="42"/>
      <c r="B12" s="43"/>
      <c r="C12" s="43"/>
      <c r="D12" s="51"/>
      <c r="E12" s="45"/>
      <c r="F12" s="45" t="s">
        <v>21</v>
      </c>
      <c r="G12" s="46" t="s">
        <v>22</v>
      </c>
      <c r="H12" s="47" t="s">
        <v>20</v>
      </c>
      <c r="I12" s="48"/>
      <c r="J12" s="48"/>
      <c r="K12" s="49"/>
      <c r="L12" s="53">
        <f ca="1">IFERROR(__xludf.DUMMYFUNCTION("IMPORTRANGE(""https://docs.google.com/spreadsheets/d/1C3CXT74ZlgGe6_JY_1olB1XN4rF0dxEuIIF-xsYjHgg/edit?usp=sharing"",""พรบ!C23"")"),0)</f>
        <v>0</v>
      </c>
      <c r="M12" s="50">
        <f>SUM(M13:M14)</f>
        <v>0</v>
      </c>
      <c r="N12" s="50">
        <f t="shared" ca="1" si="4"/>
        <v>0</v>
      </c>
    </row>
    <row r="13" spans="1:14" ht="21.75" customHeight="1" x14ac:dyDescent="0.4">
      <c r="A13" s="42"/>
      <c r="B13" s="43"/>
      <c r="C13" s="43"/>
      <c r="D13" s="51"/>
      <c r="E13" s="45"/>
      <c r="F13" s="45"/>
      <c r="G13" s="52" t="s">
        <v>23</v>
      </c>
      <c r="H13" s="47" t="s">
        <v>20</v>
      </c>
      <c r="I13" s="48"/>
      <c r="J13" s="67"/>
      <c r="K13" s="233"/>
      <c r="L13" s="53">
        <f ca="1">IFERROR(__xludf.DUMMYFUNCTION("IMPORTRANGE(""https://docs.google.com/spreadsheets/d/1C3CXT74ZlgGe6_JY_1olB1XN4rF0dxEuIIF-xsYjHgg/edit?usp=sharing"",""พรบ!D23"")"),0)</f>
        <v>0</v>
      </c>
      <c r="M13" s="53">
        <v>0</v>
      </c>
      <c r="N13" s="53">
        <f t="shared" ca="1" si="4"/>
        <v>0</v>
      </c>
    </row>
    <row r="14" spans="1:14" ht="21.75" customHeight="1" x14ac:dyDescent="0.4">
      <c r="A14" s="42"/>
      <c r="B14" s="43"/>
      <c r="C14" s="43"/>
      <c r="D14" s="51"/>
      <c r="E14" s="45"/>
      <c r="F14" s="45"/>
      <c r="G14" s="52" t="s">
        <v>24</v>
      </c>
      <c r="H14" s="47" t="s">
        <v>20</v>
      </c>
      <c r="I14" s="48"/>
      <c r="J14" s="67"/>
      <c r="K14" s="233"/>
      <c r="L14" s="53">
        <f ca="1">IFERROR(__xludf.DUMMYFUNCTION("IMPORTRANGE(""https://docs.google.com/spreadsheets/d/1C3CXT74ZlgGe6_JY_1olB1XN4rF0dxEuIIF-xsYjHgg/edit?usp=sharing"",""พรบ!E23"")"),0)</f>
        <v>0</v>
      </c>
      <c r="M14" s="53">
        <v>0</v>
      </c>
      <c r="N14" s="53">
        <f t="shared" ca="1" si="4"/>
        <v>0</v>
      </c>
    </row>
    <row r="15" spans="1:14" ht="21.75" customHeight="1" x14ac:dyDescent="0.4">
      <c r="A15" s="55"/>
      <c r="B15" s="56"/>
      <c r="C15" s="43" t="s">
        <v>17</v>
      </c>
      <c r="D15" s="57" t="s">
        <v>25</v>
      </c>
      <c r="E15" s="58"/>
      <c r="F15" s="58"/>
      <c r="G15" s="59"/>
      <c r="H15" s="60"/>
      <c r="I15" s="48"/>
      <c r="J15" s="67"/>
      <c r="K15" s="233"/>
      <c r="L15" s="53"/>
      <c r="M15" s="53"/>
      <c r="N15" s="61"/>
    </row>
    <row r="16" spans="1:14" ht="21.75" customHeight="1" x14ac:dyDescent="0.4">
      <c r="A16" s="55"/>
      <c r="B16" s="56"/>
      <c r="C16" s="56"/>
      <c r="D16" s="62">
        <v>1</v>
      </c>
      <c r="E16" s="63" t="s">
        <v>26</v>
      </c>
      <c r="F16" s="64"/>
      <c r="G16" s="65"/>
      <c r="H16" s="66"/>
      <c r="I16" s="67"/>
      <c r="J16" s="67">
        <v>0</v>
      </c>
      <c r="K16" s="233"/>
      <c r="L16" s="53"/>
      <c r="M16" s="53"/>
      <c r="N16" s="61"/>
    </row>
    <row r="17" spans="1:14" ht="21.75" customHeight="1" x14ac:dyDescent="0.4">
      <c r="A17" s="55"/>
      <c r="B17" s="56"/>
      <c r="C17" s="56"/>
      <c r="D17" s="69">
        <v>2</v>
      </c>
      <c r="E17" s="70" t="s">
        <v>27</v>
      </c>
      <c r="F17" s="71"/>
      <c r="G17" s="72"/>
      <c r="H17" s="66"/>
      <c r="I17" s="67"/>
      <c r="J17" s="67">
        <v>0</v>
      </c>
      <c r="K17" s="233"/>
      <c r="L17" s="53" t="s">
        <v>21</v>
      </c>
      <c r="M17" s="53" t="s">
        <v>21</v>
      </c>
      <c r="N17" s="61"/>
    </row>
    <row r="18" spans="1:14" ht="21.75" customHeight="1" x14ac:dyDescent="0.4">
      <c r="A18" s="55"/>
      <c r="B18" s="56"/>
      <c r="C18" s="56"/>
      <c r="D18" s="73"/>
      <c r="E18" s="74" t="s">
        <v>28</v>
      </c>
      <c r="F18" s="75"/>
      <c r="G18" s="76"/>
      <c r="H18" s="66"/>
      <c r="I18" s="67"/>
      <c r="J18" s="67">
        <v>0</v>
      </c>
      <c r="K18" s="233"/>
      <c r="L18" s="53"/>
      <c r="M18" s="53"/>
      <c r="N18" s="61"/>
    </row>
    <row r="19" spans="1:14" ht="21.75" customHeight="1" x14ac:dyDescent="0.4">
      <c r="A19" s="55"/>
      <c r="B19" s="56"/>
      <c r="C19" s="56"/>
      <c r="D19" s="73"/>
      <c r="E19" s="74" t="s">
        <v>29</v>
      </c>
      <c r="F19" s="75"/>
      <c r="G19" s="76"/>
      <c r="H19" s="66"/>
      <c r="I19" s="67"/>
      <c r="J19" s="67">
        <v>0</v>
      </c>
      <c r="K19" s="233"/>
      <c r="L19" s="53"/>
      <c r="M19" s="53"/>
      <c r="N19" s="61"/>
    </row>
    <row r="20" spans="1:14" ht="21.75" customHeight="1" x14ac:dyDescent="0.4">
      <c r="A20" s="55"/>
      <c r="B20" s="56"/>
      <c r="C20" s="56"/>
      <c r="D20" s="73"/>
      <c r="E20" s="77"/>
      <c r="F20" s="74" t="s">
        <v>30</v>
      </c>
      <c r="G20" s="75"/>
      <c r="H20" s="78" t="s">
        <v>15</v>
      </c>
      <c r="I20" s="79">
        <f t="shared" ref="I20:J20" ca="1" si="5">+I22+I24+I26</f>
        <v>0</v>
      </c>
      <c r="J20" s="79">
        <f t="shared" si="5"/>
        <v>0</v>
      </c>
      <c r="K20" s="362">
        <f ca="1">IF(I20&gt;0,J20*100/I20,0)</f>
        <v>0</v>
      </c>
      <c r="L20" s="53"/>
      <c r="M20" s="53"/>
      <c r="N20" s="61"/>
    </row>
    <row r="21" spans="1:14" ht="21.75" customHeight="1" x14ac:dyDescent="0.4">
      <c r="A21" s="55"/>
      <c r="B21" s="56"/>
      <c r="C21" s="56"/>
      <c r="D21" s="73"/>
      <c r="E21" s="77"/>
      <c r="F21" s="75"/>
      <c r="G21" s="76"/>
      <c r="H21" s="78" t="s">
        <v>16</v>
      </c>
      <c r="I21" s="79">
        <f t="shared" ref="I21:J21" ca="1" si="6">+I23+I25+I27</f>
        <v>0</v>
      </c>
      <c r="J21" s="79">
        <f t="shared" si="6"/>
        <v>0</v>
      </c>
      <c r="K21" s="362">
        <f t="shared" ref="K21:K28" ca="1" si="7">IF(I21&gt;0,J21*100/I21,0)</f>
        <v>0</v>
      </c>
      <c r="L21" s="53"/>
      <c r="M21" s="53"/>
      <c r="N21" s="61"/>
    </row>
    <row r="22" spans="1:14" ht="21.75" customHeight="1" x14ac:dyDescent="0.4">
      <c r="A22" s="55"/>
      <c r="B22" s="56"/>
      <c r="C22" s="56"/>
      <c r="D22" s="73"/>
      <c r="E22" s="77"/>
      <c r="F22" s="75"/>
      <c r="G22" s="75" t="s">
        <v>31</v>
      </c>
      <c r="H22" s="60" t="s">
        <v>15</v>
      </c>
      <c r="I22" s="48">
        <f ca="1">IFERROR(__xludf.DUMMYFUNCTION("IMPORTRANGE(""https://docs.google.com/spreadsheets/d/1C3CXT74ZlgGe6_JY_1olB1XN4rF0dxEuIIF-xsYjHgg/edit?usp=sharing"",""พรบ!H23"")"),0)</f>
        <v>0</v>
      </c>
      <c r="J22" s="67">
        <v>0</v>
      </c>
      <c r="K22" s="233">
        <f t="shared" ca="1" si="7"/>
        <v>0</v>
      </c>
      <c r="L22" s="53"/>
      <c r="M22" s="53"/>
      <c r="N22" s="61"/>
    </row>
    <row r="23" spans="1:14" ht="21.75" customHeight="1" x14ac:dyDescent="0.4">
      <c r="A23" s="55"/>
      <c r="B23" s="56"/>
      <c r="C23" s="56"/>
      <c r="D23" s="73"/>
      <c r="E23" s="77"/>
      <c r="F23" s="75"/>
      <c r="G23" s="76"/>
      <c r="H23" s="60" t="s">
        <v>16</v>
      </c>
      <c r="I23" s="48">
        <f ca="1">IFERROR(__xludf.DUMMYFUNCTION("IMPORTRANGE(""https://docs.google.com/spreadsheets/d/1C3CXT74ZlgGe6_JY_1olB1XN4rF0dxEuIIF-xsYjHgg/edit?usp=sharing"",""พรบ!I23"")"),0)</f>
        <v>0</v>
      </c>
      <c r="J23" s="67">
        <v>0</v>
      </c>
      <c r="K23" s="233">
        <f t="shared" ca="1" si="7"/>
        <v>0</v>
      </c>
      <c r="L23" s="53"/>
      <c r="M23" s="53"/>
      <c r="N23" s="61"/>
    </row>
    <row r="24" spans="1:14" ht="21.75" customHeight="1" x14ac:dyDescent="0.4">
      <c r="A24" s="55"/>
      <c r="B24" s="56"/>
      <c r="C24" s="56"/>
      <c r="D24" s="73"/>
      <c r="E24" s="77"/>
      <c r="F24" s="75"/>
      <c r="G24" s="75" t="s">
        <v>32</v>
      </c>
      <c r="H24" s="60" t="s">
        <v>15</v>
      </c>
      <c r="I24" s="48">
        <f ca="1">IFERROR(__xludf.DUMMYFUNCTION("IMPORTRANGE(""https://docs.google.com/spreadsheets/d/1C3CXT74ZlgGe6_JY_1olB1XN4rF0dxEuIIF-xsYjHgg/edit?usp=sharing"",""พรบ!J23"")"),0)</f>
        <v>0</v>
      </c>
      <c r="J24" s="67">
        <v>0</v>
      </c>
      <c r="K24" s="233">
        <f t="shared" ca="1" si="7"/>
        <v>0</v>
      </c>
      <c r="L24" s="53"/>
      <c r="M24" s="53"/>
      <c r="N24" s="61"/>
    </row>
    <row r="25" spans="1:14" ht="21.75" customHeight="1" x14ac:dyDescent="0.4">
      <c r="A25" s="55"/>
      <c r="B25" s="56"/>
      <c r="C25" s="56"/>
      <c r="D25" s="73"/>
      <c r="E25" s="77"/>
      <c r="F25" s="75"/>
      <c r="G25" s="76"/>
      <c r="H25" s="60" t="s">
        <v>16</v>
      </c>
      <c r="I25" s="48">
        <f ca="1">IFERROR(__xludf.DUMMYFUNCTION("IMPORTRANGE(""https://docs.google.com/spreadsheets/d/1C3CXT74ZlgGe6_JY_1olB1XN4rF0dxEuIIF-xsYjHgg/edit?usp=sharing"",""พรบ!K23"")"),0)</f>
        <v>0</v>
      </c>
      <c r="J25" s="67">
        <v>0</v>
      </c>
      <c r="K25" s="233">
        <f t="shared" ca="1" si="7"/>
        <v>0</v>
      </c>
      <c r="L25" s="53"/>
      <c r="M25" s="53"/>
      <c r="N25" s="61"/>
    </row>
    <row r="26" spans="1:14" ht="21.75" customHeight="1" x14ac:dyDescent="0.4">
      <c r="A26" s="55"/>
      <c r="B26" s="56"/>
      <c r="C26" s="56"/>
      <c r="D26" s="73"/>
      <c r="E26" s="77"/>
      <c r="F26" s="75"/>
      <c r="G26" s="75" t="s">
        <v>33</v>
      </c>
      <c r="H26" s="60" t="s">
        <v>15</v>
      </c>
      <c r="I26" s="48">
        <f ca="1">IFERROR(__xludf.DUMMYFUNCTION("IMPORTRANGE(""https://docs.google.com/spreadsheets/d/1C3CXT74ZlgGe6_JY_1olB1XN4rF0dxEuIIF-xsYjHgg/edit?usp=sharing"",""พรบ!L23"")"),0)</f>
        <v>0</v>
      </c>
      <c r="J26" s="67">
        <v>0</v>
      </c>
      <c r="K26" s="233">
        <f t="shared" ca="1" si="7"/>
        <v>0</v>
      </c>
      <c r="L26" s="53"/>
      <c r="M26" s="53"/>
      <c r="N26" s="61"/>
    </row>
    <row r="27" spans="1:14" ht="21.75" customHeight="1" x14ac:dyDescent="0.4">
      <c r="A27" s="55"/>
      <c r="B27" s="56"/>
      <c r="C27" s="56"/>
      <c r="D27" s="73"/>
      <c r="E27" s="77"/>
      <c r="F27" s="75"/>
      <c r="G27" s="76"/>
      <c r="H27" s="60" t="s">
        <v>16</v>
      </c>
      <c r="I27" s="48">
        <f ca="1">IFERROR(__xludf.DUMMYFUNCTION("IMPORTRANGE(""https://docs.google.com/spreadsheets/d/1C3CXT74ZlgGe6_JY_1olB1XN4rF0dxEuIIF-xsYjHgg/edit?usp=sharing"",""พรบ!M23"")"),0)</f>
        <v>0</v>
      </c>
      <c r="J27" s="67">
        <v>0</v>
      </c>
      <c r="K27" s="233">
        <f t="shared" ca="1" si="7"/>
        <v>0</v>
      </c>
      <c r="L27" s="53"/>
      <c r="M27" s="53"/>
      <c r="N27" s="61"/>
    </row>
    <row r="28" spans="1:14" ht="21.75" customHeight="1" x14ac:dyDescent="0.4">
      <c r="A28" s="55"/>
      <c r="B28" s="56"/>
      <c r="C28" s="56"/>
      <c r="D28" s="73"/>
      <c r="E28" s="77"/>
      <c r="F28" s="74" t="s">
        <v>34</v>
      </c>
      <c r="G28" s="75"/>
      <c r="H28" s="60" t="s">
        <v>16</v>
      </c>
      <c r="I28" s="48">
        <f ca="1">IFERROR(__xludf.DUMMYFUNCTION("IMPORTRANGE(""https://docs.google.com/spreadsheets/d/1C3CXT74ZlgGe6_JY_1olB1XN4rF0dxEuIIF-xsYjHgg/edit?usp=sharing"",""พรบ!N23"")"),0)</f>
        <v>0</v>
      </c>
      <c r="J28" s="67">
        <v>0</v>
      </c>
      <c r="K28" s="233">
        <f t="shared" ca="1" si="7"/>
        <v>0</v>
      </c>
      <c r="L28" s="53"/>
      <c r="M28" s="53"/>
      <c r="N28" s="61"/>
    </row>
    <row r="29" spans="1:14" ht="21.75" customHeight="1" x14ac:dyDescent="0.4">
      <c r="A29" s="55"/>
      <c r="B29" s="56"/>
      <c r="C29" s="56"/>
      <c r="D29" s="73"/>
      <c r="E29" s="74" t="s">
        <v>35</v>
      </c>
      <c r="F29" s="75"/>
      <c r="G29" s="76"/>
      <c r="H29" s="66"/>
      <c r="I29" s="67"/>
      <c r="J29" s="67">
        <v>0</v>
      </c>
      <c r="K29" s="233"/>
      <c r="L29" s="53"/>
      <c r="M29" s="53"/>
      <c r="N29" s="61"/>
    </row>
    <row r="30" spans="1:14" ht="21.75" customHeight="1" x14ac:dyDescent="0.4">
      <c r="A30" s="55"/>
      <c r="B30" s="56"/>
      <c r="C30" s="56"/>
      <c r="D30" s="81">
        <v>3</v>
      </c>
      <c r="E30" s="82" t="s">
        <v>36</v>
      </c>
      <c r="F30" s="83"/>
      <c r="G30" s="84"/>
      <c r="H30" s="66"/>
      <c r="I30" s="67"/>
      <c r="J30" s="360">
        <v>0</v>
      </c>
      <c r="K30" s="233"/>
      <c r="L30" s="53"/>
      <c r="M30" s="53"/>
      <c r="N30" s="61"/>
    </row>
    <row r="31" spans="1:14" ht="21.75" customHeight="1" x14ac:dyDescent="0.4">
      <c r="A31" s="86" t="s">
        <v>37</v>
      </c>
      <c r="B31" s="87"/>
      <c r="C31" s="88"/>
      <c r="D31" s="87"/>
      <c r="E31" s="89"/>
      <c r="F31" s="89"/>
      <c r="G31" s="90"/>
      <c r="H31" s="91"/>
      <c r="I31" s="92"/>
      <c r="J31" s="92"/>
      <c r="K31" s="93"/>
      <c r="L31" s="94"/>
      <c r="M31" s="94"/>
      <c r="N31" s="95"/>
    </row>
    <row r="32" spans="1:14" ht="21.75" customHeight="1" x14ac:dyDescent="0.4">
      <c r="A32" s="34"/>
      <c r="B32" s="35" t="s">
        <v>38</v>
      </c>
      <c r="C32" s="35"/>
      <c r="D32" s="36"/>
      <c r="E32" s="35"/>
      <c r="F32" s="35"/>
      <c r="G32" s="96"/>
      <c r="H32" s="37" t="s">
        <v>16</v>
      </c>
      <c r="I32" s="38">
        <f t="shared" ref="I32:J32" ca="1" si="8">+I44</f>
        <v>4</v>
      </c>
      <c r="J32" s="38">
        <f t="shared" si="8"/>
        <v>0</v>
      </c>
      <c r="K32" s="41">
        <f t="shared" ref="K32:K33" ca="1" si="9">IF(I32&gt;0,J32*100/I32,0)</f>
        <v>0</v>
      </c>
      <c r="L32" s="97">
        <f ca="1">L34+L35</f>
        <v>122100</v>
      </c>
      <c r="M32" s="97">
        <f>SUM(M34:M35)</f>
        <v>0</v>
      </c>
      <c r="N32" s="41">
        <f ca="1">IF(L32&gt;0,M32*100/L32,0)</f>
        <v>0</v>
      </c>
    </row>
    <row r="33" spans="1:14" ht="21.75" customHeight="1" x14ac:dyDescent="0.4">
      <c r="A33" s="34"/>
      <c r="B33" s="35"/>
      <c r="C33" s="35"/>
      <c r="D33" s="36" t="s">
        <v>39</v>
      </c>
      <c r="E33" s="35"/>
      <c r="F33" s="35"/>
      <c r="G33" s="96"/>
      <c r="H33" s="37" t="s">
        <v>40</v>
      </c>
      <c r="I33" s="38">
        <f ca="1">I48</f>
        <v>1</v>
      </c>
      <c r="J33" s="38">
        <f>+J48</f>
        <v>0</v>
      </c>
      <c r="K33" s="41">
        <f t="shared" ca="1" si="9"/>
        <v>0</v>
      </c>
      <c r="L33" s="97"/>
      <c r="M33" s="97"/>
      <c r="N33" s="41"/>
    </row>
    <row r="34" spans="1:14" ht="21.75" customHeight="1" x14ac:dyDescent="0.4">
      <c r="A34" s="42"/>
      <c r="B34" s="43"/>
      <c r="C34" s="43" t="s">
        <v>17</v>
      </c>
      <c r="D34" s="44" t="s">
        <v>18</v>
      </c>
      <c r="E34" s="45"/>
      <c r="F34" s="45"/>
      <c r="G34" s="46" t="s">
        <v>19</v>
      </c>
      <c r="H34" s="47" t="s">
        <v>20</v>
      </c>
      <c r="I34" s="48" t="s">
        <v>21</v>
      </c>
      <c r="J34" s="48"/>
      <c r="K34" s="49"/>
      <c r="L34" s="53">
        <v>0</v>
      </c>
      <c r="M34" s="50">
        <v>0</v>
      </c>
      <c r="N34" s="50">
        <f t="shared" ref="N34:N37" si="10">+IF(L34&gt;0,M34*100/L34,0)</f>
        <v>0</v>
      </c>
    </row>
    <row r="35" spans="1:14" ht="21.75" customHeight="1" x14ac:dyDescent="0.4">
      <c r="A35" s="42"/>
      <c r="B35" s="43"/>
      <c r="C35" s="43"/>
      <c r="D35" s="51"/>
      <c r="E35" s="45"/>
      <c r="F35" s="45" t="s">
        <v>21</v>
      </c>
      <c r="G35" s="46" t="s">
        <v>22</v>
      </c>
      <c r="H35" s="47" t="s">
        <v>20</v>
      </c>
      <c r="I35" s="48"/>
      <c r="J35" s="48"/>
      <c r="K35" s="49"/>
      <c r="L35" s="53">
        <f ca="1">IFERROR(__xludf.DUMMYFUNCTION("IMPORTRANGE(""https://docs.google.com/spreadsheets/d/1C3CXT74ZlgGe6_JY_1olB1XN4rF0dxEuIIF-xsYjHgg/edit?usp=sharing"",""พรบ!O23"")"),122100)</f>
        <v>122100</v>
      </c>
      <c r="M35" s="50">
        <f>SUM(M36:M37)</f>
        <v>0</v>
      </c>
      <c r="N35" s="50">
        <f t="shared" ca="1" si="10"/>
        <v>0</v>
      </c>
    </row>
    <row r="36" spans="1:14" ht="21.75" customHeight="1" x14ac:dyDescent="0.4">
      <c r="A36" s="42"/>
      <c r="B36" s="43"/>
      <c r="C36" s="43"/>
      <c r="D36" s="51"/>
      <c r="E36" s="45"/>
      <c r="F36" s="45"/>
      <c r="G36" s="52" t="s">
        <v>23</v>
      </c>
      <c r="H36" s="47" t="s">
        <v>20</v>
      </c>
      <c r="I36" s="48"/>
      <c r="J36" s="48"/>
      <c r="K36" s="49"/>
      <c r="L36" s="53">
        <f ca="1">IFERROR(__xludf.DUMMYFUNCTION("IMPORTRANGE(""https://docs.google.com/spreadsheets/d/1C3CXT74ZlgGe6_JY_1olB1XN4rF0dxEuIIF-xsYjHgg/edit?usp=sharing"",""พรบ!P23"")"),0)</f>
        <v>0</v>
      </c>
      <c r="M36" s="53">
        <v>0</v>
      </c>
      <c r="N36" s="53">
        <f t="shared" ca="1" si="10"/>
        <v>0</v>
      </c>
    </row>
    <row r="37" spans="1:14" ht="21.75" customHeight="1" x14ac:dyDescent="0.4">
      <c r="A37" s="42"/>
      <c r="B37" s="43"/>
      <c r="C37" s="43"/>
      <c r="D37" s="51"/>
      <c r="E37" s="45"/>
      <c r="F37" s="45"/>
      <c r="G37" s="52" t="s">
        <v>24</v>
      </c>
      <c r="H37" s="47" t="s">
        <v>20</v>
      </c>
      <c r="I37" s="48"/>
      <c r="J37" s="48"/>
      <c r="K37" s="49"/>
      <c r="L37" s="53">
        <f ca="1">IFERROR(__xludf.DUMMYFUNCTION("IMPORTRANGE(""https://docs.google.com/spreadsheets/d/1C3CXT74ZlgGe6_JY_1olB1XN4rF0dxEuIIF-xsYjHgg/edit?usp=sharing"",""พรบ!Q23"")"),122100)</f>
        <v>122100</v>
      </c>
      <c r="M37" s="54">
        <v>0</v>
      </c>
      <c r="N37" s="53">
        <f t="shared" ca="1" si="10"/>
        <v>0</v>
      </c>
    </row>
    <row r="38" spans="1:14" ht="21.75" customHeight="1" x14ac:dyDescent="0.4">
      <c r="A38" s="55"/>
      <c r="B38" s="56"/>
      <c r="C38" s="43" t="s">
        <v>17</v>
      </c>
      <c r="D38" s="57" t="s">
        <v>25</v>
      </c>
      <c r="E38" s="58"/>
      <c r="F38" s="58"/>
      <c r="G38" s="59"/>
      <c r="H38" s="60"/>
      <c r="I38" s="48"/>
      <c r="J38" s="48"/>
      <c r="K38" s="49"/>
      <c r="L38" s="61"/>
      <c r="M38" s="61"/>
      <c r="N38" s="61"/>
    </row>
    <row r="39" spans="1:14" ht="21.75" customHeight="1" x14ac:dyDescent="0.4">
      <c r="A39" s="55"/>
      <c r="B39" s="56"/>
      <c r="C39" s="56"/>
      <c r="D39" s="62">
        <v>1</v>
      </c>
      <c r="E39" s="63" t="s">
        <v>26</v>
      </c>
      <c r="F39" s="64"/>
      <c r="G39" s="65"/>
      <c r="H39" s="66"/>
      <c r="I39" s="67"/>
      <c r="J39" s="68">
        <v>0</v>
      </c>
      <c r="K39" s="49"/>
      <c r="L39" s="61"/>
      <c r="M39" s="61"/>
      <c r="N39" s="61"/>
    </row>
    <row r="40" spans="1:14" ht="21.75" customHeight="1" x14ac:dyDescent="0.4">
      <c r="A40" s="55"/>
      <c r="B40" s="56"/>
      <c r="C40" s="56"/>
      <c r="D40" s="69">
        <v>2</v>
      </c>
      <c r="E40" s="70" t="s">
        <v>27</v>
      </c>
      <c r="F40" s="71"/>
      <c r="G40" s="72"/>
      <c r="H40" s="66"/>
      <c r="I40" s="67"/>
      <c r="J40" s="68">
        <v>1</v>
      </c>
      <c r="K40" s="49"/>
      <c r="L40" s="61" t="s">
        <v>21</v>
      </c>
      <c r="M40" s="61" t="s">
        <v>21</v>
      </c>
      <c r="N40" s="61"/>
    </row>
    <row r="41" spans="1:14" ht="21.75" customHeight="1" x14ac:dyDescent="0.4">
      <c r="A41" s="55"/>
      <c r="B41" s="56"/>
      <c r="C41" s="56"/>
      <c r="D41" s="73"/>
      <c r="E41" s="74" t="s">
        <v>28</v>
      </c>
      <c r="F41" s="75"/>
      <c r="G41" s="76"/>
      <c r="H41" s="66"/>
      <c r="I41" s="67"/>
      <c r="J41" s="68">
        <v>1</v>
      </c>
      <c r="K41" s="49"/>
      <c r="L41" s="61"/>
      <c r="M41" s="61"/>
      <c r="N41" s="61"/>
    </row>
    <row r="42" spans="1:14" ht="21.75" customHeight="1" x14ac:dyDescent="0.4">
      <c r="A42" s="55"/>
      <c r="B42" s="56"/>
      <c r="C42" s="56"/>
      <c r="D42" s="73"/>
      <c r="E42" s="74" t="s">
        <v>29</v>
      </c>
      <c r="F42" s="75"/>
      <c r="G42" s="76"/>
      <c r="H42" s="66"/>
      <c r="I42" s="67"/>
      <c r="J42" s="68">
        <v>0</v>
      </c>
      <c r="K42" s="49"/>
      <c r="L42" s="61"/>
      <c r="M42" s="61"/>
      <c r="N42" s="61"/>
    </row>
    <row r="43" spans="1:14" ht="21.75" customHeight="1" x14ac:dyDescent="0.4">
      <c r="A43" s="55"/>
      <c r="B43" s="56"/>
      <c r="C43" s="56"/>
      <c r="D43" s="73"/>
      <c r="E43" s="75"/>
      <c r="F43" s="75" t="s">
        <v>41</v>
      </c>
      <c r="G43" s="75"/>
      <c r="H43" s="60" t="s">
        <v>42</v>
      </c>
      <c r="I43" s="48">
        <f ca="1">IFERROR(__xludf.DUMMYFUNCTION("IMPORTRANGE(""https://docs.google.com/spreadsheets/d/1C3CXT74ZlgGe6_JY_1olB1XN4rF0dxEuIIF-xsYjHgg/edit?usp=sharing"",""พรบ!R23"")"),1)</f>
        <v>1</v>
      </c>
      <c r="J43" s="68">
        <v>0</v>
      </c>
      <c r="K43" s="49">
        <f t="shared" ref="K43:K48" ca="1" si="11">IF(I43&gt;0,J43*100/I43,0)</f>
        <v>0</v>
      </c>
      <c r="L43" s="61"/>
      <c r="M43" s="61"/>
      <c r="N43" s="61"/>
    </row>
    <row r="44" spans="1:14" ht="21.75" customHeight="1" x14ac:dyDescent="0.4">
      <c r="A44" s="55"/>
      <c r="B44" s="56"/>
      <c r="C44" s="56"/>
      <c r="D44" s="73"/>
      <c r="E44" s="77"/>
      <c r="F44" s="74" t="s">
        <v>43</v>
      </c>
      <c r="G44" s="75"/>
      <c r="H44" s="60" t="s">
        <v>16</v>
      </c>
      <c r="I44" s="48">
        <f ca="1">IFERROR(__xludf.DUMMYFUNCTION("IMPORTRANGE(""https://docs.google.com/spreadsheets/d/1C3CXT74ZlgGe6_JY_1olB1XN4rF0dxEuIIF-xsYjHgg/edit?usp=sharing"",""พรบ!S23"")"),4)</f>
        <v>4</v>
      </c>
      <c r="J44" s="68">
        <v>0</v>
      </c>
      <c r="K44" s="49">
        <f t="shared" ca="1" si="11"/>
        <v>0</v>
      </c>
      <c r="L44" s="61"/>
      <c r="M44" s="61"/>
      <c r="N44" s="61"/>
    </row>
    <row r="45" spans="1:14" ht="21.75" customHeight="1" x14ac:dyDescent="0.4">
      <c r="A45" s="55"/>
      <c r="B45" s="56"/>
      <c r="C45" s="56"/>
      <c r="D45" s="73"/>
      <c r="E45" s="77"/>
      <c r="F45" s="75"/>
      <c r="G45" s="98" t="s">
        <v>44</v>
      </c>
      <c r="H45" s="60" t="s">
        <v>16</v>
      </c>
      <c r="I45" s="48">
        <f ca="1">IFERROR(__xludf.DUMMYFUNCTION("IMPORTRANGE(""https://docs.google.com/spreadsheets/d/1C3CXT74ZlgGe6_JY_1olB1XN4rF0dxEuIIF-xsYjHgg/edit?usp=sharing"",""พรบ!T23"")"),4)</f>
        <v>4</v>
      </c>
      <c r="J45" s="68">
        <v>0</v>
      </c>
      <c r="K45" s="49">
        <f t="shared" ca="1" si="11"/>
        <v>0</v>
      </c>
      <c r="L45" s="61"/>
      <c r="M45" s="61"/>
      <c r="N45" s="61"/>
    </row>
    <row r="46" spans="1:14" ht="21.75" customHeight="1" x14ac:dyDescent="0.4">
      <c r="A46" s="55"/>
      <c r="B46" s="56"/>
      <c r="C46" s="56"/>
      <c r="D46" s="73"/>
      <c r="E46" s="77"/>
      <c r="F46" s="75"/>
      <c r="G46" s="98" t="s">
        <v>45</v>
      </c>
      <c r="H46" s="60" t="s">
        <v>16</v>
      </c>
      <c r="I46" s="48">
        <f ca="1">IFERROR(__xludf.DUMMYFUNCTION("IMPORTRANGE(""https://docs.google.com/spreadsheets/d/1C3CXT74ZlgGe6_JY_1olB1XN4rF0dxEuIIF-xsYjHgg/edit?usp=sharing"",""พรบ!U23"")"),4)</f>
        <v>4</v>
      </c>
      <c r="J46" s="68">
        <v>0</v>
      </c>
      <c r="K46" s="49">
        <f t="shared" ca="1" si="11"/>
        <v>0</v>
      </c>
      <c r="L46" s="61"/>
      <c r="M46" s="61"/>
      <c r="N46" s="61"/>
    </row>
    <row r="47" spans="1:14" ht="21.75" customHeight="1" x14ac:dyDescent="0.4">
      <c r="A47" s="55"/>
      <c r="B47" s="56"/>
      <c r="C47" s="56"/>
      <c r="D47" s="73"/>
      <c r="E47" s="77"/>
      <c r="F47" s="75"/>
      <c r="G47" s="99" t="s">
        <v>46</v>
      </c>
      <c r="H47" s="60" t="s">
        <v>16</v>
      </c>
      <c r="I47" s="48">
        <f ca="1">IFERROR(__xludf.DUMMYFUNCTION("IMPORTRANGE(""https://docs.google.com/spreadsheets/d/1C3CXT74ZlgGe6_JY_1olB1XN4rF0dxEuIIF-xsYjHgg/edit?usp=sharing"",""พรบ!V23"")"),4)</f>
        <v>4</v>
      </c>
      <c r="J47" s="68">
        <v>0</v>
      </c>
      <c r="K47" s="49">
        <f t="shared" ca="1" si="11"/>
        <v>0</v>
      </c>
      <c r="L47" s="61"/>
      <c r="M47" s="61"/>
      <c r="N47" s="61"/>
    </row>
    <row r="48" spans="1:14" ht="21.75" customHeight="1" x14ac:dyDescent="0.4">
      <c r="A48" s="55"/>
      <c r="B48" s="56"/>
      <c r="C48" s="56"/>
      <c r="D48" s="73"/>
      <c r="E48" s="77"/>
      <c r="F48" s="75" t="s">
        <v>47</v>
      </c>
      <c r="G48" s="75"/>
      <c r="H48" s="60" t="s">
        <v>40</v>
      </c>
      <c r="I48" s="48">
        <f ca="1">IFERROR(__xludf.DUMMYFUNCTION("IMPORTRANGE(""https://docs.google.com/spreadsheets/d/1C3CXT74ZlgGe6_JY_1olB1XN4rF0dxEuIIF-xsYjHgg/edit?usp=sharing"",""พรบ!W23"")"),1)</f>
        <v>1</v>
      </c>
      <c r="J48" s="68">
        <v>0</v>
      </c>
      <c r="K48" s="49">
        <f t="shared" ca="1" si="11"/>
        <v>0</v>
      </c>
      <c r="L48" s="61"/>
      <c r="M48" s="61"/>
      <c r="N48" s="61"/>
    </row>
    <row r="49" spans="1:14" ht="21.75" customHeight="1" x14ac:dyDescent="0.4">
      <c r="A49" s="55"/>
      <c r="B49" s="56"/>
      <c r="C49" s="56"/>
      <c r="D49" s="73"/>
      <c r="E49" s="74" t="s">
        <v>35</v>
      </c>
      <c r="F49" s="75"/>
      <c r="G49" s="76"/>
      <c r="H49" s="66"/>
      <c r="I49" s="67"/>
      <c r="J49" s="68">
        <v>0</v>
      </c>
      <c r="K49" s="49"/>
      <c r="L49" s="61"/>
      <c r="M49" s="61"/>
      <c r="N49" s="61"/>
    </row>
    <row r="50" spans="1:14" ht="21.75" customHeight="1" x14ac:dyDescent="0.4">
      <c r="A50" s="55"/>
      <c r="B50" s="56"/>
      <c r="C50" s="56"/>
      <c r="D50" s="81">
        <v>3</v>
      </c>
      <c r="E50" s="82" t="s">
        <v>36</v>
      </c>
      <c r="F50" s="83"/>
      <c r="G50" s="84"/>
      <c r="H50" s="66"/>
      <c r="I50" s="67"/>
      <c r="J50" s="85">
        <v>0</v>
      </c>
      <c r="K50" s="49"/>
      <c r="L50" s="61"/>
      <c r="M50" s="61"/>
      <c r="N50" s="61"/>
    </row>
    <row r="51" spans="1:14" ht="21.75" customHeight="1" x14ac:dyDescent="0.4">
      <c r="A51" s="86" t="s">
        <v>48</v>
      </c>
      <c r="B51" s="100"/>
      <c r="C51" s="101"/>
      <c r="D51" s="100"/>
      <c r="E51" s="102"/>
      <c r="F51" s="102"/>
      <c r="G51" s="103"/>
      <c r="H51" s="91"/>
      <c r="I51" s="92"/>
      <c r="J51" s="92"/>
      <c r="K51" s="93"/>
      <c r="L51" s="94"/>
      <c r="M51" s="94"/>
      <c r="N51" s="95"/>
    </row>
    <row r="52" spans="1:14" ht="21.75" customHeight="1" x14ac:dyDescent="0.4">
      <c r="A52" s="34"/>
      <c r="B52" s="35" t="s">
        <v>49</v>
      </c>
      <c r="C52" s="104"/>
      <c r="D52" s="36"/>
      <c r="E52" s="35"/>
      <c r="F52" s="35"/>
      <c r="G52" s="96"/>
      <c r="H52" s="37" t="s">
        <v>16</v>
      </c>
      <c r="I52" s="38">
        <f ca="1">I62</f>
        <v>20</v>
      </c>
      <c r="J52" s="38">
        <f>+J62</f>
        <v>0</v>
      </c>
      <c r="K52" s="41">
        <f ca="1">IF(I52&gt;0,J52*100/I52,0)</f>
        <v>0</v>
      </c>
      <c r="L52" s="40">
        <f ca="1">L53+L54</f>
        <v>82440</v>
      </c>
      <c r="M52" s="40">
        <f>SUM(M53:M54)</f>
        <v>0</v>
      </c>
      <c r="N52" s="41">
        <f ca="1">IF(L52&gt;0,M52*100/L52,0)</f>
        <v>0</v>
      </c>
    </row>
    <row r="53" spans="1:14" ht="21.75" customHeight="1" x14ac:dyDescent="0.4">
      <c r="A53" s="42"/>
      <c r="B53" s="43"/>
      <c r="C53" s="43" t="s">
        <v>17</v>
      </c>
      <c r="D53" s="44" t="s">
        <v>18</v>
      </c>
      <c r="E53" s="45"/>
      <c r="F53" s="45"/>
      <c r="G53" s="46" t="s">
        <v>19</v>
      </c>
      <c r="H53" s="47" t="s">
        <v>20</v>
      </c>
      <c r="I53" s="48" t="s">
        <v>21</v>
      </c>
      <c r="J53" s="48"/>
      <c r="K53" s="49"/>
      <c r="L53" s="50">
        <v>0</v>
      </c>
      <c r="M53" s="50">
        <v>0</v>
      </c>
      <c r="N53" s="50">
        <f t="shared" ref="N53:N56" si="12">+IF(L53&gt;0,M53*100/L53,0)</f>
        <v>0</v>
      </c>
    </row>
    <row r="54" spans="1:14" ht="21.75" customHeight="1" x14ac:dyDescent="0.4">
      <c r="A54" s="42"/>
      <c r="B54" s="43"/>
      <c r="C54" s="43"/>
      <c r="D54" s="51"/>
      <c r="E54" s="45"/>
      <c r="F54" s="45" t="s">
        <v>21</v>
      </c>
      <c r="G54" s="46" t="s">
        <v>22</v>
      </c>
      <c r="H54" s="47" t="s">
        <v>20</v>
      </c>
      <c r="I54" s="48"/>
      <c r="J54" s="48"/>
      <c r="K54" s="49"/>
      <c r="L54" s="50">
        <f t="shared" ref="L54:M54" ca="1" si="13">SUM(L55:L56)</f>
        <v>82440</v>
      </c>
      <c r="M54" s="50">
        <f t="shared" si="13"/>
        <v>0</v>
      </c>
      <c r="N54" s="50">
        <f t="shared" ca="1" si="12"/>
        <v>0</v>
      </c>
    </row>
    <row r="55" spans="1:14" ht="21.75" customHeight="1" x14ac:dyDescent="0.4">
      <c r="A55" s="42"/>
      <c r="B55" s="43"/>
      <c r="C55" s="43"/>
      <c r="D55" s="51"/>
      <c r="E55" s="45"/>
      <c r="F55" s="45"/>
      <c r="G55" s="52" t="s">
        <v>23</v>
      </c>
      <c r="H55" s="47" t="s">
        <v>20</v>
      </c>
      <c r="I55" s="48"/>
      <c r="J55" s="48"/>
      <c r="K55" s="49"/>
      <c r="L55" s="53">
        <f ca="1">IFERROR(__xludf.DUMMYFUNCTION("IMPORTRANGE(""https://docs.google.com/spreadsheets/d/1C3CXT74ZlgGe6_JY_1olB1XN4rF0dxEuIIF-xsYjHgg/edit?usp=sharing"",""พรบ!Y23"")"),0)</f>
        <v>0</v>
      </c>
      <c r="M55" s="53">
        <v>0</v>
      </c>
      <c r="N55" s="53">
        <f t="shared" ca="1" si="12"/>
        <v>0</v>
      </c>
    </row>
    <row r="56" spans="1:14" ht="21.75" customHeight="1" x14ac:dyDescent="0.4">
      <c r="A56" s="42"/>
      <c r="B56" s="43"/>
      <c r="C56" s="43"/>
      <c r="D56" s="51"/>
      <c r="E56" s="45"/>
      <c r="F56" s="45"/>
      <c r="G56" s="52" t="s">
        <v>24</v>
      </c>
      <c r="H56" s="47" t="s">
        <v>20</v>
      </c>
      <c r="I56" s="48"/>
      <c r="J56" s="48"/>
      <c r="K56" s="49"/>
      <c r="L56" s="53">
        <f ca="1">IFERROR(__xludf.DUMMYFUNCTION("IMPORTRANGE(""https://docs.google.com/spreadsheets/d/1C3CXT74ZlgGe6_JY_1olB1XN4rF0dxEuIIF-xsYjHgg/edit?usp=sharing"",""พรบ!Z23"")"),82440)</f>
        <v>82440</v>
      </c>
      <c r="M56" s="54">
        <v>0</v>
      </c>
      <c r="N56" s="53">
        <f t="shared" ca="1" si="12"/>
        <v>0</v>
      </c>
    </row>
    <row r="57" spans="1:14" ht="21.75" customHeight="1" x14ac:dyDescent="0.4">
      <c r="A57" s="55"/>
      <c r="B57" s="56"/>
      <c r="C57" s="43" t="s">
        <v>17</v>
      </c>
      <c r="D57" s="57" t="s">
        <v>250</v>
      </c>
      <c r="E57" s="58"/>
      <c r="F57" s="58"/>
      <c r="G57" s="59"/>
      <c r="H57" s="60"/>
      <c r="I57" s="48"/>
      <c r="J57" s="48"/>
      <c r="K57" s="49"/>
      <c r="L57" s="61"/>
      <c r="M57" s="61"/>
      <c r="N57" s="61"/>
    </row>
    <row r="58" spans="1:14" ht="21.75" customHeight="1" x14ac:dyDescent="0.4">
      <c r="A58" s="55"/>
      <c r="B58" s="56"/>
      <c r="C58" s="56"/>
      <c r="D58" s="62">
        <v>1</v>
      </c>
      <c r="E58" s="63" t="s">
        <v>26</v>
      </c>
      <c r="F58" s="64"/>
      <c r="G58" s="65"/>
      <c r="H58" s="66"/>
      <c r="I58" s="67"/>
      <c r="J58" s="68">
        <v>0</v>
      </c>
      <c r="K58" s="49"/>
      <c r="L58" s="61"/>
      <c r="M58" s="61"/>
      <c r="N58" s="61"/>
    </row>
    <row r="59" spans="1:14" ht="21.75" customHeight="1" x14ac:dyDescent="0.4">
      <c r="A59" s="55"/>
      <c r="B59" s="56"/>
      <c r="C59" s="56"/>
      <c r="D59" s="69">
        <v>2</v>
      </c>
      <c r="E59" s="70" t="s">
        <v>27</v>
      </c>
      <c r="F59" s="71"/>
      <c r="G59" s="72"/>
      <c r="H59" s="66"/>
      <c r="I59" s="67"/>
      <c r="J59" s="68">
        <v>1</v>
      </c>
      <c r="K59" s="49"/>
      <c r="L59" s="61" t="s">
        <v>21</v>
      </c>
      <c r="M59" s="61" t="s">
        <v>21</v>
      </c>
      <c r="N59" s="61"/>
    </row>
    <row r="60" spans="1:14" ht="21.75" customHeight="1" x14ac:dyDescent="0.4">
      <c r="A60" s="55"/>
      <c r="B60" s="56"/>
      <c r="C60" s="56"/>
      <c r="D60" s="73"/>
      <c r="E60" s="74" t="s">
        <v>28</v>
      </c>
      <c r="F60" s="75"/>
      <c r="G60" s="76"/>
      <c r="H60" s="66"/>
      <c r="I60" s="67"/>
      <c r="J60" s="68">
        <v>1</v>
      </c>
      <c r="K60" s="49"/>
      <c r="L60" s="61"/>
      <c r="M60" s="61"/>
      <c r="N60" s="61"/>
    </row>
    <row r="61" spans="1:14" ht="21.75" customHeight="1" x14ac:dyDescent="0.4">
      <c r="A61" s="55"/>
      <c r="B61" s="56"/>
      <c r="C61" s="56"/>
      <c r="D61" s="73"/>
      <c r="E61" s="74" t="s">
        <v>29</v>
      </c>
      <c r="F61" s="75"/>
      <c r="G61" s="76"/>
      <c r="H61" s="66"/>
      <c r="I61" s="67"/>
      <c r="J61" s="68">
        <v>0</v>
      </c>
      <c r="K61" s="49"/>
      <c r="L61" s="61"/>
      <c r="M61" s="61"/>
      <c r="N61" s="61"/>
    </row>
    <row r="62" spans="1:14" ht="21.75" customHeight="1" x14ac:dyDescent="0.4">
      <c r="A62" s="55"/>
      <c r="B62" s="56"/>
      <c r="C62" s="56"/>
      <c r="D62" s="73"/>
      <c r="E62" s="77"/>
      <c r="F62" s="74" t="s">
        <v>50</v>
      </c>
      <c r="G62" s="76"/>
      <c r="H62" s="60" t="s">
        <v>16</v>
      </c>
      <c r="I62" s="67">
        <f ca="1">IFERROR(__xludf.DUMMYFUNCTION("IMPORTRANGE(""https://docs.google.com/spreadsheets/d/1C3CXT74ZlgGe6_JY_1olB1XN4rF0dxEuIIF-xsYjHgg/edit?usp=sharing"",""พรบ!AA23"")"),20)</f>
        <v>20</v>
      </c>
      <c r="J62" s="68">
        <v>0</v>
      </c>
      <c r="K62" s="49">
        <f t="shared" ref="K62:K63" ca="1" si="14">IF(I62&gt;0,J62*100/I62,0)</f>
        <v>0</v>
      </c>
      <c r="L62" s="61"/>
      <c r="M62" s="61"/>
      <c r="N62" s="61"/>
    </row>
    <row r="63" spans="1:14" ht="21.75" customHeight="1" x14ac:dyDescent="0.4">
      <c r="A63" s="55"/>
      <c r="B63" s="56"/>
      <c r="C63" s="56"/>
      <c r="D63" s="73"/>
      <c r="E63" s="77"/>
      <c r="F63" s="74" t="s">
        <v>51</v>
      </c>
      <c r="G63" s="76"/>
      <c r="H63" s="60" t="s">
        <v>16</v>
      </c>
      <c r="I63" s="67">
        <f ca="1">I62</f>
        <v>20</v>
      </c>
      <c r="J63" s="68">
        <v>0</v>
      </c>
      <c r="K63" s="49">
        <f t="shared" ca="1" si="14"/>
        <v>0</v>
      </c>
      <c r="L63" s="61"/>
      <c r="M63" s="61"/>
      <c r="N63" s="61"/>
    </row>
    <row r="64" spans="1:14" ht="21.75" customHeight="1" x14ac:dyDescent="0.4">
      <c r="A64" s="55"/>
      <c r="B64" s="56"/>
      <c r="C64" s="56"/>
      <c r="D64" s="73"/>
      <c r="E64" s="74" t="s">
        <v>35</v>
      </c>
      <c r="F64" s="75"/>
      <c r="G64" s="76"/>
      <c r="H64" s="66"/>
      <c r="I64" s="67"/>
      <c r="J64" s="68">
        <v>0</v>
      </c>
      <c r="K64" s="49"/>
      <c r="L64" s="61"/>
      <c r="M64" s="61"/>
      <c r="N64" s="61"/>
    </row>
    <row r="65" spans="1:14" ht="21.75" customHeight="1" x14ac:dyDescent="0.4">
      <c r="A65" s="105"/>
      <c r="B65" s="106"/>
      <c r="C65" s="106"/>
      <c r="D65" s="107">
        <v>3</v>
      </c>
      <c r="E65" s="108" t="s">
        <v>36</v>
      </c>
      <c r="F65" s="109"/>
      <c r="G65" s="110"/>
      <c r="H65" s="111"/>
      <c r="I65" s="112"/>
      <c r="J65" s="113">
        <v>0</v>
      </c>
      <c r="K65" s="114"/>
      <c r="L65" s="115"/>
      <c r="M65" s="115"/>
      <c r="N65" s="115"/>
    </row>
    <row r="66" spans="1:14" ht="21.75" customHeight="1" x14ac:dyDescent="0.4">
      <c r="A66" s="116" t="s">
        <v>52</v>
      </c>
      <c r="B66" s="117"/>
      <c r="C66" s="117"/>
      <c r="D66" s="117"/>
      <c r="E66" s="118"/>
      <c r="F66" s="118"/>
      <c r="G66" s="119"/>
      <c r="H66" s="120"/>
      <c r="I66" s="121"/>
      <c r="J66" s="121"/>
      <c r="K66" s="122"/>
      <c r="L66" s="123"/>
      <c r="M66" s="123"/>
      <c r="N66" s="123"/>
    </row>
    <row r="67" spans="1:14" ht="21.75" customHeight="1" x14ac:dyDescent="0.4">
      <c r="A67" s="124" t="s">
        <v>53</v>
      </c>
      <c r="B67" s="125"/>
      <c r="C67" s="125"/>
      <c r="D67" s="126"/>
      <c r="E67" s="126"/>
      <c r="F67" s="126"/>
      <c r="G67" s="127"/>
      <c r="H67" s="128"/>
      <c r="I67" s="129"/>
      <c r="J67" s="129"/>
      <c r="K67" s="130"/>
      <c r="L67" s="130"/>
      <c r="M67" s="130"/>
      <c r="N67" s="131"/>
    </row>
    <row r="68" spans="1:14" ht="21.75" customHeight="1" x14ac:dyDescent="0.4">
      <c r="A68" s="132"/>
      <c r="B68" s="133" t="s">
        <v>54</v>
      </c>
      <c r="C68" s="134"/>
      <c r="D68" s="133"/>
      <c r="E68" s="133"/>
      <c r="F68" s="133"/>
      <c r="G68" s="135"/>
      <c r="H68" s="136" t="s">
        <v>16</v>
      </c>
      <c r="I68" s="137">
        <f t="shared" ref="I68:J68" ca="1" si="15">I126+I129</f>
        <v>0</v>
      </c>
      <c r="J68" s="137">
        <f t="shared" si="15"/>
        <v>0</v>
      </c>
      <c r="K68" s="138">
        <f ca="1">IF(I68&gt;0,J68*100/I68,0)</f>
        <v>0</v>
      </c>
      <c r="L68" s="139">
        <f t="shared" ref="L68:M68" ca="1" si="16">SUM(L70:L71)</f>
        <v>69000</v>
      </c>
      <c r="M68" s="139">
        <f t="shared" si="16"/>
        <v>0</v>
      </c>
      <c r="N68" s="138">
        <f ca="1">IF(L68&gt;0,M68*100/L68,0)</f>
        <v>0</v>
      </c>
    </row>
    <row r="69" spans="1:14" ht="21.75" customHeight="1" x14ac:dyDescent="0.4">
      <c r="A69" s="132"/>
      <c r="B69" s="133" t="s">
        <v>55</v>
      </c>
      <c r="C69" s="134"/>
      <c r="D69" s="133"/>
      <c r="E69" s="133"/>
      <c r="F69" s="133"/>
      <c r="G69" s="135"/>
      <c r="H69" s="136"/>
      <c r="I69" s="137"/>
      <c r="J69" s="137"/>
      <c r="K69" s="138"/>
      <c r="L69" s="139"/>
      <c r="M69" s="139"/>
      <c r="N69" s="138"/>
    </row>
    <row r="70" spans="1:14" ht="21.75" customHeight="1" x14ac:dyDescent="0.4">
      <c r="A70" s="42"/>
      <c r="B70" s="43"/>
      <c r="C70" s="43" t="s">
        <v>17</v>
      </c>
      <c r="D70" s="44" t="s">
        <v>18</v>
      </c>
      <c r="E70" s="45"/>
      <c r="F70" s="45"/>
      <c r="G70" s="46" t="s">
        <v>19</v>
      </c>
      <c r="H70" s="47" t="s">
        <v>20</v>
      </c>
      <c r="I70" s="48" t="s">
        <v>21</v>
      </c>
      <c r="J70" s="48"/>
      <c r="K70" s="49"/>
      <c r="L70" s="50">
        <v>0</v>
      </c>
      <c r="M70" s="50">
        <v>0</v>
      </c>
      <c r="N70" s="50">
        <f t="shared" ref="N70:N77" si="17">+IF(L70&gt;0,M70*100/L70,0)</f>
        <v>0</v>
      </c>
    </row>
    <row r="71" spans="1:14" ht="21.75" customHeight="1" x14ac:dyDescent="0.4">
      <c r="A71" s="42"/>
      <c r="B71" s="43"/>
      <c r="C71" s="43"/>
      <c r="D71" s="51"/>
      <c r="E71" s="45"/>
      <c r="F71" s="45" t="s">
        <v>21</v>
      </c>
      <c r="G71" s="46" t="s">
        <v>22</v>
      </c>
      <c r="H71" s="47" t="s">
        <v>20</v>
      </c>
      <c r="I71" s="48"/>
      <c r="J71" s="48"/>
      <c r="K71" s="49"/>
      <c r="L71" s="50">
        <f ca="1">L72+L73</f>
        <v>69000</v>
      </c>
      <c r="M71" s="140">
        <f>SUM(M72:M73)</f>
        <v>0</v>
      </c>
      <c r="N71" s="50">
        <f t="shared" ca="1" si="17"/>
        <v>0</v>
      </c>
    </row>
    <row r="72" spans="1:14" ht="21.75" customHeight="1" x14ac:dyDescent="0.4">
      <c r="A72" s="42"/>
      <c r="B72" s="43"/>
      <c r="C72" s="43"/>
      <c r="D72" s="51"/>
      <c r="E72" s="45"/>
      <c r="F72" s="45"/>
      <c r="G72" s="52" t="s">
        <v>23</v>
      </c>
      <c r="H72" s="47" t="s">
        <v>20</v>
      </c>
      <c r="I72" s="48"/>
      <c r="J72" s="48"/>
      <c r="K72" s="49"/>
      <c r="L72" s="53">
        <f ca="1">IFERROR(__xludf.DUMMYFUNCTION("IMPORTRANGE(""https://docs.google.com/spreadsheets/d/1C3CXT74ZlgGe6_JY_1olB1XN4rF0dxEuIIF-xsYjHgg/edit?usp=sharing"",""พรบ!AD23"")"),0)</f>
        <v>0</v>
      </c>
      <c r="M72" s="53">
        <v>0</v>
      </c>
      <c r="N72" s="53">
        <f t="shared" ca="1" si="17"/>
        <v>0</v>
      </c>
    </row>
    <row r="73" spans="1:14" ht="21.75" customHeight="1" x14ac:dyDescent="0.4">
      <c r="A73" s="42"/>
      <c r="B73" s="43"/>
      <c r="C73" s="43"/>
      <c r="D73" s="51"/>
      <c r="E73" s="45"/>
      <c r="F73" s="45"/>
      <c r="G73" s="52" t="s">
        <v>24</v>
      </c>
      <c r="H73" s="47" t="s">
        <v>20</v>
      </c>
      <c r="I73" s="48"/>
      <c r="J73" s="48"/>
      <c r="K73" s="49"/>
      <c r="L73" s="53">
        <f t="shared" ref="L73:M73" ca="1" si="18">L77+L92+L104+L117+L132</f>
        <v>69000</v>
      </c>
      <c r="M73" s="53">
        <f t="shared" si="18"/>
        <v>0</v>
      </c>
      <c r="N73" s="53">
        <f t="shared" ca="1" si="17"/>
        <v>0</v>
      </c>
    </row>
    <row r="74" spans="1:14" ht="21.75" customHeight="1" x14ac:dyDescent="0.4">
      <c r="A74" s="141"/>
      <c r="B74" s="142"/>
      <c r="C74" s="143" t="s">
        <v>56</v>
      </c>
      <c r="D74" s="143"/>
      <c r="E74" s="143"/>
      <c r="F74" s="143"/>
      <c r="G74" s="144"/>
      <c r="H74" s="145" t="s">
        <v>57</v>
      </c>
      <c r="I74" s="146">
        <f t="shared" ref="I74:J74" ca="1" si="19">I83</f>
        <v>4</v>
      </c>
      <c r="J74" s="146">
        <f t="shared" si="19"/>
        <v>0</v>
      </c>
      <c r="K74" s="147">
        <f ca="1">IF(I74&gt;0,J74*100/I74,0)</f>
        <v>0</v>
      </c>
      <c r="L74" s="148">
        <f ca="1">L75+L76</f>
        <v>7500</v>
      </c>
      <c r="M74" s="148">
        <f>SUM(M75:M76)</f>
        <v>0</v>
      </c>
      <c r="N74" s="148">
        <f t="shared" ca="1" si="17"/>
        <v>0</v>
      </c>
    </row>
    <row r="75" spans="1:14" ht="21.75" customHeight="1" x14ac:dyDescent="0.4">
      <c r="A75" s="42"/>
      <c r="B75" s="43"/>
      <c r="C75" s="43" t="s">
        <v>17</v>
      </c>
      <c r="D75" s="44" t="s">
        <v>18</v>
      </c>
      <c r="E75" s="45"/>
      <c r="F75" s="45"/>
      <c r="G75" s="46" t="s">
        <v>19</v>
      </c>
      <c r="H75" s="47" t="s">
        <v>20</v>
      </c>
      <c r="I75" s="48" t="s">
        <v>21</v>
      </c>
      <c r="J75" s="48"/>
      <c r="K75" s="49"/>
      <c r="L75" s="50">
        <v>0</v>
      </c>
      <c r="M75" s="50">
        <v>0</v>
      </c>
      <c r="N75" s="50">
        <f t="shared" si="17"/>
        <v>0</v>
      </c>
    </row>
    <row r="76" spans="1:14" ht="21.75" customHeight="1" x14ac:dyDescent="0.4">
      <c r="A76" s="42"/>
      <c r="B76" s="43"/>
      <c r="C76" s="43"/>
      <c r="D76" s="51"/>
      <c r="E76" s="45"/>
      <c r="F76" s="45" t="s">
        <v>21</v>
      </c>
      <c r="G76" s="46" t="s">
        <v>22</v>
      </c>
      <c r="H76" s="47" t="s">
        <v>20</v>
      </c>
      <c r="I76" s="48"/>
      <c r="J76" s="48"/>
      <c r="K76" s="49"/>
      <c r="L76" s="50">
        <f t="shared" ref="L76:M76" ca="1" si="20">L77</f>
        <v>7500</v>
      </c>
      <c r="M76" s="50">
        <f t="shared" si="20"/>
        <v>0</v>
      </c>
      <c r="N76" s="50">
        <f t="shared" ca="1" si="17"/>
        <v>0</v>
      </c>
    </row>
    <row r="77" spans="1:14" ht="21.75" customHeight="1" x14ac:dyDescent="0.4">
      <c r="A77" s="42"/>
      <c r="B77" s="43"/>
      <c r="C77" s="43"/>
      <c r="D77" s="51"/>
      <c r="E77" s="45"/>
      <c r="F77" s="45"/>
      <c r="G77" s="52" t="s">
        <v>24</v>
      </c>
      <c r="H77" s="47" t="s">
        <v>20</v>
      </c>
      <c r="I77" s="48"/>
      <c r="J77" s="48"/>
      <c r="K77" s="49"/>
      <c r="L77" s="53">
        <f ca="1">IFERROR(__xludf.DUMMYFUNCTION("IMPORTRANGE(""https://docs.google.com/spreadsheets/d/1C3CXT74ZlgGe6_JY_1olB1XN4rF0dxEuIIF-xsYjHgg/edit?usp=sharing"",""พรบ!AF23"")"),7500)</f>
        <v>7500</v>
      </c>
      <c r="M77" s="54">
        <v>0</v>
      </c>
      <c r="N77" s="53">
        <f t="shared" ca="1" si="17"/>
        <v>0</v>
      </c>
    </row>
    <row r="78" spans="1:14" ht="21.75" customHeight="1" x14ac:dyDescent="0.4">
      <c r="A78" s="55"/>
      <c r="B78" s="56"/>
      <c r="C78" s="43" t="s">
        <v>17</v>
      </c>
      <c r="D78" s="57" t="s">
        <v>25</v>
      </c>
      <c r="E78" s="58"/>
      <c r="F78" s="58"/>
      <c r="G78" s="59"/>
      <c r="H78" s="60"/>
      <c r="I78" s="48"/>
      <c r="J78" s="48"/>
      <c r="K78" s="49"/>
      <c r="L78" s="61"/>
      <c r="M78" s="61"/>
      <c r="N78" s="61"/>
    </row>
    <row r="79" spans="1:14" ht="21.75" customHeight="1" x14ac:dyDescent="0.4">
      <c r="A79" s="55"/>
      <c r="B79" s="56"/>
      <c r="C79" s="56"/>
      <c r="D79" s="62">
        <v>1</v>
      </c>
      <c r="E79" s="63" t="s">
        <v>26</v>
      </c>
      <c r="F79" s="64"/>
      <c r="G79" s="65"/>
      <c r="H79" s="66"/>
      <c r="I79" s="67"/>
      <c r="J79" s="68">
        <v>1</v>
      </c>
      <c r="K79" s="49"/>
      <c r="L79" s="61"/>
      <c r="M79" s="61"/>
      <c r="N79" s="61"/>
    </row>
    <row r="80" spans="1:14" ht="21.75" customHeight="1" x14ac:dyDescent="0.4">
      <c r="A80" s="55"/>
      <c r="B80" s="56"/>
      <c r="C80" s="56"/>
      <c r="D80" s="69">
        <v>2</v>
      </c>
      <c r="E80" s="70" t="s">
        <v>27</v>
      </c>
      <c r="F80" s="71"/>
      <c r="G80" s="72"/>
      <c r="H80" s="66"/>
      <c r="I80" s="67"/>
      <c r="J80" s="68">
        <v>0</v>
      </c>
      <c r="K80" s="49"/>
      <c r="L80" s="61" t="s">
        <v>21</v>
      </c>
      <c r="M80" s="61" t="s">
        <v>21</v>
      </c>
      <c r="N80" s="61"/>
    </row>
    <row r="81" spans="1:14" ht="21.75" customHeight="1" x14ac:dyDescent="0.4">
      <c r="A81" s="55"/>
      <c r="B81" s="56"/>
      <c r="C81" s="56"/>
      <c r="D81" s="73"/>
      <c r="E81" s="74" t="s">
        <v>28</v>
      </c>
      <c r="F81" s="75"/>
      <c r="G81" s="76"/>
      <c r="H81" s="66"/>
      <c r="I81" s="67"/>
      <c r="J81" s="68">
        <v>0</v>
      </c>
      <c r="K81" s="49"/>
      <c r="L81" s="61"/>
      <c r="M81" s="61"/>
      <c r="N81" s="61"/>
    </row>
    <row r="82" spans="1:14" ht="21.75" customHeight="1" x14ac:dyDescent="0.4">
      <c r="A82" s="55"/>
      <c r="B82" s="56"/>
      <c r="C82" s="56"/>
      <c r="D82" s="73"/>
      <c r="E82" s="74" t="s">
        <v>29</v>
      </c>
      <c r="F82" s="75"/>
      <c r="G82" s="76"/>
      <c r="H82" s="66"/>
      <c r="I82" s="67"/>
      <c r="J82" s="68">
        <v>0</v>
      </c>
      <c r="K82" s="49"/>
      <c r="L82" s="61"/>
      <c r="M82" s="61"/>
      <c r="N82" s="61"/>
    </row>
    <row r="83" spans="1:14" ht="21.75" customHeight="1" x14ac:dyDescent="0.4">
      <c r="A83" s="55"/>
      <c r="B83" s="56"/>
      <c r="C83" s="56"/>
      <c r="D83" s="73"/>
      <c r="E83" s="77"/>
      <c r="F83" s="74" t="s">
        <v>58</v>
      </c>
      <c r="G83" s="76"/>
      <c r="H83" s="60" t="s">
        <v>57</v>
      </c>
      <c r="I83" s="67">
        <f ca="1">IFERROR(__xludf.DUMMYFUNCTION("IMPORTRANGE(""https://docs.google.com/spreadsheets/d/1C3CXT74ZlgGe6_JY_1olB1XN4rF0dxEuIIF-xsYjHgg/edit?usp=sharing"",""พรบ!AG23"")"),4)</f>
        <v>4</v>
      </c>
      <c r="J83" s="68">
        <v>0</v>
      </c>
      <c r="K83" s="49">
        <f ca="1">IF(I83&gt;0,J83*100/I83,0)</f>
        <v>0</v>
      </c>
      <c r="L83" s="61"/>
      <c r="M83" s="61"/>
      <c r="N83" s="61"/>
    </row>
    <row r="84" spans="1:14" ht="21.75" customHeight="1" x14ac:dyDescent="0.4">
      <c r="A84" s="55"/>
      <c r="B84" s="56"/>
      <c r="C84" s="56"/>
      <c r="D84" s="73"/>
      <c r="E84" s="75"/>
      <c r="F84" s="75" t="s">
        <v>59</v>
      </c>
      <c r="G84" s="76"/>
      <c r="H84" s="66" t="s">
        <v>16</v>
      </c>
      <c r="I84" s="67"/>
      <c r="J84" s="67">
        <f>J85+J86</f>
        <v>0</v>
      </c>
      <c r="K84" s="49"/>
      <c r="L84" s="61"/>
      <c r="M84" s="61"/>
      <c r="N84" s="61"/>
    </row>
    <row r="85" spans="1:14" ht="21.75" customHeight="1" x14ac:dyDescent="0.4">
      <c r="A85" s="55"/>
      <c r="B85" s="56"/>
      <c r="C85" s="56"/>
      <c r="D85" s="73"/>
      <c r="E85" s="75"/>
      <c r="F85" s="75"/>
      <c r="G85" s="76" t="s">
        <v>60</v>
      </c>
      <c r="H85" s="66" t="s">
        <v>16</v>
      </c>
      <c r="I85" s="67"/>
      <c r="J85" s="68">
        <v>0</v>
      </c>
      <c r="K85" s="49"/>
      <c r="L85" s="61"/>
      <c r="M85" s="61"/>
      <c r="N85" s="61"/>
    </row>
    <row r="86" spans="1:14" ht="21.75" customHeight="1" x14ac:dyDescent="0.4">
      <c r="A86" s="55"/>
      <c r="B86" s="56"/>
      <c r="C86" s="56"/>
      <c r="D86" s="73"/>
      <c r="E86" s="75"/>
      <c r="F86" s="75"/>
      <c r="G86" s="76" t="s">
        <v>61</v>
      </c>
      <c r="H86" s="66" t="s">
        <v>16</v>
      </c>
      <c r="I86" s="67"/>
      <c r="J86" s="68">
        <v>0</v>
      </c>
      <c r="K86" s="49"/>
      <c r="L86" s="61"/>
      <c r="M86" s="61"/>
      <c r="N86" s="61"/>
    </row>
    <row r="87" spans="1:14" ht="21.75" customHeight="1" x14ac:dyDescent="0.4">
      <c r="A87" s="55"/>
      <c r="B87" s="56"/>
      <c r="C87" s="56"/>
      <c r="D87" s="73"/>
      <c r="E87" s="74" t="s">
        <v>35</v>
      </c>
      <c r="F87" s="75"/>
      <c r="G87" s="76"/>
      <c r="H87" s="66"/>
      <c r="I87" s="67"/>
      <c r="J87" s="68">
        <v>0</v>
      </c>
      <c r="K87" s="49"/>
      <c r="L87" s="61"/>
      <c r="M87" s="61"/>
      <c r="N87" s="61"/>
    </row>
    <row r="88" spans="1:14" ht="21.75" customHeight="1" x14ac:dyDescent="0.4">
      <c r="A88" s="55"/>
      <c r="B88" s="56"/>
      <c r="C88" s="56"/>
      <c r="D88" s="81">
        <v>3</v>
      </c>
      <c r="E88" s="82" t="s">
        <v>36</v>
      </c>
      <c r="F88" s="83"/>
      <c r="G88" s="84"/>
      <c r="H88" s="66"/>
      <c r="I88" s="67"/>
      <c r="J88" s="85">
        <v>0</v>
      </c>
      <c r="K88" s="49"/>
      <c r="L88" s="61"/>
      <c r="M88" s="61"/>
      <c r="N88" s="61"/>
    </row>
    <row r="89" spans="1:14" ht="21.75" customHeight="1" x14ac:dyDescent="0.4">
      <c r="A89" s="141"/>
      <c r="B89" s="142"/>
      <c r="C89" s="143" t="s">
        <v>62</v>
      </c>
      <c r="D89" s="143"/>
      <c r="E89" s="143"/>
      <c r="F89" s="143"/>
      <c r="G89" s="144"/>
      <c r="H89" s="149" t="s">
        <v>63</v>
      </c>
      <c r="I89" s="150">
        <f t="shared" ref="I89:J89" ca="1" si="21">I98</f>
        <v>3</v>
      </c>
      <c r="J89" s="150">
        <f t="shared" si="21"/>
        <v>0</v>
      </c>
      <c r="K89" s="151">
        <f ca="1">IF(I89&gt;0,J89*100/I89,0)</f>
        <v>0</v>
      </c>
      <c r="L89" s="148">
        <f ca="1">L90+L91</f>
        <v>42000</v>
      </c>
      <c r="M89" s="148">
        <f>SUM(M90:M91)</f>
        <v>0</v>
      </c>
      <c r="N89" s="148">
        <f t="shared" ref="N89:N92" ca="1" si="22">+IF(L89&gt;0,M89*100/L89,0)</f>
        <v>0</v>
      </c>
    </row>
    <row r="90" spans="1:14" ht="21.75" customHeight="1" x14ac:dyDescent="0.4">
      <c r="A90" s="42"/>
      <c r="B90" s="43"/>
      <c r="C90" s="43" t="s">
        <v>17</v>
      </c>
      <c r="D90" s="44" t="s">
        <v>18</v>
      </c>
      <c r="E90" s="45"/>
      <c r="F90" s="45"/>
      <c r="G90" s="46" t="s">
        <v>19</v>
      </c>
      <c r="H90" s="47" t="s">
        <v>20</v>
      </c>
      <c r="I90" s="48" t="s">
        <v>21</v>
      </c>
      <c r="J90" s="48"/>
      <c r="K90" s="49"/>
      <c r="L90" s="50">
        <v>0</v>
      </c>
      <c r="M90" s="50">
        <v>0</v>
      </c>
      <c r="N90" s="50">
        <f t="shared" si="22"/>
        <v>0</v>
      </c>
    </row>
    <row r="91" spans="1:14" ht="21.75" customHeight="1" x14ac:dyDescent="0.4">
      <c r="A91" s="42"/>
      <c r="B91" s="43"/>
      <c r="C91" s="43"/>
      <c r="D91" s="51"/>
      <c r="E91" s="45"/>
      <c r="F91" s="45" t="s">
        <v>21</v>
      </c>
      <c r="G91" s="46" t="s">
        <v>22</v>
      </c>
      <c r="H91" s="47" t="s">
        <v>20</v>
      </c>
      <c r="I91" s="48"/>
      <c r="J91" s="48"/>
      <c r="K91" s="49"/>
      <c r="L91" s="50">
        <f t="shared" ref="L91:M91" ca="1" si="23">L92</f>
        <v>42000</v>
      </c>
      <c r="M91" s="50">
        <f t="shared" si="23"/>
        <v>0</v>
      </c>
      <c r="N91" s="50">
        <f t="shared" ca="1" si="22"/>
        <v>0</v>
      </c>
    </row>
    <row r="92" spans="1:14" ht="21.75" customHeight="1" x14ac:dyDescent="0.4">
      <c r="A92" s="42"/>
      <c r="B92" s="43"/>
      <c r="C92" s="43"/>
      <c r="D92" s="51"/>
      <c r="E92" s="45"/>
      <c r="F92" s="45"/>
      <c r="G92" s="52" t="s">
        <v>24</v>
      </c>
      <c r="H92" s="47" t="s">
        <v>20</v>
      </c>
      <c r="I92" s="48"/>
      <c r="J92" s="48"/>
      <c r="K92" s="49"/>
      <c r="L92" s="53">
        <f ca="1">IFERROR(__xludf.DUMMYFUNCTION("IMPORTRANGE(""https://docs.google.com/spreadsheets/d/1C3CXT74ZlgGe6_JY_1olB1XN4rF0dxEuIIF-xsYjHgg/edit?usp=sharing"",""พรบ!AH23"")"),42000)</f>
        <v>42000</v>
      </c>
      <c r="M92" s="54">
        <v>0</v>
      </c>
      <c r="N92" s="53">
        <f t="shared" ca="1" si="22"/>
        <v>0</v>
      </c>
    </row>
    <row r="93" spans="1:14" ht="21.75" customHeight="1" x14ac:dyDescent="0.4">
      <c r="A93" s="55"/>
      <c r="B93" s="56"/>
      <c r="C93" s="43" t="s">
        <v>17</v>
      </c>
      <c r="D93" s="57" t="s">
        <v>25</v>
      </c>
      <c r="E93" s="58"/>
      <c r="F93" s="58"/>
      <c r="G93" s="59"/>
      <c r="H93" s="60"/>
      <c r="I93" s="48"/>
      <c r="J93" s="48"/>
      <c r="K93" s="49"/>
      <c r="L93" s="61"/>
      <c r="M93" s="61"/>
      <c r="N93" s="61"/>
    </row>
    <row r="94" spans="1:14" ht="21.75" customHeight="1" x14ac:dyDescent="0.4">
      <c r="A94" s="55"/>
      <c r="B94" s="56"/>
      <c r="C94" s="56"/>
      <c r="D94" s="62">
        <v>1</v>
      </c>
      <c r="E94" s="63" t="s">
        <v>26</v>
      </c>
      <c r="F94" s="64"/>
      <c r="G94" s="65"/>
      <c r="H94" s="66"/>
      <c r="I94" s="67"/>
      <c r="J94" s="68">
        <v>0</v>
      </c>
      <c r="K94" s="49"/>
      <c r="L94" s="61"/>
      <c r="M94" s="61"/>
      <c r="N94" s="61"/>
    </row>
    <row r="95" spans="1:14" ht="21.75" customHeight="1" x14ac:dyDescent="0.4">
      <c r="A95" s="55"/>
      <c r="B95" s="56"/>
      <c r="C95" s="56"/>
      <c r="D95" s="69">
        <v>2</v>
      </c>
      <c r="E95" s="70" t="s">
        <v>27</v>
      </c>
      <c r="F95" s="71"/>
      <c r="G95" s="72"/>
      <c r="H95" s="66"/>
      <c r="I95" s="67"/>
      <c r="J95" s="68">
        <v>1</v>
      </c>
      <c r="K95" s="49"/>
      <c r="L95" s="61" t="s">
        <v>21</v>
      </c>
      <c r="M95" s="61" t="s">
        <v>21</v>
      </c>
      <c r="N95" s="61"/>
    </row>
    <row r="96" spans="1:14" ht="21.75" customHeight="1" x14ac:dyDescent="0.4">
      <c r="A96" s="55"/>
      <c r="B96" s="56"/>
      <c r="C96" s="56"/>
      <c r="D96" s="73"/>
      <c r="E96" s="74" t="s">
        <v>28</v>
      </c>
      <c r="F96" s="75"/>
      <c r="G96" s="76"/>
      <c r="H96" s="66"/>
      <c r="I96" s="67"/>
      <c r="J96" s="68">
        <v>1</v>
      </c>
      <c r="K96" s="49"/>
      <c r="L96" s="61"/>
      <c r="M96" s="61"/>
      <c r="N96" s="61"/>
    </row>
    <row r="97" spans="1:14" ht="21.75" customHeight="1" x14ac:dyDescent="0.4">
      <c r="A97" s="55"/>
      <c r="B97" s="56"/>
      <c r="C97" s="56"/>
      <c r="D97" s="73"/>
      <c r="E97" s="74" t="s">
        <v>29</v>
      </c>
      <c r="F97" s="75"/>
      <c r="G97" s="76"/>
      <c r="H97" s="66"/>
      <c r="I97" s="67"/>
      <c r="J97" s="68">
        <v>0</v>
      </c>
      <c r="K97" s="49"/>
      <c r="L97" s="61"/>
      <c r="M97" s="61"/>
      <c r="N97" s="61"/>
    </row>
    <row r="98" spans="1:14" ht="21.75" customHeight="1" x14ac:dyDescent="0.4">
      <c r="A98" s="55"/>
      <c r="B98" s="56"/>
      <c r="C98" s="56"/>
      <c r="D98" s="73"/>
      <c r="E98" s="77"/>
      <c r="F98" s="74" t="s">
        <v>64</v>
      </c>
      <c r="G98" s="76"/>
      <c r="H98" s="60" t="s">
        <v>63</v>
      </c>
      <c r="I98" s="67">
        <f ca="1">IFERROR(__xludf.DUMMYFUNCTION("IMPORTRANGE(""https://docs.google.com/spreadsheets/d/1C3CXT74ZlgGe6_JY_1olB1XN4rF0dxEuIIF-xsYjHgg/edit?usp=sharing"",""พรบ!AI23"")"),3)</f>
        <v>3</v>
      </c>
      <c r="J98" s="68">
        <v>0</v>
      </c>
      <c r="K98" s="49">
        <f ca="1">IF(I98&gt;0,J98*100/I98,0)</f>
        <v>0</v>
      </c>
      <c r="L98" s="53">
        <f ca="1">IFERROR(__xludf.DUMMYFUNCTION("IMPORTRANGE(""https://docs.google.com/spreadsheets/d/1C3CXT74ZlgGe6_JY_1olB1XN4rF0dxEuIIF-xsYjHgg/edit?usp=sharing"",""กปร!C23"")"),36000)</f>
        <v>36000</v>
      </c>
      <c r="M98" s="53">
        <v>0</v>
      </c>
      <c r="N98" s="53">
        <f ca="1">+IF(L98&gt;0,M98*100/L98,0)</f>
        <v>0</v>
      </c>
    </row>
    <row r="99" spans="1:14" ht="21.75" customHeight="1" x14ac:dyDescent="0.4">
      <c r="A99" s="55"/>
      <c r="B99" s="56"/>
      <c r="C99" s="56"/>
      <c r="D99" s="73"/>
      <c r="E99" s="74" t="s">
        <v>35</v>
      </c>
      <c r="F99" s="75"/>
      <c r="G99" s="76"/>
      <c r="H99" s="66"/>
      <c r="I99" s="67"/>
      <c r="J99" s="68">
        <v>0</v>
      </c>
      <c r="K99" s="49"/>
      <c r="L99" s="61"/>
      <c r="M99" s="61"/>
      <c r="N99" s="61"/>
    </row>
    <row r="100" spans="1:14" ht="21.75" customHeight="1" x14ac:dyDescent="0.4">
      <c r="A100" s="55"/>
      <c r="B100" s="56"/>
      <c r="C100" s="56"/>
      <c r="D100" s="81">
        <v>3</v>
      </c>
      <c r="E100" s="82" t="s">
        <v>36</v>
      </c>
      <c r="F100" s="83"/>
      <c r="G100" s="84"/>
      <c r="H100" s="66"/>
      <c r="I100" s="67"/>
      <c r="J100" s="85">
        <v>0</v>
      </c>
      <c r="K100" s="49"/>
      <c r="L100" s="61"/>
      <c r="M100" s="61"/>
      <c r="N100" s="61"/>
    </row>
    <row r="101" spans="1:14" ht="21.75" customHeight="1" x14ac:dyDescent="0.4">
      <c r="A101" s="141"/>
      <c r="B101" s="142"/>
      <c r="C101" s="143" t="s">
        <v>65</v>
      </c>
      <c r="D101" s="143"/>
      <c r="E101" s="143"/>
      <c r="F101" s="143"/>
      <c r="G101" s="144"/>
      <c r="H101" s="149" t="s">
        <v>63</v>
      </c>
      <c r="I101" s="150">
        <f t="shared" ref="I101:J101" ca="1" si="24">I111</f>
        <v>0</v>
      </c>
      <c r="J101" s="150">
        <f t="shared" si="24"/>
        <v>0</v>
      </c>
      <c r="K101" s="151">
        <f ca="1">IF(I101&gt;0,J101*100/I101,0)</f>
        <v>0</v>
      </c>
      <c r="L101" s="148">
        <f ca="1">L102+L103</f>
        <v>0</v>
      </c>
      <c r="M101" s="148">
        <f>SUM(M102:M103)</f>
        <v>0</v>
      </c>
      <c r="N101" s="148">
        <f t="shared" ref="N101:N104" ca="1" si="25">+IF(L101&gt;0,M101*100/L101,0)</f>
        <v>0</v>
      </c>
    </row>
    <row r="102" spans="1:14" ht="21.75" customHeight="1" x14ac:dyDescent="0.4">
      <c r="A102" s="42"/>
      <c r="B102" s="43"/>
      <c r="C102" s="43" t="s">
        <v>17</v>
      </c>
      <c r="D102" s="44" t="s">
        <v>18</v>
      </c>
      <c r="E102" s="45"/>
      <c r="F102" s="45"/>
      <c r="G102" s="46" t="s">
        <v>19</v>
      </c>
      <c r="H102" s="47" t="s">
        <v>20</v>
      </c>
      <c r="I102" s="48" t="s">
        <v>21</v>
      </c>
      <c r="J102" s="48"/>
      <c r="K102" s="49"/>
      <c r="L102" s="50">
        <v>0</v>
      </c>
      <c r="M102" s="50">
        <v>0</v>
      </c>
      <c r="N102" s="50">
        <f t="shared" si="25"/>
        <v>0</v>
      </c>
    </row>
    <row r="103" spans="1:14" ht="21.75" customHeight="1" x14ac:dyDescent="0.4">
      <c r="A103" s="42"/>
      <c r="B103" s="43"/>
      <c r="C103" s="43"/>
      <c r="D103" s="51"/>
      <c r="E103" s="45"/>
      <c r="F103" s="45" t="s">
        <v>21</v>
      </c>
      <c r="G103" s="46" t="s">
        <v>22</v>
      </c>
      <c r="H103" s="47" t="s">
        <v>20</v>
      </c>
      <c r="I103" s="48"/>
      <c r="J103" s="48"/>
      <c r="K103" s="49"/>
      <c r="L103" s="50">
        <f ca="1">SUM(L104)</f>
        <v>0</v>
      </c>
      <c r="M103" s="50">
        <f>M104</f>
        <v>0</v>
      </c>
      <c r="N103" s="50">
        <f t="shared" ca="1" si="25"/>
        <v>0</v>
      </c>
    </row>
    <row r="104" spans="1:14" ht="21.75" customHeight="1" x14ac:dyDescent="0.4">
      <c r="A104" s="42"/>
      <c r="B104" s="43"/>
      <c r="C104" s="43"/>
      <c r="D104" s="51"/>
      <c r="E104" s="45"/>
      <c r="F104" s="45"/>
      <c r="G104" s="52" t="s">
        <v>24</v>
      </c>
      <c r="H104" s="47" t="s">
        <v>20</v>
      </c>
      <c r="I104" s="48"/>
      <c r="J104" s="67"/>
      <c r="K104" s="233"/>
      <c r="L104" s="53">
        <f ca="1">IFERROR(__xludf.DUMMYFUNCTION("IMPORTRANGE(""https://docs.google.com/spreadsheets/d/1C3CXT74ZlgGe6_JY_1olB1XN4rF0dxEuIIF-xsYjHgg/edit?usp=sharing"",""พรบ!AJ23"")"),0)</f>
        <v>0</v>
      </c>
      <c r="M104" s="53">
        <v>0</v>
      </c>
      <c r="N104" s="53">
        <f t="shared" ca="1" si="25"/>
        <v>0</v>
      </c>
    </row>
    <row r="105" spans="1:14" ht="21.75" customHeight="1" x14ac:dyDescent="0.4">
      <c r="A105" s="55"/>
      <c r="B105" s="56"/>
      <c r="C105" s="43" t="s">
        <v>17</v>
      </c>
      <c r="D105" s="57" t="s">
        <v>25</v>
      </c>
      <c r="E105" s="58"/>
      <c r="F105" s="58"/>
      <c r="G105" s="59"/>
      <c r="H105" s="60"/>
      <c r="I105" s="48"/>
      <c r="J105" s="67"/>
      <c r="K105" s="233"/>
      <c r="L105" s="53"/>
      <c r="M105" s="53"/>
      <c r="N105" s="61"/>
    </row>
    <row r="106" spans="1:14" ht="21.75" customHeight="1" x14ac:dyDescent="0.4">
      <c r="A106" s="55"/>
      <c r="B106" s="56"/>
      <c r="C106" s="56"/>
      <c r="D106" s="62">
        <v>1</v>
      </c>
      <c r="E106" s="63" t="s">
        <v>26</v>
      </c>
      <c r="F106" s="64"/>
      <c r="G106" s="65"/>
      <c r="H106" s="66"/>
      <c r="I106" s="67"/>
      <c r="J106" s="67">
        <v>0</v>
      </c>
      <c r="K106" s="233"/>
      <c r="L106" s="53"/>
      <c r="M106" s="53"/>
      <c r="N106" s="61"/>
    </row>
    <row r="107" spans="1:14" ht="21.75" customHeight="1" x14ac:dyDescent="0.4">
      <c r="A107" s="55"/>
      <c r="B107" s="56"/>
      <c r="C107" s="56"/>
      <c r="D107" s="69">
        <v>2</v>
      </c>
      <c r="E107" s="70" t="s">
        <v>27</v>
      </c>
      <c r="F107" s="71"/>
      <c r="G107" s="72"/>
      <c r="H107" s="66"/>
      <c r="I107" s="67"/>
      <c r="J107" s="67">
        <v>0</v>
      </c>
      <c r="K107" s="233"/>
      <c r="L107" s="53" t="s">
        <v>21</v>
      </c>
      <c r="M107" s="53" t="s">
        <v>21</v>
      </c>
      <c r="N107" s="61"/>
    </row>
    <row r="108" spans="1:14" ht="21.75" customHeight="1" x14ac:dyDescent="0.4">
      <c r="A108" s="55"/>
      <c r="B108" s="56"/>
      <c r="C108" s="56"/>
      <c r="D108" s="73"/>
      <c r="E108" s="74" t="s">
        <v>28</v>
      </c>
      <c r="F108" s="75"/>
      <c r="G108" s="76"/>
      <c r="H108" s="66"/>
      <c r="I108" s="67"/>
      <c r="J108" s="67">
        <v>0</v>
      </c>
      <c r="K108" s="233"/>
      <c r="L108" s="53"/>
      <c r="M108" s="53"/>
      <c r="N108" s="61"/>
    </row>
    <row r="109" spans="1:14" ht="21.75" customHeight="1" x14ac:dyDescent="0.4">
      <c r="A109" s="55"/>
      <c r="B109" s="56"/>
      <c r="C109" s="56"/>
      <c r="D109" s="73"/>
      <c r="E109" s="74" t="s">
        <v>29</v>
      </c>
      <c r="F109" s="75"/>
      <c r="G109" s="76"/>
      <c r="H109" s="66"/>
      <c r="I109" s="67"/>
      <c r="J109" s="67">
        <v>0</v>
      </c>
      <c r="K109" s="233"/>
      <c r="L109" s="53"/>
      <c r="M109" s="53"/>
      <c r="N109" s="61"/>
    </row>
    <row r="110" spans="1:14" ht="21.75" customHeight="1" x14ac:dyDescent="0.4">
      <c r="A110" s="55"/>
      <c r="B110" s="56"/>
      <c r="C110" s="56"/>
      <c r="D110" s="73"/>
      <c r="E110" s="77"/>
      <c r="F110" s="74" t="s">
        <v>66</v>
      </c>
      <c r="G110" s="76"/>
      <c r="H110" s="60" t="s">
        <v>63</v>
      </c>
      <c r="I110" s="67">
        <f ca="1">IFERROR(__xludf.DUMMYFUNCTION("IMPORTRANGE(""https://docs.google.com/spreadsheets/d/1C3CXT74ZlgGe6_JY_1olB1XN4rF0dxEuIIF-xsYjHgg/edit?usp=sharing"",""พรบ!AK23"")"),0)</f>
        <v>0</v>
      </c>
      <c r="J110" s="67">
        <v>0</v>
      </c>
      <c r="K110" s="233">
        <f t="shared" ref="K110:K111" ca="1" si="26">IF(I110&gt;0,J110*100/I110,0)</f>
        <v>0</v>
      </c>
      <c r="L110" s="53">
        <f ca="1">IFERROR(__xludf.DUMMYFUNCTION("IMPORTRANGE(""https://docs.google.com/spreadsheets/d/1C3CXT74ZlgGe6_JY_1olB1XN4rF0dxEuIIF-xsYjHgg/edit?usp=sharing"",""กปร!D23"")"),0)</f>
        <v>0</v>
      </c>
      <c r="M110" s="53">
        <v>0</v>
      </c>
      <c r="N110" s="53">
        <f t="shared" ref="N110:N111" ca="1" si="27">+IF(L110&gt;0,M110*100/L110,0)</f>
        <v>0</v>
      </c>
    </row>
    <row r="111" spans="1:14" ht="21.75" customHeight="1" x14ac:dyDescent="0.4">
      <c r="A111" s="55"/>
      <c r="B111" s="56"/>
      <c r="C111" s="56"/>
      <c r="D111" s="73"/>
      <c r="E111" s="77"/>
      <c r="F111" s="74" t="s">
        <v>67</v>
      </c>
      <c r="G111" s="76"/>
      <c r="H111" s="60" t="s">
        <v>63</v>
      </c>
      <c r="I111" s="67">
        <f ca="1">IFERROR(__xludf.DUMMYFUNCTION("IMPORTRANGE(""https://docs.google.com/spreadsheets/d/1C3CXT74ZlgGe6_JY_1olB1XN4rF0dxEuIIF-xsYjHgg/edit?usp=sharing"",""พรบ!AL23"")"),0)</f>
        <v>0</v>
      </c>
      <c r="J111" s="67">
        <v>0</v>
      </c>
      <c r="K111" s="233">
        <f t="shared" ca="1" si="26"/>
        <v>0</v>
      </c>
      <c r="L111" s="53">
        <f ca="1">IFERROR(__xludf.DUMMYFUNCTION("IMPORTRANGE(""https://docs.google.com/spreadsheets/d/1C3CXT74ZlgGe6_JY_1olB1XN4rF0dxEuIIF-xsYjHgg/edit?usp=sharing"",""กปร!E23"")"),0)</f>
        <v>0</v>
      </c>
      <c r="M111" s="53">
        <v>0</v>
      </c>
      <c r="N111" s="53">
        <f t="shared" ca="1" si="27"/>
        <v>0</v>
      </c>
    </row>
    <row r="112" spans="1:14" ht="21.75" customHeight="1" x14ac:dyDescent="0.4">
      <c r="A112" s="55"/>
      <c r="B112" s="56"/>
      <c r="C112" s="56"/>
      <c r="D112" s="73"/>
      <c r="E112" s="74" t="s">
        <v>35</v>
      </c>
      <c r="F112" s="75"/>
      <c r="G112" s="76"/>
      <c r="H112" s="66"/>
      <c r="I112" s="67"/>
      <c r="J112" s="67">
        <v>0</v>
      </c>
      <c r="K112" s="233"/>
      <c r="L112" s="53"/>
      <c r="M112" s="53"/>
      <c r="N112" s="61"/>
    </row>
    <row r="113" spans="1:14" ht="21.75" customHeight="1" x14ac:dyDescent="0.4">
      <c r="A113" s="55"/>
      <c r="B113" s="56"/>
      <c r="C113" s="56"/>
      <c r="D113" s="81">
        <v>3</v>
      </c>
      <c r="E113" s="82" t="s">
        <v>36</v>
      </c>
      <c r="F113" s="83"/>
      <c r="G113" s="84"/>
      <c r="H113" s="66"/>
      <c r="I113" s="67"/>
      <c r="J113" s="360">
        <v>0</v>
      </c>
      <c r="K113" s="233"/>
      <c r="L113" s="53"/>
      <c r="M113" s="53"/>
      <c r="N113" s="61"/>
    </row>
    <row r="114" spans="1:14" ht="21.75" customHeight="1" x14ac:dyDescent="0.4">
      <c r="A114" s="141"/>
      <c r="B114" s="142"/>
      <c r="C114" s="143" t="s">
        <v>68</v>
      </c>
      <c r="D114" s="143"/>
      <c r="E114" s="143"/>
      <c r="F114" s="143"/>
      <c r="G114" s="144"/>
      <c r="H114" s="152" t="s">
        <v>69</v>
      </c>
      <c r="I114" s="150">
        <f t="shared" ref="I114:J114" ca="1" si="28">I125</f>
        <v>50000</v>
      </c>
      <c r="J114" s="150">
        <f t="shared" si="28"/>
        <v>0</v>
      </c>
      <c r="K114" s="151">
        <f ca="1">IF(I114&gt;0,J114*100/I114,0)</f>
        <v>0</v>
      </c>
      <c r="L114" s="148">
        <f ca="1">L115+L116</f>
        <v>19500</v>
      </c>
      <c r="M114" s="148">
        <f>SUM(M115:M116)</f>
        <v>0</v>
      </c>
      <c r="N114" s="148">
        <f t="shared" ref="N114:N117" ca="1" si="29">+IF(L114&gt;0,M114*100/L114,0)</f>
        <v>0</v>
      </c>
    </row>
    <row r="115" spans="1:14" ht="21.75" customHeight="1" x14ac:dyDescent="0.4">
      <c r="A115" s="42"/>
      <c r="B115" s="43"/>
      <c r="C115" s="43" t="s">
        <v>17</v>
      </c>
      <c r="D115" s="44" t="s">
        <v>18</v>
      </c>
      <c r="E115" s="45"/>
      <c r="F115" s="45"/>
      <c r="G115" s="46" t="s">
        <v>19</v>
      </c>
      <c r="H115" s="47" t="s">
        <v>20</v>
      </c>
      <c r="I115" s="48" t="s">
        <v>21</v>
      </c>
      <c r="J115" s="48"/>
      <c r="K115" s="49"/>
      <c r="L115" s="50">
        <v>0</v>
      </c>
      <c r="M115" s="50">
        <v>0</v>
      </c>
      <c r="N115" s="50">
        <f t="shared" si="29"/>
        <v>0</v>
      </c>
    </row>
    <row r="116" spans="1:14" ht="21.75" customHeight="1" x14ac:dyDescent="0.4">
      <c r="A116" s="42"/>
      <c r="B116" s="43"/>
      <c r="C116" s="43"/>
      <c r="D116" s="51"/>
      <c r="E116" s="45"/>
      <c r="F116" s="45" t="s">
        <v>21</v>
      </c>
      <c r="G116" s="46" t="s">
        <v>22</v>
      </c>
      <c r="H116" s="47" t="s">
        <v>20</v>
      </c>
      <c r="I116" s="48"/>
      <c r="J116" s="48"/>
      <c r="K116" s="49"/>
      <c r="L116" s="50">
        <f ca="1">SUM(L117)</f>
        <v>19500</v>
      </c>
      <c r="M116" s="50">
        <f>M117</f>
        <v>0</v>
      </c>
      <c r="N116" s="50">
        <f t="shared" ca="1" si="29"/>
        <v>0</v>
      </c>
    </row>
    <row r="117" spans="1:14" ht="21.75" customHeight="1" x14ac:dyDescent="0.4">
      <c r="A117" s="42"/>
      <c r="B117" s="43"/>
      <c r="C117" s="43"/>
      <c r="D117" s="51"/>
      <c r="E117" s="45"/>
      <c r="F117" s="45"/>
      <c r="G117" s="52" t="s">
        <v>24</v>
      </c>
      <c r="H117" s="47" t="s">
        <v>20</v>
      </c>
      <c r="I117" s="48"/>
      <c r="J117" s="48"/>
      <c r="K117" s="49"/>
      <c r="L117" s="53">
        <f ca="1">IFERROR(__xludf.DUMMYFUNCTION("IMPORTRANGE(""https://docs.google.com/spreadsheets/d/1C3CXT74ZlgGe6_JY_1olB1XN4rF0dxEuIIF-xsYjHgg/edit?usp=sharing"",""พรบ!AM23"")"),19500)</f>
        <v>19500</v>
      </c>
      <c r="M117" s="54">
        <v>0</v>
      </c>
      <c r="N117" s="53">
        <f t="shared" ca="1" si="29"/>
        <v>0</v>
      </c>
    </row>
    <row r="118" spans="1:14" ht="21.75" customHeight="1" x14ac:dyDescent="0.4">
      <c r="A118" s="55"/>
      <c r="B118" s="56"/>
      <c r="C118" s="43" t="s">
        <v>17</v>
      </c>
      <c r="D118" s="57" t="s">
        <v>25</v>
      </c>
      <c r="E118" s="58"/>
      <c r="F118" s="58"/>
      <c r="G118" s="59"/>
      <c r="H118" s="60"/>
      <c r="I118" s="48"/>
      <c r="J118" s="48"/>
      <c r="K118" s="49"/>
      <c r="L118" s="61"/>
      <c r="M118" s="61"/>
      <c r="N118" s="61"/>
    </row>
    <row r="119" spans="1:14" ht="21.75" customHeight="1" x14ac:dyDescent="0.4">
      <c r="A119" s="55"/>
      <c r="B119" s="56"/>
      <c r="C119" s="56"/>
      <c r="D119" s="62">
        <v>1</v>
      </c>
      <c r="E119" s="63" t="s">
        <v>26</v>
      </c>
      <c r="F119" s="64"/>
      <c r="G119" s="65"/>
      <c r="H119" s="66"/>
      <c r="I119" s="67"/>
      <c r="J119" s="68">
        <v>1</v>
      </c>
      <c r="K119" s="49"/>
      <c r="L119" s="61"/>
      <c r="M119" s="61"/>
      <c r="N119" s="61"/>
    </row>
    <row r="120" spans="1:14" ht="21.75" customHeight="1" x14ac:dyDescent="0.4">
      <c r="A120" s="55"/>
      <c r="B120" s="56"/>
      <c r="C120" s="56"/>
      <c r="D120" s="69">
        <v>2</v>
      </c>
      <c r="E120" s="70" t="s">
        <v>27</v>
      </c>
      <c r="F120" s="71"/>
      <c r="G120" s="72"/>
      <c r="H120" s="66"/>
      <c r="I120" s="67"/>
      <c r="J120" s="68">
        <v>0</v>
      </c>
      <c r="K120" s="49"/>
      <c r="L120" s="61" t="s">
        <v>21</v>
      </c>
      <c r="M120" s="61" t="s">
        <v>21</v>
      </c>
      <c r="N120" s="61"/>
    </row>
    <row r="121" spans="1:14" ht="21.75" customHeight="1" x14ac:dyDescent="0.4">
      <c r="A121" s="55"/>
      <c r="B121" s="56"/>
      <c r="C121" s="56"/>
      <c r="D121" s="73"/>
      <c r="E121" s="74" t="s">
        <v>28</v>
      </c>
      <c r="F121" s="75"/>
      <c r="G121" s="76"/>
      <c r="H121" s="66"/>
      <c r="I121" s="67"/>
      <c r="J121" s="68">
        <v>0</v>
      </c>
      <c r="K121" s="49"/>
      <c r="L121" s="61"/>
      <c r="M121" s="61"/>
      <c r="N121" s="61"/>
    </row>
    <row r="122" spans="1:14" ht="21.75" customHeight="1" x14ac:dyDescent="0.4">
      <c r="A122" s="55"/>
      <c r="B122" s="56"/>
      <c r="C122" s="56"/>
      <c r="D122" s="73"/>
      <c r="E122" s="74" t="s">
        <v>29</v>
      </c>
      <c r="F122" s="75"/>
      <c r="G122" s="76"/>
      <c r="H122" s="66"/>
      <c r="I122" s="67"/>
      <c r="J122" s="68">
        <v>0</v>
      </c>
      <c r="K122" s="49"/>
      <c r="L122" s="61"/>
      <c r="M122" s="61"/>
      <c r="N122" s="61"/>
    </row>
    <row r="123" spans="1:14" ht="21.75" customHeight="1" x14ac:dyDescent="0.4">
      <c r="A123" s="55"/>
      <c r="B123" s="56"/>
      <c r="C123" s="56"/>
      <c r="D123" s="73"/>
      <c r="E123" s="75"/>
      <c r="F123" s="75" t="s">
        <v>70</v>
      </c>
      <c r="G123" s="76"/>
      <c r="H123" s="60"/>
      <c r="I123" s="67"/>
      <c r="J123" s="67"/>
      <c r="K123" s="49"/>
      <c r="L123" s="61"/>
      <c r="M123" s="61"/>
      <c r="N123" s="61"/>
    </row>
    <row r="124" spans="1:14" ht="21.75" customHeight="1" x14ac:dyDescent="0.4">
      <c r="A124" s="55"/>
      <c r="B124" s="56"/>
      <c r="C124" s="56"/>
      <c r="D124" s="73"/>
      <c r="E124" s="77"/>
      <c r="F124" s="75"/>
      <c r="G124" s="74" t="s">
        <v>71</v>
      </c>
      <c r="H124" s="60" t="s">
        <v>69</v>
      </c>
      <c r="I124" s="67">
        <f ca="1">IFERROR(__xludf.DUMMYFUNCTION("IMPORTRANGE(""https://docs.google.com/spreadsheets/d/1C3CXT74ZlgGe6_JY_1olB1XN4rF0dxEuIIF-xsYjHgg/edit?usp=sharing"",""พรบ!AO23"")"),50000)</f>
        <v>50000</v>
      </c>
      <c r="J124" s="68">
        <v>0</v>
      </c>
      <c r="K124" s="49">
        <f t="shared" ref="K124:K126" ca="1" si="30">IF(I124&gt;0,J124*100/I124,0)</f>
        <v>0</v>
      </c>
      <c r="L124" s="61"/>
      <c r="M124" s="61"/>
      <c r="N124" s="61"/>
    </row>
    <row r="125" spans="1:14" ht="21.75" customHeight="1" x14ac:dyDescent="0.4">
      <c r="A125" s="55"/>
      <c r="B125" s="56"/>
      <c r="C125" s="56"/>
      <c r="D125" s="73"/>
      <c r="E125" s="77"/>
      <c r="F125" s="75"/>
      <c r="G125" s="74" t="s">
        <v>72</v>
      </c>
      <c r="H125" s="60" t="s">
        <v>69</v>
      </c>
      <c r="I125" s="67">
        <f ca="1">IFERROR(__xludf.DUMMYFUNCTION("IMPORTRANGE(""https://docs.google.com/spreadsheets/d/1C3CXT74ZlgGe6_JY_1olB1XN4rF0dxEuIIF-xsYjHgg/edit?usp=sharing"",""พรบ!AP23"")"),50000)</f>
        <v>50000</v>
      </c>
      <c r="J125" s="68">
        <v>0</v>
      </c>
      <c r="K125" s="49">
        <f t="shared" ca="1" si="30"/>
        <v>0</v>
      </c>
      <c r="L125" s="53">
        <f ca="1">IFERROR(__xludf.DUMMYFUNCTION("IMPORTRANGE(""https://docs.google.com/spreadsheets/d/1C3CXT74ZlgGe6_JY_1olB1XN4rF0dxEuIIF-xsYjHgg/edit?usp=sharing"",""กปร!F23"")"),13500)</f>
        <v>13500</v>
      </c>
      <c r="M125" s="359">
        <v>0</v>
      </c>
      <c r="N125" s="53">
        <f t="shared" ref="N125:N126" ca="1" si="31">+IF(L125&gt;0,M125*100/L125,0)</f>
        <v>0</v>
      </c>
    </row>
    <row r="126" spans="1:14" ht="21.75" customHeight="1" x14ac:dyDescent="0.4">
      <c r="A126" s="55"/>
      <c r="B126" s="56"/>
      <c r="C126" s="56"/>
      <c r="D126" s="73"/>
      <c r="E126" s="77"/>
      <c r="F126" s="75" t="s">
        <v>73</v>
      </c>
      <c r="G126" s="76"/>
      <c r="H126" s="60" t="s">
        <v>16</v>
      </c>
      <c r="I126" s="67">
        <f ca="1">IFERROR(__xludf.DUMMYFUNCTION("IMPORTRANGE(""https://docs.google.com/spreadsheets/d/1C3CXT74ZlgGe6_JY_1olB1XN4rF0dxEuIIF-xsYjHgg/edit?usp=sharing"",""พรบ!AQ23"")"),0)</f>
        <v>0</v>
      </c>
      <c r="J126" s="68">
        <v>0</v>
      </c>
      <c r="K126" s="49">
        <f t="shared" ca="1" si="30"/>
        <v>0</v>
      </c>
      <c r="L126" s="53">
        <f ca="1">IFERROR(__xludf.DUMMYFUNCTION("IMPORTRANGE(""https://docs.google.com/spreadsheets/d/1C3CXT74ZlgGe6_JY_1olB1XN4rF0dxEuIIF-xsYjHgg/edit?usp=sharing"",""กปร!G23"")"),0)</f>
        <v>0</v>
      </c>
      <c r="M126" s="53">
        <v>0</v>
      </c>
      <c r="N126" s="53">
        <f t="shared" ca="1" si="31"/>
        <v>0</v>
      </c>
    </row>
    <row r="127" spans="1:14" ht="21.75" customHeight="1" x14ac:dyDescent="0.4">
      <c r="A127" s="55"/>
      <c r="B127" s="56"/>
      <c r="C127" s="56"/>
      <c r="D127" s="73"/>
      <c r="E127" s="74" t="s">
        <v>35</v>
      </c>
      <c r="F127" s="75"/>
      <c r="G127" s="76"/>
      <c r="H127" s="66"/>
      <c r="I127" s="67"/>
      <c r="J127" s="68">
        <v>0</v>
      </c>
      <c r="K127" s="49"/>
      <c r="L127" s="61"/>
      <c r="M127" s="61"/>
      <c r="N127" s="61"/>
    </row>
    <row r="128" spans="1:14" ht="21.75" customHeight="1" x14ac:dyDescent="0.4">
      <c r="A128" s="105"/>
      <c r="B128" s="106"/>
      <c r="C128" s="106"/>
      <c r="D128" s="107">
        <v>3</v>
      </c>
      <c r="E128" s="108" t="s">
        <v>36</v>
      </c>
      <c r="F128" s="109"/>
      <c r="G128" s="110"/>
      <c r="H128" s="111"/>
      <c r="I128" s="112"/>
      <c r="J128" s="113">
        <v>0</v>
      </c>
      <c r="K128" s="114"/>
      <c r="L128" s="115"/>
      <c r="M128" s="115"/>
      <c r="N128" s="115"/>
    </row>
    <row r="129" spans="1:14" ht="21.75" customHeight="1" x14ac:dyDescent="0.4">
      <c r="A129" s="141"/>
      <c r="B129" s="142"/>
      <c r="C129" s="153" t="s">
        <v>74</v>
      </c>
      <c r="D129" s="143"/>
      <c r="E129" s="143"/>
      <c r="F129" s="143"/>
      <c r="G129" s="144"/>
      <c r="H129" s="152" t="s">
        <v>16</v>
      </c>
      <c r="I129" s="150">
        <f t="shared" ref="I129:J129" ca="1" si="32">I138</f>
        <v>0</v>
      </c>
      <c r="J129" s="150">
        <f t="shared" si="32"/>
        <v>0</v>
      </c>
      <c r="K129" s="151">
        <f ca="1">IF(I129&gt;0,J129*100/I129,0)</f>
        <v>0</v>
      </c>
      <c r="L129" s="148">
        <f ca="1">L130+L131</f>
        <v>0</v>
      </c>
      <c r="M129" s="148">
        <f>SUM(M130:M131)</f>
        <v>0</v>
      </c>
      <c r="N129" s="148">
        <f t="shared" ref="N129:N132" ca="1" si="33">+IF(L129&gt;0,M129*100/L129,0)</f>
        <v>0</v>
      </c>
    </row>
    <row r="130" spans="1:14" ht="21.75" customHeight="1" x14ac:dyDescent="0.4">
      <c r="A130" s="42"/>
      <c r="B130" s="43"/>
      <c r="C130" s="43" t="s">
        <v>17</v>
      </c>
      <c r="D130" s="44" t="s">
        <v>18</v>
      </c>
      <c r="E130" s="45"/>
      <c r="F130" s="45"/>
      <c r="G130" s="46" t="s">
        <v>19</v>
      </c>
      <c r="H130" s="47" t="s">
        <v>20</v>
      </c>
      <c r="I130" s="48" t="s">
        <v>21</v>
      </c>
      <c r="J130" s="48"/>
      <c r="K130" s="49"/>
      <c r="L130" s="50">
        <v>0</v>
      </c>
      <c r="M130" s="50">
        <v>0</v>
      </c>
      <c r="N130" s="50">
        <f t="shared" si="33"/>
        <v>0</v>
      </c>
    </row>
    <row r="131" spans="1:14" ht="21.75" customHeight="1" x14ac:dyDescent="0.4">
      <c r="A131" s="42"/>
      <c r="B131" s="43"/>
      <c r="C131" s="43"/>
      <c r="D131" s="51"/>
      <c r="E131" s="45"/>
      <c r="F131" s="45" t="s">
        <v>21</v>
      </c>
      <c r="G131" s="46" t="s">
        <v>22</v>
      </c>
      <c r="H131" s="47" t="s">
        <v>20</v>
      </c>
      <c r="I131" s="48"/>
      <c r="J131" s="48"/>
      <c r="K131" s="49"/>
      <c r="L131" s="50">
        <f ca="1">SUM(L132)</f>
        <v>0</v>
      </c>
      <c r="M131" s="50">
        <f>M132</f>
        <v>0</v>
      </c>
      <c r="N131" s="50">
        <f t="shared" ca="1" si="33"/>
        <v>0</v>
      </c>
    </row>
    <row r="132" spans="1:14" ht="21.75" customHeight="1" x14ac:dyDescent="0.4">
      <c r="A132" s="42"/>
      <c r="B132" s="43"/>
      <c r="C132" s="43"/>
      <c r="D132" s="51"/>
      <c r="E132" s="45"/>
      <c r="F132" s="45"/>
      <c r="G132" s="52" t="s">
        <v>24</v>
      </c>
      <c r="H132" s="47" t="s">
        <v>20</v>
      </c>
      <c r="I132" s="48"/>
      <c r="J132" s="67"/>
      <c r="K132" s="233"/>
      <c r="L132" s="53">
        <f ca="1">IFERROR(__xludf.DUMMYFUNCTION("IMPORTRANGE(""https://docs.google.com/spreadsheets/d/1C3CXT74ZlgGe6_JY_1olB1XN4rF0dxEuIIF-xsYjHgg/edit?usp=sharing"",""พรบ!AR23"")"),0)</f>
        <v>0</v>
      </c>
      <c r="M132" s="53">
        <v>0</v>
      </c>
      <c r="N132" s="53">
        <f t="shared" ca="1" si="33"/>
        <v>0</v>
      </c>
    </row>
    <row r="133" spans="1:14" ht="21.75" customHeight="1" x14ac:dyDescent="0.4">
      <c r="A133" s="55"/>
      <c r="B133" s="56"/>
      <c r="C133" s="43" t="s">
        <v>17</v>
      </c>
      <c r="D133" s="57" t="s">
        <v>25</v>
      </c>
      <c r="E133" s="58"/>
      <c r="F133" s="58"/>
      <c r="G133" s="59"/>
      <c r="H133" s="60"/>
      <c r="I133" s="48"/>
      <c r="J133" s="67"/>
      <c r="K133" s="233"/>
      <c r="L133" s="53"/>
      <c r="M133" s="53"/>
      <c r="N133" s="61"/>
    </row>
    <row r="134" spans="1:14" ht="21.75" customHeight="1" x14ac:dyDescent="0.4">
      <c r="A134" s="55"/>
      <c r="B134" s="56"/>
      <c r="C134" s="56"/>
      <c r="D134" s="62">
        <v>1</v>
      </c>
      <c r="E134" s="63" t="s">
        <v>26</v>
      </c>
      <c r="F134" s="64"/>
      <c r="G134" s="65"/>
      <c r="H134" s="66"/>
      <c r="I134" s="67"/>
      <c r="J134" s="67">
        <v>0</v>
      </c>
      <c r="K134" s="233"/>
      <c r="L134" s="53"/>
      <c r="M134" s="53"/>
      <c r="N134" s="61"/>
    </row>
    <row r="135" spans="1:14" ht="21.75" customHeight="1" x14ac:dyDescent="0.4">
      <c r="A135" s="55"/>
      <c r="B135" s="56"/>
      <c r="C135" s="56"/>
      <c r="D135" s="69">
        <v>2</v>
      </c>
      <c r="E135" s="70" t="s">
        <v>27</v>
      </c>
      <c r="F135" s="71"/>
      <c r="G135" s="72"/>
      <c r="H135" s="66"/>
      <c r="I135" s="67"/>
      <c r="J135" s="67">
        <v>0</v>
      </c>
      <c r="K135" s="233"/>
      <c r="L135" s="53" t="s">
        <v>21</v>
      </c>
      <c r="M135" s="53" t="s">
        <v>21</v>
      </c>
      <c r="N135" s="61"/>
    </row>
    <row r="136" spans="1:14" ht="21.75" customHeight="1" x14ac:dyDescent="0.4">
      <c r="A136" s="55"/>
      <c r="B136" s="56"/>
      <c r="C136" s="56"/>
      <c r="D136" s="73"/>
      <c r="E136" s="74" t="s">
        <v>28</v>
      </c>
      <c r="F136" s="75"/>
      <c r="G136" s="76"/>
      <c r="H136" s="66"/>
      <c r="I136" s="67"/>
      <c r="J136" s="67">
        <v>0</v>
      </c>
      <c r="K136" s="233"/>
      <c r="L136" s="53"/>
      <c r="M136" s="53"/>
      <c r="N136" s="61"/>
    </row>
    <row r="137" spans="1:14" ht="21.75" customHeight="1" x14ac:dyDescent="0.4">
      <c r="A137" s="55"/>
      <c r="B137" s="56"/>
      <c r="C137" s="56"/>
      <c r="D137" s="73"/>
      <c r="E137" s="74" t="s">
        <v>29</v>
      </c>
      <c r="F137" s="75"/>
      <c r="G137" s="76"/>
      <c r="H137" s="66"/>
      <c r="I137" s="67"/>
      <c r="J137" s="67">
        <v>0</v>
      </c>
      <c r="K137" s="233"/>
      <c r="L137" s="53"/>
      <c r="M137" s="53"/>
      <c r="N137" s="61"/>
    </row>
    <row r="138" spans="1:14" ht="21.75" customHeight="1" x14ac:dyDescent="0.4">
      <c r="A138" s="55"/>
      <c r="B138" s="56"/>
      <c r="C138" s="56"/>
      <c r="D138" s="73"/>
      <c r="E138" s="77"/>
      <c r="F138" s="75" t="s">
        <v>75</v>
      </c>
      <c r="G138" s="76"/>
      <c r="H138" s="60" t="s">
        <v>16</v>
      </c>
      <c r="I138" s="67">
        <f ca="1">IFERROR(__xludf.DUMMYFUNCTION("IMPORTRANGE(""https://docs.google.com/spreadsheets/d/1C3CXT74ZlgGe6_JY_1olB1XN4rF0dxEuIIF-xsYjHgg/edit?usp=sharing"",""พรบ!AS23"")"),0)</f>
        <v>0</v>
      </c>
      <c r="J138" s="67">
        <v>0</v>
      </c>
      <c r="K138" s="233">
        <f ca="1">IF(I138&gt;0,J138*100/I138,0)</f>
        <v>0</v>
      </c>
      <c r="L138" s="53">
        <f ca="1">IFERROR(__xludf.DUMMYFUNCTION("IMPORTRANGE(""https://docs.google.com/spreadsheets/d/1C3CXT74ZlgGe6_JY_1olB1XN4rF0dxEuIIF-xsYjHgg/edit?usp=sharing"",""กปร!H23"")"),0)</f>
        <v>0</v>
      </c>
      <c r="M138" s="53">
        <v>0</v>
      </c>
      <c r="N138" s="53">
        <f ca="1">+IF(L138&gt;0,M138*100/L138,0)</f>
        <v>0</v>
      </c>
    </row>
    <row r="139" spans="1:14" ht="21.75" customHeight="1" x14ac:dyDescent="0.4">
      <c r="A139" s="55"/>
      <c r="B139" s="56"/>
      <c r="C139" s="56"/>
      <c r="D139" s="73"/>
      <c r="E139" s="77"/>
      <c r="F139" s="74" t="s">
        <v>34</v>
      </c>
      <c r="G139" s="76"/>
      <c r="H139" s="60"/>
      <c r="I139" s="67"/>
      <c r="J139" s="67"/>
      <c r="K139" s="233"/>
      <c r="L139" s="53"/>
      <c r="M139" s="53"/>
      <c r="N139" s="61"/>
    </row>
    <row r="140" spans="1:14" ht="21.75" customHeight="1" x14ac:dyDescent="0.4">
      <c r="A140" s="55"/>
      <c r="B140" s="56"/>
      <c r="C140" s="56"/>
      <c r="D140" s="73"/>
      <c r="E140" s="77"/>
      <c r="F140" s="75"/>
      <c r="G140" s="99" t="s">
        <v>76</v>
      </c>
      <c r="H140" s="60" t="s">
        <v>16</v>
      </c>
      <c r="I140" s="67">
        <f ca="1">IFERROR(__xludf.DUMMYFUNCTION("IMPORTRANGE(""https://docs.google.com/spreadsheets/d/1C3CXT74ZlgGe6_JY_1olB1XN4rF0dxEuIIF-xsYjHgg/edit?usp=sharing"",""พรบ!AT23"")"),0)</f>
        <v>0</v>
      </c>
      <c r="J140" s="67">
        <v>0</v>
      </c>
      <c r="K140" s="233">
        <f t="shared" ref="K140:K141" ca="1" si="34">IF(I140&gt;0,J140*100/I140,0)</f>
        <v>0</v>
      </c>
      <c r="L140" s="53">
        <f ca="1">IFERROR(__xludf.DUMMYFUNCTION("IMPORTRANGE(""https://docs.google.com/spreadsheets/d/1C3CXT74ZlgGe6_JY_1olB1XN4rF0dxEuIIF-xsYjHgg/edit?usp=sharing"",""กปร!I23"")"),0)</f>
        <v>0</v>
      </c>
      <c r="M140" s="53">
        <v>0</v>
      </c>
      <c r="N140" s="53">
        <f t="shared" ref="N140:N141" ca="1" si="35">+IF(L140&gt;0,M140*100/L140,0)</f>
        <v>0</v>
      </c>
    </row>
    <row r="141" spans="1:14" ht="21.75" customHeight="1" x14ac:dyDescent="0.4">
      <c r="A141" s="55"/>
      <c r="B141" s="56"/>
      <c r="C141" s="56"/>
      <c r="D141" s="73"/>
      <c r="E141" s="77"/>
      <c r="F141" s="75"/>
      <c r="G141" s="99" t="s">
        <v>77</v>
      </c>
      <c r="H141" s="60" t="s">
        <v>40</v>
      </c>
      <c r="I141" s="67">
        <f ca="1">IFERROR(__xludf.DUMMYFUNCTION("IMPORTRANGE(""https://docs.google.com/spreadsheets/d/1C3CXT74ZlgGe6_JY_1olB1XN4rF0dxEuIIF-xsYjHgg/edit?usp=sharing"",""พรบ!AU23"")"),0)</f>
        <v>0</v>
      </c>
      <c r="J141" s="67">
        <v>0</v>
      </c>
      <c r="K141" s="233">
        <f t="shared" ca="1" si="34"/>
        <v>0</v>
      </c>
      <c r="L141" s="53">
        <f ca="1">IFERROR(__xludf.DUMMYFUNCTION("IMPORTRANGE(""https://docs.google.com/spreadsheets/d/1C3CXT74ZlgGe6_JY_1olB1XN4rF0dxEuIIF-xsYjHgg/edit?usp=sharing"",""กปร!J23"")"),0)</f>
        <v>0</v>
      </c>
      <c r="M141" s="53">
        <v>0</v>
      </c>
      <c r="N141" s="53">
        <f t="shared" ca="1" si="35"/>
        <v>0</v>
      </c>
    </row>
    <row r="142" spans="1:14" ht="21.75" customHeight="1" x14ac:dyDescent="0.4">
      <c r="A142" s="55"/>
      <c r="B142" s="56"/>
      <c r="C142" s="56"/>
      <c r="D142" s="73"/>
      <c r="E142" s="74" t="s">
        <v>35</v>
      </c>
      <c r="F142" s="75"/>
      <c r="G142" s="76"/>
      <c r="H142" s="66"/>
      <c r="I142" s="67"/>
      <c r="J142" s="67">
        <v>0</v>
      </c>
      <c r="K142" s="233"/>
      <c r="L142" s="53"/>
      <c r="M142" s="53"/>
      <c r="N142" s="61"/>
    </row>
    <row r="143" spans="1:14" ht="21.75" customHeight="1" x14ac:dyDescent="0.4">
      <c r="A143" s="105"/>
      <c r="B143" s="106"/>
      <c r="C143" s="106"/>
      <c r="D143" s="107">
        <v>3</v>
      </c>
      <c r="E143" s="108" t="s">
        <v>36</v>
      </c>
      <c r="F143" s="109"/>
      <c r="G143" s="110"/>
      <c r="H143" s="111"/>
      <c r="I143" s="112"/>
      <c r="J143" s="356">
        <v>0</v>
      </c>
      <c r="K143" s="357"/>
      <c r="L143" s="358"/>
      <c r="M143" s="358"/>
      <c r="N143" s="115"/>
    </row>
    <row r="144" spans="1:14" ht="21.75" customHeight="1" x14ac:dyDescent="0.4">
      <c r="A144" s="132"/>
      <c r="B144" s="133" t="s">
        <v>78</v>
      </c>
      <c r="C144" s="134"/>
      <c r="D144" s="133"/>
      <c r="E144" s="133"/>
      <c r="F144" s="133"/>
      <c r="G144" s="135"/>
      <c r="H144" s="136" t="s">
        <v>16</v>
      </c>
      <c r="I144" s="137">
        <f t="shared" ref="I144:J144" ca="1" si="36">+I149+I158</f>
        <v>14</v>
      </c>
      <c r="J144" s="137">
        <f t="shared" si="36"/>
        <v>14</v>
      </c>
      <c r="K144" s="138">
        <f ca="1">IF(I144&gt;0,J144*100/I144,0)</f>
        <v>100</v>
      </c>
      <c r="L144" s="139">
        <f ca="1">L145+L146</f>
        <v>20210</v>
      </c>
      <c r="M144" s="139">
        <f>SUM(M145:M146)</f>
        <v>15580</v>
      </c>
      <c r="N144" s="138">
        <f ca="1">IF(L144&gt;0,M144*100/L144,0)</f>
        <v>77.09054923305294</v>
      </c>
    </row>
    <row r="145" spans="1:14" ht="21.75" customHeight="1" x14ac:dyDescent="0.4">
      <c r="A145" s="42"/>
      <c r="B145" s="43"/>
      <c r="C145" s="43" t="s">
        <v>17</v>
      </c>
      <c r="D145" s="44" t="s">
        <v>18</v>
      </c>
      <c r="E145" s="45"/>
      <c r="F145" s="45"/>
      <c r="G145" s="46" t="s">
        <v>19</v>
      </c>
      <c r="H145" s="47" t="s">
        <v>20</v>
      </c>
      <c r="I145" s="48" t="s">
        <v>21</v>
      </c>
      <c r="J145" s="48"/>
      <c r="K145" s="49"/>
      <c r="L145" s="50">
        <v>0</v>
      </c>
      <c r="M145" s="50">
        <v>0</v>
      </c>
      <c r="N145" s="50">
        <f t="shared" ref="N145:N148" si="37">+IF(L145&gt;0,M145*100/L145,0)</f>
        <v>0</v>
      </c>
    </row>
    <row r="146" spans="1:14" ht="21.75" customHeight="1" x14ac:dyDescent="0.4">
      <c r="A146" s="42"/>
      <c r="B146" s="43"/>
      <c r="C146" s="43"/>
      <c r="D146" s="51"/>
      <c r="E146" s="45"/>
      <c r="F146" s="45" t="s">
        <v>21</v>
      </c>
      <c r="G146" s="46" t="s">
        <v>22</v>
      </c>
      <c r="H146" s="47" t="s">
        <v>20</v>
      </c>
      <c r="I146" s="48"/>
      <c r="J146" s="48"/>
      <c r="K146" s="49"/>
      <c r="L146" s="50">
        <f t="shared" ref="L146:M146" ca="1" si="38">SUM(L147:L148)</f>
        <v>20210</v>
      </c>
      <c r="M146" s="50">
        <f t="shared" si="38"/>
        <v>15580</v>
      </c>
      <c r="N146" s="50">
        <f t="shared" ca="1" si="37"/>
        <v>77.09054923305294</v>
      </c>
    </row>
    <row r="147" spans="1:14" ht="21.75" customHeight="1" x14ac:dyDescent="0.4">
      <c r="A147" s="42"/>
      <c r="B147" s="43"/>
      <c r="C147" s="43"/>
      <c r="D147" s="51"/>
      <c r="E147" s="45"/>
      <c r="F147" s="45"/>
      <c r="G147" s="52" t="s">
        <v>23</v>
      </c>
      <c r="H147" s="47" t="s">
        <v>20</v>
      </c>
      <c r="I147" s="48"/>
      <c r="J147" s="48"/>
      <c r="K147" s="49"/>
      <c r="L147" s="53">
        <v>0</v>
      </c>
      <c r="M147" s="53">
        <v>0</v>
      </c>
      <c r="N147" s="53">
        <f t="shared" si="37"/>
        <v>0</v>
      </c>
    </row>
    <row r="148" spans="1:14" ht="21.75" customHeight="1" x14ac:dyDescent="0.4">
      <c r="A148" s="42"/>
      <c r="B148" s="43"/>
      <c r="C148" s="43"/>
      <c r="D148" s="51"/>
      <c r="E148" s="45"/>
      <c r="F148" s="45"/>
      <c r="G148" s="52" t="s">
        <v>24</v>
      </c>
      <c r="H148" s="47" t="s">
        <v>20</v>
      </c>
      <c r="I148" s="48"/>
      <c r="J148" s="48"/>
      <c r="K148" s="49"/>
      <c r="L148" s="53">
        <f ca="1">IFERROR(__xludf.DUMMYFUNCTION("IMPORTRANGE(""https://docs.google.com/spreadsheets/d/1C3CXT74ZlgGe6_JY_1olB1XN4rF0dxEuIIF-xsYjHgg/edit?usp=sharing"",""พรบ!AY23"")"),20210)</f>
        <v>20210</v>
      </c>
      <c r="M148" s="54">
        <v>15580</v>
      </c>
      <c r="N148" s="53">
        <f t="shared" ca="1" si="37"/>
        <v>77.09054923305294</v>
      </c>
    </row>
    <row r="149" spans="1:14" ht="21.75" customHeight="1" x14ac:dyDescent="0.4">
      <c r="A149" s="55"/>
      <c r="B149" s="155"/>
      <c r="C149" s="134" t="s">
        <v>79</v>
      </c>
      <c r="D149" s="133"/>
      <c r="E149" s="133"/>
      <c r="F149" s="133"/>
      <c r="G149" s="135"/>
      <c r="H149" s="136" t="s">
        <v>16</v>
      </c>
      <c r="I149" s="137">
        <f ca="1">I155</f>
        <v>14</v>
      </c>
      <c r="J149" s="137">
        <v>14</v>
      </c>
      <c r="K149" s="138">
        <f ca="1">IF(I149&gt;0,J149*100/I149,0)</f>
        <v>100</v>
      </c>
      <c r="L149" s="140"/>
      <c r="M149" s="140"/>
      <c r="N149" s="140"/>
    </row>
    <row r="150" spans="1:14" ht="21.75" customHeight="1" x14ac:dyDescent="0.4">
      <c r="A150" s="55"/>
      <c r="B150" s="56"/>
      <c r="C150" s="43" t="s">
        <v>17</v>
      </c>
      <c r="D150" s="57" t="s">
        <v>25</v>
      </c>
      <c r="E150" s="58"/>
      <c r="F150" s="58"/>
      <c r="G150" s="59"/>
      <c r="H150" s="60"/>
      <c r="I150" s="48"/>
      <c r="J150" s="48"/>
      <c r="K150" s="49"/>
      <c r="L150" s="61"/>
      <c r="M150" s="61"/>
      <c r="N150" s="61"/>
    </row>
    <row r="151" spans="1:14" ht="21.75" customHeight="1" x14ac:dyDescent="0.4">
      <c r="A151" s="55"/>
      <c r="B151" s="56"/>
      <c r="C151" s="56"/>
      <c r="D151" s="62">
        <v>1</v>
      </c>
      <c r="E151" s="63" t="s">
        <v>26</v>
      </c>
      <c r="F151" s="64"/>
      <c r="G151" s="65"/>
      <c r="H151" s="66"/>
      <c r="I151" s="67"/>
      <c r="J151" s="68">
        <v>0</v>
      </c>
      <c r="K151" s="49"/>
      <c r="L151" s="61"/>
      <c r="M151" s="61"/>
      <c r="N151" s="61"/>
    </row>
    <row r="152" spans="1:14" ht="21.75" customHeight="1" x14ac:dyDescent="0.4">
      <c r="A152" s="55"/>
      <c r="B152" s="56"/>
      <c r="C152" s="56"/>
      <c r="D152" s="69">
        <v>2</v>
      </c>
      <c r="E152" s="70" t="s">
        <v>27</v>
      </c>
      <c r="F152" s="71"/>
      <c r="G152" s="72"/>
      <c r="H152" s="66"/>
      <c r="I152" s="67"/>
      <c r="J152" s="68">
        <v>1</v>
      </c>
      <c r="K152" s="49"/>
      <c r="L152" s="61" t="s">
        <v>21</v>
      </c>
      <c r="M152" s="61" t="s">
        <v>21</v>
      </c>
      <c r="N152" s="61"/>
    </row>
    <row r="153" spans="1:14" ht="21.75" customHeight="1" x14ac:dyDescent="0.4">
      <c r="A153" s="55"/>
      <c r="B153" s="56"/>
      <c r="C153" s="56"/>
      <c r="D153" s="73"/>
      <c r="E153" s="74" t="s">
        <v>28</v>
      </c>
      <c r="F153" s="75"/>
      <c r="G153" s="76"/>
      <c r="H153" s="66"/>
      <c r="I153" s="67"/>
      <c r="J153" s="68">
        <v>1</v>
      </c>
      <c r="K153" s="49"/>
      <c r="L153" s="61"/>
      <c r="M153" s="61"/>
      <c r="N153" s="61"/>
    </row>
    <row r="154" spans="1:14" ht="21.75" customHeight="1" x14ac:dyDescent="0.4">
      <c r="A154" s="55"/>
      <c r="B154" s="56"/>
      <c r="C154" s="56"/>
      <c r="D154" s="73"/>
      <c r="E154" s="74" t="s">
        <v>29</v>
      </c>
      <c r="F154" s="75"/>
      <c r="G154" s="76"/>
      <c r="H154" s="66"/>
      <c r="I154" s="67"/>
      <c r="J154" s="68">
        <v>1</v>
      </c>
      <c r="K154" s="49"/>
      <c r="L154" s="61"/>
      <c r="M154" s="61"/>
      <c r="N154" s="61"/>
    </row>
    <row r="155" spans="1:14" ht="21.75" customHeight="1" x14ac:dyDescent="0.4">
      <c r="A155" s="55"/>
      <c r="B155" s="56"/>
      <c r="C155" s="56"/>
      <c r="D155" s="73"/>
      <c r="E155" s="77"/>
      <c r="F155" s="75"/>
      <c r="G155" s="99" t="s">
        <v>50</v>
      </c>
      <c r="H155" s="66" t="s">
        <v>16</v>
      </c>
      <c r="I155" s="67">
        <f ca="1">IFERROR(__xludf.DUMMYFUNCTION("IMPORTRANGE(""https://docs.google.com/spreadsheets/d/1C3CXT74ZlgGe6_JY_1olB1XN4rF0dxEuIIF-xsYjHgg/edit?usp=sharing"",""พรบ!BA23"")"),14)</f>
        <v>14</v>
      </c>
      <c r="J155" s="68">
        <v>14</v>
      </c>
      <c r="K155" s="49">
        <f ca="1">IF(I155&gt;0,J155*100/I155,0)</f>
        <v>100</v>
      </c>
      <c r="L155" s="61"/>
      <c r="M155" s="61"/>
      <c r="N155" s="61"/>
    </row>
    <row r="156" spans="1:14" ht="21.75" customHeight="1" x14ac:dyDescent="0.4">
      <c r="A156" s="55"/>
      <c r="B156" s="56"/>
      <c r="C156" s="56"/>
      <c r="D156" s="73"/>
      <c r="E156" s="74" t="s">
        <v>35</v>
      </c>
      <c r="F156" s="75"/>
      <c r="G156" s="76"/>
      <c r="H156" s="66"/>
      <c r="I156" s="67"/>
      <c r="J156" s="68">
        <v>0</v>
      </c>
      <c r="K156" s="49"/>
      <c r="L156" s="61"/>
      <c r="M156" s="61"/>
      <c r="N156" s="61"/>
    </row>
    <row r="157" spans="1:14" ht="21.75" customHeight="1" x14ac:dyDescent="0.4">
      <c r="A157" s="55"/>
      <c r="B157" s="56"/>
      <c r="C157" s="56"/>
      <c r="D157" s="81">
        <v>3</v>
      </c>
      <c r="E157" s="82" t="s">
        <v>36</v>
      </c>
      <c r="F157" s="83"/>
      <c r="G157" s="84"/>
      <c r="H157" s="66"/>
      <c r="I157" s="67"/>
      <c r="J157" s="85">
        <v>0</v>
      </c>
      <c r="K157" s="49"/>
      <c r="L157" s="61"/>
      <c r="M157" s="61"/>
      <c r="N157" s="61"/>
    </row>
    <row r="158" spans="1:14" ht="21.75" customHeight="1" x14ac:dyDescent="0.4">
      <c r="A158" s="55"/>
      <c r="B158" s="56"/>
      <c r="C158" s="134" t="s">
        <v>81</v>
      </c>
      <c r="D158" s="156"/>
      <c r="E158" s="133"/>
      <c r="F158" s="133"/>
      <c r="G158" s="135"/>
      <c r="H158" s="136" t="s">
        <v>16</v>
      </c>
      <c r="I158" s="137">
        <f>I164</f>
        <v>0</v>
      </c>
      <c r="J158" s="137">
        <f>+J164</f>
        <v>0</v>
      </c>
      <c r="K158" s="138">
        <f>IF(I158&gt;0,J158*100/I158,0)</f>
        <v>0</v>
      </c>
      <c r="L158" s="61"/>
      <c r="M158" s="61"/>
      <c r="N158" s="61"/>
    </row>
    <row r="159" spans="1:14" ht="21.75" customHeight="1" x14ac:dyDescent="0.4">
      <c r="A159" s="55"/>
      <c r="B159" s="56"/>
      <c r="C159" s="43" t="s">
        <v>17</v>
      </c>
      <c r="D159" s="57" t="s">
        <v>25</v>
      </c>
      <c r="E159" s="58"/>
      <c r="F159" s="58"/>
      <c r="G159" s="59"/>
      <c r="H159" s="60"/>
      <c r="I159" s="48"/>
      <c r="J159" s="48"/>
      <c r="K159" s="49"/>
      <c r="L159" s="61"/>
      <c r="M159" s="61"/>
      <c r="N159" s="61"/>
    </row>
    <row r="160" spans="1:14" ht="21.75" customHeight="1" x14ac:dyDescent="0.4">
      <c r="A160" s="55"/>
      <c r="B160" s="56"/>
      <c r="C160" s="56"/>
      <c r="D160" s="62">
        <v>1</v>
      </c>
      <c r="E160" s="63" t="s">
        <v>26</v>
      </c>
      <c r="F160" s="64"/>
      <c r="G160" s="65"/>
      <c r="H160" s="66"/>
      <c r="I160" s="67"/>
      <c r="J160" s="67">
        <v>0</v>
      </c>
      <c r="K160" s="49"/>
      <c r="L160" s="61"/>
      <c r="M160" s="61"/>
      <c r="N160" s="61"/>
    </row>
    <row r="161" spans="1:14" ht="21.75" customHeight="1" x14ac:dyDescent="0.4">
      <c r="A161" s="55"/>
      <c r="B161" s="56"/>
      <c r="C161" s="56"/>
      <c r="D161" s="69">
        <v>2</v>
      </c>
      <c r="E161" s="70" t="s">
        <v>27</v>
      </c>
      <c r="F161" s="71"/>
      <c r="G161" s="72"/>
      <c r="H161" s="66"/>
      <c r="I161" s="67"/>
      <c r="J161" s="67">
        <v>0</v>
      </c>
      <c r="K161" s="49"/>
      <c r="L161" s="61" t="s">
        <v>21</v>
      </c>
      <c r="M161" s="61" t="s">
        <v>21</v>
      </c>
      <c r="N161" s="61"/>
    </row>
    <row r="162" spans="1:14" ht="21.75" customHeight="1" x14ac:dyDescent="0.4">
      <c r="A162" s="55"/>
      <c r="B162" s="56"/>
      <c r="C162" s="56"/>
      <c r="D162" s="73"/>
      <c r="E162" s="74" t="s">
        <v>28</v>
      </c>
      <c r="F162" s="75"/>
      <c r="G162" s="76"/>
      <c r="H162" s="66"/>
      <c r="I162" s="67"/>
      <c r="J162" s="67">
        <v>0</v>
      </c>
      <c r="K162" s="49"/>
      <c r="L162" s="61"/>
      <c r="M162" s="61"/>
      <c r="N162" s="61"/>
    </row>
    <row r="163" spans="1:14" ht="21.75" customHeight="1" x14ac:dyDescent="0.4">
      <c r="A163" s="55"/>
      <c r="B163" s="56"/>
      <c r="C163" s="56"/>
      <c r="D163" s="73"/>
      <c r="E163" s="74" t="s">
        <v>29</v>
      </c>
      <c r="F163" s="75"/>
      <c r="G163" s="76"/>
      <c r="H163" s="66"/>
      <c r="I163" s="67"/>
      <c r="J163" s="67">
        <v>0</v>
      </c>
      <c r="K163" s="49"/>
      <c r="L163" s="61"/>
      <c r="M163" s="61"/>
      <c r="N163" s="61"/>
    </row>
    <row r="164" spans="1:14" ht="21.75" customHeight="1" x14ac:dyDescent="0.4">
      <c r="A164" s="55"/>
      <c r="B164" s="56"/>
      <c r="C164" s="56"/>
      <c r="D164" s="73"/>
      <c r="E164" s="75"/>
      <c r="F164" s="74" t="s">
        <v>82</v>
      </c>
      <c r="G164" s="75"/>
      <c r="H164" s="66" t="s">
        <v>16</v>
      </c>
      <c r="I164" s="67">
        <v>0</v>
      </c>
      <c r="J164" s="67">
        <v>0</v>
      </c>
      <c r="K164" s="49">
        <f>IF(I164&gt;0,J164*100/I164,0)</f>
        <v>0</v>
      </c>
      <c r="L164" s="61"/>
      <c r="M164" s="61"/>
      <c r="N164" s="61"/>
    </row>
    <row r="165" spans="1:14" ht="21.75" customHeight="1" x14ac:dyDescent="0.4">
      <c r="A165" s="55"/>
      <c r="B165" s="56"/>
      <c r="C165" s="56"/>
      <c r="D165" s="73"/>
      <c r="E165" s="74" t="s">
        <v>35</v>
      </c>
      <c r="F165" s="75"/>
      <c r="G165" s="76"/>
      <c r="H165" s="66"/>
      <c r="I165" s="67"/>
      <c r="J165" s="67">
        <v>0</v>
      </c>
      <c r="K165" s="49"/>
      <c r="L165" s="61"/>
      <c r="M165" s="61"/>
      <c r="N165" s="61"/>
    </row>
    <row r="166" spans="1:14" ht="21.75" customHeight="1" x14ac:dyDescent="0.4">
      <c r="A166" s="105"/>
      <c r="B166" s="106"/>
      <c r="C166" s="106"/>
      <c r="D166" s="107">
        <v>3</v>
      </c>
      <c r="E166" s="108" t="s">
        <v>36</v>
      </c>
      <c r="F166" s="109"/>
      <c r="G166" s="110"/>
      <c r="H166" s="111"/>
      <c r="I166" s="112"/>
      <c r="J166" s="356">
        <v>0</v>
      </c>
      <c r="K166" s="114"/>
      <c r="L166" s="115"/>
      <c r="M166" s="115"/>
      <c r="N166" s="115"/>
    </row>
    <row r="167" spans="1:14" ht="21.75" customHeight="1" x14ac:dyDescent="0.4">
      <c r="A167" s="157" t="s">
        <v>83</v>
      </c>
      <c r="B167" s="158"/>
      <c r="C167" s="158"/>
      <c r="D167" s="158"/>
      <c r="E167" s="159"/>
      <c r="F167" s="159"/>
      <c r="G167" s="160"/>
      <c r="H167" s="161"/>
      <c r="I167" s="162"/>
      <c r="J167" s="162"/>
      <c r="K167" s="163"/>
      <c r="L167" s="164"/>
      <c r="M167" s="164"/>
      <c r="N167" s="165"/>
    </row>
    <row r="168" spans="1:14" ht="21.75" customHeight="1" x14ac:dyDescent="0.4">
      <c r="A168" s="166" t="s">
        <v>84</v>
      </c>
      <c r="B168" s="167"/>
      <c r="C168" s="167"/>
      <c r="D168" s="168"/>
      <c r="E168" s="168"/>
      <c r="F168" s="168"/>
      <c r="G168" s="169"/>
      <c r="H168" s="170"/>
      <c r="I168" s="171"/>
      <c r="J168" s="171"/>
      <c r="K168" s="172"/>
      <c r="L168" s="172"/>
      <c r="M168" s="172"/>
      <c r="N168" s="173"/>
    </row>
    <row r="169" spans="1:14" ht="21.75" customHeight="1" x14ac:dyDescent="0.4">
      <c r="A169" s="174"/>
      <c r="B169" s="175" t="s">
        <v>85</v>
      </c>
      <c r="C169" s="175"/>
      <c r="D169" s="175"/>
      <c r="E169" s="175"/>
      <c r="F169" s="175"/>
      <c r="G169" s="176"/>
      <c r="H169" s="177" t="s">
        <v>16</v>
      </c>
      <c r="I169" s="178">
        <f ca="1">I180</f>
        <v>0</v>
      </c>
      <c r="J169" s="178">
        <f>+J180</f>
        <v>0</v>
      </c>
      <c r="K169" s="179">
        <f ca="1">IF(I169&gt;0,J169*100/I169,0)</f>
        <v>0</v>
      </c>
      <c r="L169" s="180">
        <f ca="1">L170+L171</f>
        <v>0</v>
      </c>
      <c r="M169" s="180">
        <f>SUM(M170:M171)</f>
        <v>0</v>
      </c>
      <c r="N169" s="179">
        <f ca="1">IF(L169&gt;0,M169*100/L169,0)</f>
        <v>0</v>
      </c>
    </row>
    <row r="170" spans="1:14" ht="21.75" customHeight="1" x14ac:dyDescent="0.4">
      <c r="A170" s="42"/>
      <c r="B170" s="43"/>
      <c r="C170" s="43" t="s">
        <v>17</v>
      </c>
      <c r="D170" s="44" t="s">
        <v>18</v>
      </c>
      <c r="E170" s="45"/>
      <c r="F170" s="45"/>
      <c r="G170" s="46" t="s">
        <v>19</v>
      </c>
      <c r="H170" s="47" t="s">
        <v>20</v>
      </c>
      <c r="I170" s="48" t="s">
        <v>21</v>
      </c>
      <c r="J170" s="48"/>
      <c r="K170" s="49"/>
      <c r="L170" s="50">
        <v>0</v>
      </c>
      <c r="M170" s="50">
        <v>0</v>
      </c>
      <c r="N170" s="50">
        <f t="shared" ref="N170:N173" si="39">+IF(L170&gt;0,M170*100/L170,0)</f>
        <v>0</v>
      </c>
    </row>
    <row r="171" spans="1:14" ht="21.75" customHeight="1" x14ac:dyDescent="0.4">
      <c r="A171" s="42"/>
      <c r="B171" s="43"/>
      <c r="C171" s="43"/>
      <c r="D171" s="51"/>
      <c r="E171" s="45"/>
      <c r="F171" s="45" t="s">
        <v>21</v>
      </c>
      <c r="G171" s="46" t="s">
        <v>22</v>
      </c>
      <c r="H171" s="47" t="s">
        <v>20</v>
      </c>
      <c r="I171" s="48"/>
      <c r="J171" s="48"/>
      <c r="K171" s="49"/>
      <c r="L171" s="50">
        <f t="shared" ref="L171:M171" ca="1" si="40">SUM(L172:L173)</f>
        <v>0</v>
      </c>
      <c r="M171" s="50">
        <f t="shared" si="40"/>
        <v>0</v>
      </c>
      <c r="N171" s="50">
        <f t="shared" ca="1" si="39"/>
        <v>0</v>
      </c>
    </row>
    <row r="172" spans="1:14" ht="21.75" customHeight="1" x14ac:dyDescent="0.4">
      <c r="A172" s="42"/>
      <c r="B172" s="43"/>
      <c r="C172" s="43"/>
      <c r="D172" s="51"/>
      <c r="E172" s="45"/>
      <c r="F172" s="45"/>
      <c r="G172" s="52" t="s">
        <v>23</v>
      </c>
      <c r="H172" s="47" t="s">
        <v>20</v>
      </c>
      <c r="I172" s="48"/>
      <c r="J172" s="48"/>
      <c r="K172" s="49"/>
      <c r="L172" s="53">
        <f ca="1">IFERROR(__xludf.DUMMYFUNCTION("IMPORTRANGE(""https://docs.google.com/spreadsheets/d/1C3CXT74ZlgGe6_JY_1olB1XN4rF0dxEuIIF-xsYjHgg/edit?usp=sharing"",""พรบ!BD23"")"),0)</f>
        <v>0</v>
      </c>
      <c r="M172" s="54">
        <v>0</v>
      </c>
      <c r="N172" s="53">
        <f t="shared" ca="1" si="39"/>
        <v>0</v>
      </c>
    </row>
    <row r="173" spans="1:14" ht="21.75" customHeight="1" x14ac:dyDescent="0.4">
      <c r="A173" s="42"/>
      <c r="B173" s="43"/>
      <c r="C173" s="43"/>
      <c r="D173" s="51"/>
      <c r="E173" s="45"/>
      <c r="F173" s="45"/>
      <c r="G173" s="52" t="s">
        <v>24</v>
      </c>
      <c r="H173" s="47" t="s">
        <v>20</v>
      </c>
      <c r="I173" s="48"/>
      <c r="J173" s="48"/>
      <c r="K173" s="49"/>
      <c r="L173" s="53">
        <f ca="1">IFERROR(__xludf.DUMMYFUNCTION("IMPORTRANGE(""https://docs.google.com/spreadsheets/d/1C3CXT74ZlgGe6_JY_1olB1XN4rF0dxEuIIF-xsYjHgg/edit?usp=sharing"",""พรบ!BE23"")"),0)</f>
        <v>0</v>
      </c>
      <c r="M173" s="54">
        <v>0</v>
      </c>
      <c r="N173" s="53">
        <f t="shared" ca="1" si="39"/>
        <v>0</v>
      </c>
    </row>
    <row r="174" spans="1:14" ht="21.75" customHeight="1" x14ac:dyDescent="0.4">
      <c r="A174" s="55"/>
      <c r="B174" s="56"/>
      <c r="C174" s="43" t="s">
        <v>17</v>
      </c>
      <c r="D174" s="57" t="s">
        <v>25</v>
      </c>
      <c r="E174" s="58"/>
      <c r="F174" s="58"/>
      <c r="G174" s="59"/>
      <c r="H174" s="60"/>
      <c r="I174" s="48"/>
      <c r="J174" s="48"/>
      <c r="K174" s="49"/>
      <c r="L174" s="61"/>
      <c r="M174" s="61"/>
      <c r="N174" s="61"/>
    </row>
    <row r="175" spans="1:14" ht="21.75" customHeight="1" x14ac:dyDescent="0.4">
      <c r="A175" s="55"/>
      <c r="B175" s="56"/>
      <c r="C175" s="56"/>
      <c r="D175" s="62">
        <v>1</v>
      </c>
      <c r="E175" s="63" t="s">
        <v>26</v>
      </c>
      <c r="F175" s="64"/>
      <c r="G175" s="65"/>
      <c r="H175" s="66"/>
      <c r="I175" s="67"/>
      <c r="J175" s="68">
        <v>1</v>
      </c>
      <c r="K175" s="49"/>
      <c r="L175" s="61"/>
      <c r="M175" s="61"/>
      <c r="N175" s="61"/>
    </row>
    <row r="176" spans="1:14" ht="21.75" customHeight="1" x14ac:dyDescent="0.4">
      <c r="A176" s="55"/>
      <c r="B176" s="56"/>
      <c r="C176" s="56"/>
      <c r="D176" s="69">
        <v>2</v>
      </c>
      <c r="E176" s="70" t="s">
        <v>27</v>
      </c>
      <c r="F176" s="71"/>
      <c r="G176" s="72"/>
      <c r="H176" s="66"/>
      <c r="I176" s="67"/>
      <c r="J176" s="68">
        <v>0</v>
      </c>
      <c r="K176" s="49"/>
      <c r="L176" s="61" t="s">
        <v>21</v>
      </c>
      <c r="M176" s="61" t="s">
        <v>21</v>
      </c>
      <c r="N176" s="61"/>
    </row>
    <row r="177" spans="1:14" ht="21.75" customHeight="1" x14ac:dyDescent="0.4">
      <c r="A177" s="55"/>
      <c r="B177" s="56"/>
      <c r="C177" s="56"/>
      <c r="D177" s="73"/>
      <c r="E177" s="74" t="s">
        <v>28</v>
      </c>
      <c r="F177" s="75"/>
      <c r="G177" s="76"/>
      <c r="H177" s="66"/>
      <c r="I177" s="67"/>
      <c r="J177" s="68">
        <v>0</v>
      </c>
      <c r="K177" s="49"/>
      <c r="L177" s="61"/>
      <c r="M177" s="61"/>
      <c r="N177" s="61"/>
    </row>
    <row r="178" spans="1:14" ht="21.75" customHeight="1" x14ac:dyDescent="0.4">
      <c r="A178" s="55"/>
      <c r="B178" s="56"/>
      <c r="C178" s="56"/>
      <c r="D178" s="73"/>
      <c r="E178" s="74" t="s">
        <v>29</v>
      </c>
      <c r="F178" s="75"/>
      <c r="G178" s="76"/>
      <c r="H178" s="66"/>
      <c r="I178" s="67"/>
      <c r="J178" s="68">
        <v>0</v>
      </c>
      <c r="K178" s="49"/>
      <c r="L178" s="61"/>
      <c r="M178" s="61"/>
      <c r="N178" s="61"/>
    </row>
    <row r="179" spans="1:14" ht="21.75" customHeight="1" x14ac:dyDescent="0.4">
      <c r="A179" s="55"/>
      <c r="B179" s="56"/>
      <c r="C179" s="56"/>
      <c r="D179" s="73"/>
      <c r="E179" s="77"/>
      <c r="F179" s="74" t="s">
        <v>86</v>
      </c>
      <c r="G179" s="76"/>
      <c r="H179" s="60" t="s">
        <v>40</v>
      </c>
      <c r="I179" s="67">
        <f ca="1">IFERROR(__xludf.DUMMYFUNCTION("IMPORTRANGE(""https://docs.google.com/spreadsheets/d/1C3CXT74ZlgGe6_JY_1olB1XN4rF0dxEuIIF-xsYjHgg/edit?usp=sharing"",""พรบ!BF23"")"),0)</f>
        <v>0</v>
      </c>
      <c r="J179" s="68">
        <v>0</v>
      </c>
      <c r="K179" s="49">
        <f t="shared" ref="K179:K182" ca="1" si="41">IF(I179&gt;0,J179*100/I179,0)</f>
        <v>0</v>
      </c>
      <c r="L179" s="61"/>
      <c r="M179" s="61"/>
      <c r="N179" s="61"/>
    </row>
    <row r="180" spans="1:14" ht="21.75" customHeight="1" x14ac:dyDescent="0.4">
      <c r="A180" s="55"/>
      <c r="B180" s="56"/>
      <c r="C180" s="56"/>
      <c r="D180" s="73"/>
      <c r="E180" s="77"/>
      <c r="F180" s="74" t="s">
        <v>87</v>
      </c>
      <c r="G180" s="76"/>
      <c r="H180" s="60" t="s">
        <v>16</v>
      </c>
      <c r="I180" s="67">
        <f ca="1">IFERROR(__xludf.DUMMYFUNCTION("IMPORTRANGE(""https://docs.google.com/spreadsheets/d/1C3CXT74ZlgGe6_JY_1olB1XN4rF0dxEuIIF-xsYjHgg/edit?usp=sharing"",""พรบ!BG23"")"),0)</f>
        <v>0</v>
      </c>
      <c r="J180" s="68">
        <v>0</v>
      </c>
      <c r="K180" s="49">
        <f t="shared" ca="1" si="41"/>
        <v>0</v>
      </c>
      <c r="L180" s="61"/>
      <c r="M180" s="61"/>
      <c r="N180" s="61"/>
    </row>
    <row r="181" spans="1:14" ht="21.75" customHeight="1" x14ac:dyDescent="0.4">
      <c r="A181" s="55"/>
      <c r="B181" s="56"/>
      <c r="C181" s="56"/>
      <c r="D181" s="73"/>
      <c r="E181" s="77"/>
      <c r="F181" s="74" t="s">
        <v>88</v>
      </c>
      <c r="G181" s="76"/>
      <c r="H181" s="60" t="s">
        <v>16</v>
      </c>
      <c r="I181" s="67">
        <f ca="1">IFERROR(__xludf.DUMMYFUNCTION("IMPORTRANGE(""https://docs.google.com/spreadsheets/d/1C3CXT74ZlgGe6_JY_1olB1XN4rF0dxEuIIF-xsYjHgg/edit?usp=sharing"",""พรบ!BH23"")"),0)</f>
        <v>0</v>
      </c>
      <c r="J181" s="68">
        <v>0</v>
      </c>
      <c r="K181" s="49">
        <f t="shared" ca="1" si="41"/>
        <v>0</v>
      </c>
      <c r="L181" s="61"/>
      <c r="M181" s="61"/>
      <c r="N181" s="61"/>
    </row>
    <row r="182" spans="1:14" ht="21.75" customHeight="1" x14ac:dyDescent="0.4">
      <c r="A182" s="55"/>
      <c r="B182" s="56"/>
      <c r="C182" s="56"/>
      <c r="D182" s="73"/>
      <c r="E182" s="77"/>
      <c r="F182" s="74" t="s">
        <v>89</v>
      </c>
      <c r="G182" s="76"/>
      <c r="H182" s="60" t="s">
        <v>16</v>
      </c>
      <c r="I182" s="67">
        <f ca="1">IFERROR(__xludf.DUMMYFUNCTION("IMPORTRANGE(""https://docs.google.com/spreadsheets/d/1C3CXT74ZlgGe6_JY_1olB1XN4rF0dxEuIIF-xsYjHgg/edit?usp=sharing"",""พรบ!BI23"")"),0)</f>
        <v>0</v>
      </c>
      <c r="J182" s="68">
        <v>0</v>
      </c>
      <c r="K182" s="49">
        <f t="shared" ca="1" si="41"/>
        <v>0</v>
      </c>
      <c r="L182" s="61"/>
      <c r="M182" s="61"/>
      <c r="N182" s="61"/>
    </row>
    <row r="183" spans="1:14" ht="21.75" customHeight="1" x14ac:dyDescent="0.4">
      <c r="A183" s="55"/>
      <c r="B183" s="56"/>
      <c r="C183" s="56"/>
      <c r="D183" s="73"/>
      <c r="E183" s="74" t="s">
        <v>35</v>
      </c>
      <c r="F183" s="75"/>
      <c r="G183" s="76"/>
      <c r="H183" s="66"/>
      <c r="I183" s="67"/>
      <c r="J183" s="68">
        <v>0</v>
      </c>
      <c r="K183" s="49"/>
      <c r="L183" s="61"/>
      <c r="M183" s="61"/>
      <c r="N183" s="61"/>
    </row>
    <row r="184" spans="1:14" ht="21.75" customHeight="1" x14ac:dyDescent="0.4">
      <c r="A184" s="105"/>
      <c r="B184" s="106"/>
      <c r="C184" s="106"/>
      <c r="D184" s="107">
        <v>3</v>
      </c>
      <c r="E184" s="108" t="s">
        <v>36</v>
      </c>
      <c r="F184" s="109"/>
      <c r="G184" s="110"/>
      <c r="H184" s="111"/>
      <c r="I184" s="112"/>
      <c r="J184" s="113">
        <v>0</v>
      </c>
      <c r="K184" s="114"/>
      <c r="L184" s="115"/>
      <c r="M184" s="115"/>
      <c r="N184" s="115"/>
    </row>
    <row r="185" spans="1:14" ht="21.75" customHeight="1" x14ac:dyDescent="0.4">
      <c r="A185" s="174"/>
      <c r="B185" s="175" t="s">
        <v>90</v>
      </c>
      <c r="C185" s="175"/>
      <c r="D185" s="175"/>
      <c r="E185" s="175"/>
      <c r="F185" s="175"/>
      <c r="G185" s="176"/>
      <c r="H185" s="177" t="s">
        <v>16</v>
      </c>
      <c r="I185" s="178">
        <f ca="1">I195</f>
        <v>20</v>
      </c>
      <c r="J185" s="178">
        <f>+J195</f>
        <v>0</v>
      </c>
      <c r="K185" s="179">
        <f ca="1">IF(I185&gt;0,J185*100/I185,0)</f>
        <v>0</v>
      </c>
      <c r="L185" s="180">
        <f ca="1">L186+L187</f>
        <v>337600</v>
      </c>
      <c r="M185" s="180">
        <f>SUM(M186:M187)</f>
        <v>14902</v>
      </c>
      <c r="N185" s="179">
        <f ca="1">IF(L185&gt;0,M185*100/L185,0)</f>
        <v>4.4140995260663507</v>
      </c>
    </row>
    <row r="186" spans="1:14" ht="21.75" customHeight="1" x14ac:dyDescent="0.4">
      <c r="A186" s="42"/>
      <c r="B186" s="43"/>
      <c r="C186" s="43" t="s">
        <v>17</v>
      </c>
      <c r="D186" s="44" t="s">
        <v>18</v>
      </c>
      <c r="E186" s="45"/>
      <c r="F186" s="45"/>
      <c r="G186" s="46" t="s">
        <v>19</v>
      </c>
      <c r="H186" s="47" t="s">
        <v>20</v>
      </c>
      <c r="I186" s="48" t="s">
        <v>21</v>
      </c>
      <c r="J186" s="48"/>
      <c r="K186" s="49"/>
      <c r="L186" s="50">
        <v>0</v>
      </c>
      <c r="M186" s="50">
        <v>0</v>
      </c>
      <c r="N186" s="50">
        <f t="shared" ref="N186:N189" si="42">+IF(L186&gt;0,M186*100/L186,0)</f>
        <v>0</v>
      </c>
    </row>
    <row r="187" spans="1:14" ht="21.75" customHeight="1" x14ac:dyDescent="0.4">
      <c r="A187" s="42"/>
      <c r="B187" s="43"/>
      <c r="C187" s="43"/>
      <c r="D187" s="51"/>
      <c r="E187" s="45"/>
      <c r="F187" s="45" t="s">
        <v>21</v>
      </c>
      <c r="G187" s="46" t="s">
        <v>22</v>
      </c>
      <c r="H187" s="47" t="s">
        <v>20</v>
      </c>
      <c r="I187" s="48"/>
      <c r="J187" s="48"/>
      <c r="K187" s="49"/>
      <c r="L187" s="50">
        <f t="shared" ref="L187:M187" ca="1" si="43">SUM(L188:L189)</f>
        <v>337600</v>
      </c>
      <c r="M187" s="50">
        <f t="shared" si="43"/>
        <v>14902</v>
      </c>
      <c r="N187" s="50">
        <f t="shared" ca="1" si="42"/>
        <v>4.4140995260663507</v>
      </c>
    </row>
    <row r="188" spans="1:14" ht="21.75" customHeight="1" x14ac:dyDescent="0.4">
      <c r="A188" s="42"/>
      <c r="B188" s="43"/>
      <c r="C188" s="43"/>
      <c r="D188" s="51"/>
      <c r="E188" s="45"/>
      <c r="F188" s="45"/>
      <c r="G188" s="52" t="s">
        <v>23</v>
      </c>
      <c r="H188" s="47" t="s">
        <v>20</v>
      </c>
      <c r="I188" s="48"/>
      <c r="J188" s="48"/>
      <c r="K188" s="49"/>
      <c r="L188" s="53">
        <f ca="1">IFERROR(__xludf.DUMMYFUNCTION("IMPORTRANGE(""https://docs.google.com/spreadsheets/d/1C3CXT74ZlgGe6_JY_1olB1XN4rF0dxEuIIF-xsYjHgg/edit?usp=sharing"",""พรบ!BK23"")"),264000)</f>
        <v>264000</v>
      </c>
      <c r="M188" s="54">
        <v>14902</v>
      </c>
      <c r="N188" s="53">
        <f t="shared" ca="1" si="42"/>
        <v>5.6446969696969695</v>
      </c>
    </row>
    <row r="189" spans="1:14" ht="21.75" customHeight="1" x14ac:dyDescent="0.4">
      <c r="A189" s="42"/>
      <c r="B189" s="43"/>
      <c r="C189" s="43"/>
      <c r="D189" s="51"/>
      <c r="E189" s="45"/>
      <c r="F189" s="45"/>
      <c r="G189" s="52" t="s">
        <v>24</v>
      </c>
      <c r="H189" s="47" t="s">
        <v>20</v>
      </c>
      <c r="I189" s="48"/>
      <c r="J189" s="48"/>
      <c r="K189" s="49"/>
      <c r="L189" s="53">
        <f ca="1">IFERROR(__xludf.DUMMYFUNCTION("IMPORTRANGE(""https://docs.google.com/spreadsheets/d/1C3CXT74ZlgGe6_JY_1olB1XN4rF0dxEuIIF-xsYjHgg/edit?usp=sharing"",""พรบ!BL23"")"),73600)</f>
        <v>73600</v>
      </c>
      <c r="M189" s="54">
        <v>0</v>
      </c>
      <c r="N189" s="53">
        <f t="shared" ca="1" si="42"/>
        <v>0</v>
      </c>
    </row>
    <row r="190" spans="1:14" ht="21.75" customHeight="1" x14ac:dyDescent="0.4">
      <c r="A190" s="55"/>
      <c r="B190" s="56"/>
      <c r="C190" s="43" t="s">
        <v>17</v>
      </c>
      <c r="D190" s="57" t="s">
        <v>25</v>
      </c>
      <c r="E190" s="58"/>
      <c r="F190" s="58"/>
      <c r="G190" s="59"/>
      <c r="H190" s="60"/>
      <c r="I190" s="48"/>
      <c r="J190" s="48"/>
      <c r="K190" s="49"/>
      <c r="L190" s="61"/>
      <c r="M190" s="61"/>
      <c r="N190" s="61"/>
    </row>
    <row r="191" spans="1:14" ht="21.75" customHeight="1" x14ac:dyDescent="0.4">
      <c r="A191" s="55"/>
      <c r="B191" s="56"/>
      <c r="C191" s="56"/>
      <c r="D191" s="62">
        <v>1</v>
      </c>
      <c r="E191" s="63" t="s">
        <v>26</v>
      </c>
      <c r="F191" s="64"/>
      <c r="G191" s="65"/>
      <c r="H191" s="66"/>
      <c r="I191" s="67"/>
      <c r="J191" s="68">
        <v>1</v>
      </c>
      <c r="K191" s="49"/>
      <c r="L191" s="61"/>
      <c r="M191" s="61"/>
      <c r="N191" s="61"/>
    </row>
    <row r="192" spans="1:14" ht="21.75" customHeight="1" x14ac:dyDescent="0.4">
      <c r="A192" s="55"/>
      <c r="B192" s="56"/>
      <c r="C192" s="56"/>
      <c r="D192" s="69">
        <v>2</v>
      </c>
      <c r="E192" s="70" t="s">
        <v>27</v>
      </c>
      <c r="F192" s="71"/>
      <c r="G192" s="72"/>
      <c r="H192" s="66"/>
      <c r="I192" s="67"/>
      <c r="J192" s="68">
        <v>0</v>
      </c>
      <c r="K192" s="49"/>
      <c r="L192" s="61"/>
      <c r="M192" s="61"/>
      <c r="N192" s="61"/>
    </row>
    <row r="193" spans="1:14" ht="21.75" customHeight="1" x14ac:dyDescent="0.4">
      <c r="A193" s="55"/>
      <c r="B193" s="56"/>
      <c r="C193" s="56"/>
      <c r="D193" s="73"/>
      <c r="E193" s="74" t="s">
        <v>28</v>
      </c>
      <c r="F193" s="75"/>
      <c r="G193" s="76"/>
      <c r="H193" s="66"/>
      <c r="I193" s="67"/>
      <c r="J193" s="68">
        <v>0</v>
      </c>
      <c r="K193" s="49"/>
      <c r="L193" s="61"/>
      <c r="M193" s="61"/>
      <c r="N193" s="61"/>
    </row>
    <row r="194" spans="1:14" ht="21.75" customHeight="1" x14ac:dyDescent="0.4">
      <c r="A194" s="55"/>
      <c r="B194" s="56"/>
      <c r="C194" s="56"/>
      <c r="D194" s="73"/>
      <c r="E194" s="74" t="s">
        <v>29</v>
      </c>
      <c r="F194" s="75"/>
      <c r="G194" s="76"/>
      <c r="H194" s="66"/>
      <c r="I194" s="67"/>
      <c r="J194" s="68">
        <v>0</v>
      </c>
      <c r="K194" s="49"/>
      <c r="L194" s="61"/>
      <c r="M194" s="61"/>
      <c r="N194" s="61"/>
    </row>
    <row r="195" spans="1:14" ht="21.75" customHeight="1" x14ac:dyDescent="0.4">
      <c r="A195" s="55"/>
      <c r="B195" s="56"/>
      <c r="C195" s="56"/>
      <c r="D195" s="73"/>
      <c r="E195" s="75"/>
      <c r="F195" s="74" t="s">
        <v>91</v>
      </c>
      <c r="G195" s="76"/>
      <c r="H195" s="66" t="s">
        <v>16</v>
      </c>
      <c r="I195" s="67">
        <f ca="1">IFERROR(__xludf.DUMMYFUNCTION("IMPORTRANGE(""https://docs.google.com/spreadsheets/d/1C3CXT74ZlgGe6_JY_1olB1XN4rF0dxEuIIF-xsYjHgg/edit?usp=sharing"",""พรบ!BM23"")"),20)</f>
        <v>20</v>
      </c>
      <c r="J195" s="68">
        <v>0</v>
      </c>
      <c r="K195" s="49">
        <f ca="1">IF(I195&gt;0,J195*100/I195,0)</f>
        <v>0</v>
      </c>
      <c r="L195" s="61"/>
      <c r="M195" s="61"/>
      <c r="N195" s="61"/>
    </row>
    <row r="196" spans="1:14" ht="21.75" customHeight="1" x14ac:dyDescent="0.4">
      <c r="A196" s="55"/>
      <c r="B196" s="56"/>
      <c r="C196" s="56"/>
      <c r="D196" s="73"/>
      <c r="E196" s="74" t="s">
        <v>35</v>
      </c>
      <c r="F196" s="75"/>
      <c r="G196" s="76"/>
      <c r="H196" s="66"/>
      <c r="I196" s="67"/>
      <c r="J196" s="68">
        <v>0</v>
      </c>
      <c r="K196" s="49"/>
      <c r="L196" s="61"/>
      <c r="M196" s="61"/>
      <c r="N196" s="61"/>
    </row>
    <row r="197" spans="1:14" ht="21.75" customHeight="1" x14ac:dyDescent="0.4">
      <c r="A197" s="55"/>
      <c r="B197" s="56"/>
      <c r="C197" s="56"/>
      <c r="D197" s="81">
        <v>3</v>
      </c>
      <c r="E197" s="82" t="s">
        <v>36</v>
      </c>
      <c r="F197" s="83"/>
      <c r="G197" s="84"/>
      <c r="H197" s="66"/>
      <c r="I197" s="67"/>
      <c r="J197" s="85">
        <v>0</v>
      </c>
      <c r="K197" s="49"/>
      <c r="L197" s="61"/>
      <c r="M197" s="61"/>
      <c r="N197" s="61"/>
    </row>
    <row r="198" spans="1:14" ht="21.75" customHeight="1" x14ac:dyDescent="0.4">
      <c r="A198" s="166" t="s">
        <v>92</v>
      </c>
      <c r="B198" s="167"/>
      <c r="C198" s="167"/>
      <c r="D198" s="168"/>
      <c r="E198" s="167"/>
      <c r="F198" s="167"/>
      <c r="G198" s="181"/>
      <c r="H198" s="182"/>
      <c r="I198" s="183"/>
      <c r="J198" s="183"/>
      <c r="K198" s="184"/>
      <c r="L198" s="184"/>
      <c r="M198" s="184"/>
      <c r="N198" s="173"/>
    </row>
    <row r="199" spans="1:14" ht="21.75" customHeight="1" x14ac:dyDescent="0.4">
      <c r="A199" s="185"/>
      <c r="B199" s="175" t="s">
        <v>93</v>
      </c>
      <c r="C199" s="186"/>
      <c r="D199" s="187"/>
      <c r="E199" s="175"/>
      <c r="F199" s="175"/>
      <c r="G199" s="176"/>
      <c r="H199" s="177" t="s">
        <v>16</v>
      </c>
      <c r="I199" s="178">
        <f t="shared" ref="I199:J199" ca="1" si="44">I209</f>
        <v>0</v>
      </c>
      <c r="J199" s="178">
        <f t="shared" si="44"/>
        <v>0</v>
      </c>
      <c r="K199" s="179">
        <f ca="1">IF(I199&gt;0,J199*100/I199,0)</f>
        <v>0</v>
      </c>
      <c r="L199" s="180">
        <f ca="1">L200+L201</f>
        <v>0</v>
      </c>
      <c r="M199" s="180">
        <f>SUM(M200:M201)</f>
        <v>0</v>
      </c>
      <c r="N199" s="179">
        <f ca="1">IF(L199&gt;0,M199*100/L199,0)</f>
        <v>0</v>
      </c>
    </row>
    <row r="200" spans="1:14" ht="21.75" customHeight="1" x14ac:dyDescent="0.4">
      <c r="A200" s="42"/>
      <c r="B200" s="43"/>
      <c r="C200" s="43" t="s">
        <v>17</v>
      </c>
      <c r="D200" s="44" t="s">
        <v>18</v>
      </c>
      <c r="E200" s="45"/>
      <c r="F200" s="45"/>
      <c r="G200" s="46" t="s">
        <v>19</v>
      </c>
      <c r="H200" s="47" t="s">
        <v>20</v>
      </c>
      <c r="I200" s="48" t="s">
        <v>21</v>
      </c>
      <c r="J200" s="48"/>
      <c r="K200" s="49"/>
      <c r="L200" s="50">
        <v>0</v>
      </c>
      <c r="M200" s="50">
        <v>0</v>
      </c>
      <c r="N200" s="50">
        <f t="shared" ref="N200:N203" si="45">+IF(L200&gt;0,M200*100/L200,0)</f>
        <v>0</v>
      </c>
    </row>
    <row r="201" spans="1:14" ht="21.75" customHeight="1" x14ac:dyDescent="0.4">
      <c r="A201" s="42"/>
      <c r="B201" s="43"/>
      <c r="C201" s="43"/>
      <c r="D201" s="51"/>
      <c r="E201" s="45"/>
      <c r="F201" s="45" t="s">
        <v>21</v>
      </c>
      <c r="G201" s="46" t="s">
        <v>22</v>
      </c>
      <c r="H201" s="47" t="s">
        <v>20</v>
      </c>
      <c r="I201" s="48"/>
      <c r="J201" s="48"/>
      <c r="K201" s="49"/>
      <c r="L201" s="50">
        <f t="shared" ref="L201:M201" ca="1" si="46">SUM(L202:L203)</f>
        <v>0</v>
      </c>
      <c r="M201" s="50">
        <f t="shared" si="46"/>
        <v>0</v>
      </c>
      <c r="N201" s="50">
        <f t="shared" ca="1" si="45"/>
        <v>0</v>
      </c>
    </row>
    <row r="202" spans="1:14" ht="21.75" customHeight="1" x14ac:dyDescent="0.4">
      <c r="A202" s="42"/>
      <c r="B202" s="43"/>
      <c r="C202" s="43"/>
      <c r="D202" s="51"/>
      <c r="E202" s="45"/>
      <c r="F202" s="45"/>
      <c r="G202" s="52" t="s">
        <v>23</v>
      </c>
      <c r="H202" s="47" t="s">
        <v>20</v>
      </c>
      <c r="I202" s="48"/>
      <c r="J202" s="48"/>
      <c r="K202" s="49"/>
      <c r="L202" s="53">
        <v>0</v>
      </c>
      <c r="M202" s="53">
        <v>0</v>
      </c>
      <c r="N202" s="53">
        <f t="shared" si="45"/>
        <v>0</v>
      </c>
    </row>
    <row r="203" spans="1:14" ht="21.75" customHeight="1" x14ac:dyDescent="0.4">
      <c r="A203" s="42"/>
      <c r="B203" s="43"/>
      <c r="C203" s="43"/>
      <c r="D203" s="51"/>
      <c r="E203" s="45"/>
      <c r="F203" s="45"/>
      <c r="G203" s="52" t="s">
        <v>24</v>
      </c>
      <c r="H203" s="47" t="s">
        <v>20</v>
      </c>
      <c r="I203" s="48"/>
      <c r="J203" s="67"/>
      <c r="K203" s="233"/>
      <c r="L203" s="53">
        <f ca="1">IFERROR(__xludf.DUMMYFUNCTION("IMPORTRANGE(""https://docs.google.com/spreadsheets/d/1C3CXT74ZlgGe6_JY_1olB1XN4rF0dxEuIIF-xsYjHgg/edit?usp=sharing"",""พรบ!BP23"")"),0)</f>
        <v>0</v>
      </c>
      <c r="M203" s="53">
        <v>0</v>
      </c>
      <c r="N203" s="53">
        <f t="shared" ca="1" si="45"/>
        <v>0</v>
      </c>
    </row>
    <row r="204" spans="1:14" ht="21.75" customHeight="1" x14ac:dyDescent="0.4">
      <c r="A204" s="55"/>
      <c r="B204" s="56"/>
      <c r="C204" s="43" t="s">
        <v>17</v>
      </c>
      <c r="D204" s="57" t="s">
        <v>25</v>
      </c>
      <c r="E204" s="58"/>
      <c r="F204" s="58"/>
      <c r="G204" s="59"/>
      <c r="H204" s="60"/>
      <c r="I204" s="48"/>
      <c r="J204" s="67"/>
      <c r="K204" s="233"/>
      <c r="L204" s="53"/>
      <c r="M204" s="53"/>
      <c r="N204" s="61"/>
    </row>
    <row r="205" spans="1:14" ht="21.75" customHeight="1" x14ac:dyDescent="0.4">
      <c r="A205" s="55"/>
      <c r="B205" s="56"/>
      <c r="C205" s="56"/>
      <c r="D205" s="62">
        <v>1</v>
      </c>
      <c r="E205" s="63" t="s">
        <v>26</v>
      </c>
      <c r="F205" s="64"/>
      <c r="G205" s="65"/>
      <c r="H205" s="66"/>
      <c r="I205" s="67"/>
      <c r="J205" s="67">
        <v>0</v>
      </c>
      <c r="K205" s="233"/>
      <c r="L205" s="53"/>
      <c r="M205" s="53"/>
      <c r="N205" s="61"/>
    </row>
    <row r="206" spans="1:14" ht="21.75" customHeight="1" x14ac:dyDescent="0.4">
      <c r="A206" s="55"/>
      <c r="B206" s="56"/>
      <c r="C206" s="56"/>
      <c r="D206" s="69">
        <v>2</v>
      </c>
      <c r="E206" s="70" t="s">
        <v>27</v>
      </c>
      <c r="F206" s="71"/>
      <c r="G206" s="72"/>
      <c r="H206" s="66"/>
      <c r="I206" s="67"/>
      <c r="J206" s="67">
        <v>0</v>
      </c>
      <c r="K206" s="233"/>
      <c r="L206" s="53" t="s">
        <v>21</v>
      </c>
      <c r="M206" s="53" t="s">
        <v>21</v>
      </c>
      <c r="N206" s="61"/>
    </row>
    <row r="207" spans="1:14" ht="21.75" customHeight="1" x14ac:dyDescent="0.4">
      <c r="A207" s="55"/>
      <c r="B207" s="56"/>
      <c r="C207" s="56"/>
      <c r="D207" s="73"/>
      <c r="E207" s="74" t="s">
        <v>28</v>
      </c>
      <c r="F207" s="75"/>
      <c r="G207" s="76"/>
      <c r="H207" s="66"/>
      <c r="I207" s="67"/>
      <c r="J207" s="67">
        <v>0</v>
      </c>
      <c r="K207" s="233"/>
      <c r="L207" s="53"/>
      <c r="M207" s="53"/>
      <c r="N207" s="61"/>
    </row>
    <row r="208" spans="1:14" ht="21.75" customHeight="1" x14ac:dyDescent="0.4">
      <c r="A208" s="55"/>
      <c r="B208" s="56"/>
      <c r="C208" s="56"/>
      <c r="D208" s="73"/>
      <c r="E208" s="74" t="s">
        <v>29</v>
      </c>
      <c r="F208" s="75"/>
      <c r="G208" s="76"/>
      <c r="H208" s="66"/>
      <c r="I208" s="67"/>
      <c r="J208" s="67">
        <v>0</v>
      </c>
      <c r="K208" s="233"/>
      <c r="L208" s="53"/>
      <c r="M208" s="53"/>
      <c r="N208" s="61"/>
    </row>
    <row r="209" spans="1:14" ht="21.75" customHeight="1" x14ac:dyDescent="0.4">
      <c r="A209" s="55"/>
      <c r="B209" s="56"/>
      <c r="C209" s="56"/>
      <c r="D209" s="73"/>
      <c r="E209" s="77"/>
      <c r="F209" s="74" t="s">
        <v>94</v>
      </c>
      <c r="G209" s="76"/>
      <c r="H209" s="60" t="s">
        <v>16</v>
      </c>
      <c r="I209" s="67">
        <f ca="1">IFERROR(__xludf.DUMMYFUNCTION("IMPORTRANGE(""https://docs.google.com/spreadsheets/d/1C3CXT74ZlgGe6_JY_1olB1XN4rF0dxEuIIF-xsYjHgg/edit?usp=sharing"",""พรบ!BQ23"")"),0)</f>
        <v>0</v>
      </c>
      <c r="J209" s="67">
        <v>0</v>
      </c>
      <c r="K209" s="233">
        <f ca="1">IF(I209&gt;0,J209*100/I209,0)</f>
        <v>0</v>
      </c>
      <c r="L209" s="53"/>
      <c r="M209" s="53"/>
      <c r="N209" s="61"/>
    </row>
    <row r="210" spans="1:14" ht="21.75" customHeight="1" x14ac:dyDescent="0.4">
      <c r="A210" s="55"/>
      <c r="B210" s="56"/>
      <c r="C210" s="56"/>
      <c r="D210" s="73"/>
      <c r="E210" s="77"/>
      <c r="F210" s="74" t="s">
        <v>95</v>
      </c>
      <c r="G210" s="76"/>
      <c r="H210" s="60"/>
      <c r="I210" s="67"/>
      <c r="J210" s="67"/>
      <c r="K210" s="233"/>
      <c r="L210" s="53"/>
      <c r="M210" s="53"/>
      <c r="N210" s="61"/>
    </row>
    <row r="211" spans="1:14" ht="21.75" customHeight="1" x14ac:dyDescent="0.4">
      <c r="A211" s="55"/>
      <c r="B211" s="56"/>
      <c r="C211" s="56"/>
      <c r="D211" s="73"/>
      <c r="E211" s="77"/>
      <c r="F211" s="75" t="s">
        <v>34</v>
      </c>
      <c r="G211" s="76"/>
      <c r="H211" s="60" t="s">
        <v>16</v>
      </c>
      <c r="I211" s="67">
        <f ca="1">IFERROR(__xludf.DUMMYFUNCTION("IMPORTRANGE(""https://docs.google.com/spreadsheets/d/1C3CXT74ZlgGe6_JY_1olB1XN4rF0dxEuIIF-xsYjHgg/edit?usp=sharing"",""พรบ!BR23"")"),0)</f>
        <v>0</v>
      </c>
      <c r="J211" s="67">
        <v>0</v>
      </c>
      <c r="K211" s="233">
        <f ca="1">IF(I211&gt;0,J211*100/I211,0)</f>
        <v>0</v>
      </c>
      <c r="L211" s="53"/>
      <c r="M211" s="53"/>
      <c r="N211" s="61"/>
    </row>
    <row r="212" spans="1:14" ht="21.75" customHeight="1" x14ac:dyDescent="0.4">
      <c r="A212" s="55"/>
      <c r="B212" s="56"/>
      <c r="C212" s="56"/>
      <c r="D212" s="73"/>
      <c r="E212" s="74" t="s">
        <v>35</v>
      </c>
      <c r="F212" s="75"/>
      <c r="G212" s="76"/>
      <c r="H212" s="66"/>
      <c r="I212" s="67"/>
      <c r="J212" s="67">
        <v>0</v>
      </c>
      <c r="K212" s="233"/>
      <c r="L212" s="53"/>
      <c r="M212" s="53"/>
      <c r="N212" s="61"/>
    </row>
    <row r="213" spans="1:14" ht="21.75" customHeight="1" x14ac:dyDescent="0.4">
      <c r="A213" s="55"/>
      <c r="B213" s="56"/>
      <c r="C213" s="56"/>
      <c r="D213" s="81">
        <v>3</v>
      </c>
      <c r="E213" s="82" t="s">
        <v>36</v>
      </c>
      <c r="F213" s="83"/>
      <c r="G213" s="84"/>
      <c r="H213" s="66"/>
      <c r="I213" s="67"/>
      <c r="J213" s="385">
        <v>0</v>
      </c>
      <c r="K213" s="233"/>
      <c r="L213" s="53"/>
      <c r="M213" s="53"/>
      <c r="N213" s="61"/>
    </row>
    <row r="214" spans="1:14" ht="21.75" customHeight="1" x14ac:dyDescent="0.4">
      <c r="A214" s="189"/>
      <c r="B214" s="190" t="s">
        <v>96</v>
      </c>
      <c r="C214" s="191"/>
      <c r="D214" s="192"/>
      <c r="E214" s="190"/>
      <c r="F214" s="190"/>
      <c r="G214" s="193"/>
      <c r="H214" s="194" t="s">
        <v>97</v>
      </c>
      <c r="I214" s="195">
        <f t="shared" ref="I214:J214" ca="1" si="47">I224</f>
        <v>0</v>
      </c>
      <c r="J214" s="195">
        <f t="shared" si="47"/>
        <v>0</v>
      </c>
      <c r="K214" s="196">
        <f ca="1">IF(I214&gt;0,J214*100/I214,0)</f>
        <v>0</v>
      </c>
      <c r="L214" s="197">
        <f ca="1">L215+L216</f>
        <v>0</v>
      </c>
      <c r="M214" s="197">
        <f>SUM(M215:M216)</f>
        <v>0</v>
      </c>
      <c r="N214" s="196">
        <f ca="1">IF(L214&gt;0,M214*100/L214,0)</f>
        <v>0</v>
      </c>
    </row>
    <row r="215" spans="1:14" ht="21.75" customHeight="1" x14ac:dyDescent="0.4">
      <c r="A215" s="42"/>
      <c r="B215" s="43"/>
      <c r="C215" s="43" t="s">
        <v>17</v>
      </c>
      <c r="D215" s="44" t="s">
        <v>18</v>
      </c>
      <c r="E215" s="45"/>
      <c r="F215" s="45"/>
      <c r="G215" s="46" t="s">
        <v>19</v>
      </c>
      <c r="H215" s="47" t="s">
        <v>20</v>
      </c>
      <c r="I215" s="48" t="s">
        <v>21</v>
      </c>
      <c r="J215" s="48"/>
      <c r="K215" s="49"/>
      <c r="L215" s="50">
        <v>0</v>
      </c>
      <c r="M215" s="53">
        <v>0</v>
      </c>
      <c r="N215" s="53">
        <f t="shared" ref="N215:N218" si="48">+IF(L215&gt;0,M215*100/L215,0)</f>
        <v>0</v>
      </c>
    </row>
    <row r="216" spans="1:14" ht="21.75" customHeight="1" x14ac:dyDescent="0.4">
      <c r="A216" s="42"/>
      <c r="B216" s="43"/>
      <c r="C216" s="43"/>
      <c r="D216" s="51"/>
      <c r="E216" s="45"/>
      <c r="F216" s="45" t="s">
        <v>21</v>
      </c>
      <c r="G216" s="46" t="s">
        <v>22</v>
      </c>
      <c r="H216" s="47" t="s">
        <v>20</v>
      </c>
      <c r="I216" s="48"/>
      <c r="J216" s="48"/>
      <c r="K216" s="49"/>
      <c r="L216" s="50">
        <f t="shared" ref="L216:M216" ca="1" si="49">SUM(L217:L218)</f>
        <v>0</v>
      </c>
      <c r="M216" s="53">
        <f t="shared" si="49"/>
        <v>0</v>
      </c>
      <c r="N216" s="53">
        <f t="shared" ca="1" si="48"/>
        <v>0</v>
      </c>
    </row>
    <row r="217" spans="1:14" ht="21.75" customHeight="1" x14ac:dyDescent="0.4">
      <c r="A217" s="42"/>
      <c r="B217" s="43"/>
      <c r="C217" s="43"/>
      <c r="D217" s="51"/>
      <c r="E217" s="45"/>
      <c r="F217" s="45"/>
      <c r="G217" s="52" t="s">
        <v>23</v>
      </c>
      <c r="H217" s="47" t="s">
        <v>20</v>
      </c>
      <c r="I217" s="48"/>
      <c r="J217" s="67"/>
      <c r="K217" s="233"/>
      <c r="L217" s="53">
        <v>0</v>
      </c>
      <c r="M217" s="53">
        <v>0</v>
      </c>
      <c r="N217" s="53">
        <f t="shared" si="48"/>
        <v>0</v>
      </c>
    </row>
    <row r="218" spans="1:14" ht="21.75" customHeight="1" x14ac:dyDescent="0.4">
      <c r="A218" s="42"/>
      <c r="B218" s="43"/>
      <c r="C218" s="43"/>
      <c r="D218" s="51"/>
      <c r="E218" s="45"/>
      <c r="F218" s="45"/>
      <c r="G218" s="52" t="s">
        <v>24</v>
      </c>
      <c r="H218" s="47" t="s">
        <v>20</v>
      </c>
      <c r="I218" s="48"/>
      <c r="J218" s="67"/>
      <c r="K218" s="233"/>
      <c r="L218" s="53">
        <f ca="1">IFERROR(__xludf.DUMMYFUNCTION("IMPORTRANGE(""https://docs.google.com/spreadsheets/d/1C3CXT74ZlgGe6_JY_1olB1XN4rF0dxEuIIF-xsYjHgg/edit?usp=sharing"",""พรบ!BU23"")"),0)</f>
        <v>0</v>
      </c>
      <c r="M218" s="53">
        <v>0</v>
      </c>
      <c r="N218" s="53">
        <f t="shared" ca="1" si="48"/>
        <v>0</v>
      </c>
    </row>
    <row r="219" spans="1:14" ht="21.75" customHeight="1" x14ac:dyDescent="0.4">
      <c r="A219" s="55"/>
      <c r="B219" s="56"/>
      <c r="C219" s="43" t="s">
        <v>17</v>
      </c>
      <c r="D219" s="57" t="s">
        <v>25</v>
      </c>
      <c r="E219" s="58"/>
      <c r="F219" s="58"/>
      <c r="G219" s="59"/>
      <c r="H219" s="60"/>
      <c r="I219" s="48"/>
      <c r="J219" s="67"/>
      <c r="K219" s="233"/>
      <c r="L219" s="53"/>
      <c r="M219" s="53"/>
      <c r="N219" s="61"/>
    </row>
    <row r="220" spans="1:14" ht="21.75" customHeight="1" x14ac:dyDescent="0.4">
      <c r="A220" s="55"/>
      <c r="B220" s="56"/>
      <c r="C220" s="56"/>
      <c r="D220" s="62">
        <v>1</v>
      </c>
      <c r="E220" s="63" t="s">
        <v>26</v>
      </c>
      <c r="F220" s="64"/>
      <c r="G220" s="65"/>
      <c r="H220" s="66"/>
      <c r="I220" s="67"/>
      <c r="J220" s="67">
        <v>0</v>
      </c>
      <c r="K220" s="233"/>
      <c r="L220" s="53"/>
      <c r="M220" s="53"/>
      <c r="N220" s="61"/>
    </row>
    <row r="221" spans="1:14" ht="21.75" customHeight="1" x14ac:dyDescent="0.4">
      <c r="A221" s="55"/>
      <c r="B221" s="56"/>
      <c r="C221" s="56"/>
      <c r="D221" s="69">
        <v>2</v>
      </c>
      <c r="E221" s="70" t="s">
        <v>27</v>
      </c>
      <c r="F221" s="71"/>
      <c r="G221" s="72"/>
      <c r="H221" s="66"/>
      <c r="I221" s="67"/>
      <c r="J221" s="67">
        <v>0</v>
      </c>
      <c r="K221" s="233"/>
      <c r="L221" s="53" t="s">
        <v>21</v>
      </c>
      <c r="M221" s="53" t="s">
        <v>21</v>
      </c>
      <c r="N221" s="61"/>
    </row>
    <row r="222" spans="1:14" ht="21.75" customHeight="1" x14ac:dyDescent="0.4">
      <c r="A222" s="55"/>
      <c r="B222" s="56"/>
      <c r="C222" s="56"/>
      <c r="D222" s="73"/>
      <c r="E222" s="74" t="s">
        <v>28</v>
      </c>
      <c r="F222" s="75"/>
      <c r="G222" s="76"/>
      <c r="H222" s="66"/>
      <c r="I222" s="67"/>
      <c r="J222" s="67">
        <v>0</v>
      </c>
      <c r="K222" s="233"/>
      <c r="L222" s="53"/>
      <c r="M222" s="53"/>
      <c r="N222" s="61"/>
    </row>
    <row r="223" spans="1:14" ht="21.75" customHeight="1" x14ac:dyDescent="0.4">
      <c r="A223" s="55"/>
      <c r="B223" s="56"/>
      <c r="C223" s="56"/>
      <c r="D223" s="73"/>
      <c r="E223" s="74" t="s">
        <v>29</v>
      </c>
      <c r="F223" s="75"/>
      <c r="G223" s="76"/>
      <c r="H223" s="66"/>
      <c r="I223" s="67"/>
      <c r="J223" s="67">
        <v>0</v>
      </c>
      <c r="K223" s="233"/>
      <c r="L223" s="53"/>
      <c r="M223" s="53"/>
      <c r="N223" s="61"/>
    </row>
    <row r="224" spans="1:14" ht="21.75" customHeight="1" x14ac:dyDescent="0.4">
      <c r="A224" s="55"/>
      <c r="B224" s="56"/>
      <c r="C224" s="56"/>
      <c r="D224" s="73"/>
      <c r="E224" s="77"/>
      <c r="F224" s="74" t="s">
        <v>98</v>
      </c>
      <c r="G224" s="76"/>
      <c r="H224" s="66" t="s">
        <v>97</v>
      </c>
      <c r="I224" s="67">
        <f ca="1">IFERROR(__xludf.DUMMYFUNCTION("IMPORTRANGE(""https://docs.google.com/spreadsheets/d/1C3CXT74ZlgGe6_JY_1olB1XN4rF0dxEuIIF-xsYjHgg/edit?usp=sharing"",""พรบ!BV23"")"),0)</f>
        <v>0</v>
      </c>
      <c r="J224" s="67">
        <v>0</v>
      </c>
      <c r="K224" s="233">
        <f ca="1">IF(I224&gt;0,J224*100/I224,0)</f>
        <v>0</v>
      </c>
      <c r="L224" s="53"/>
      <c r="M224" s="53"/>
      <c r="N224" s="61"/>
    </row>
    <row r="225" spans="1:14" ht="21.75" customHeight="1" x14ac:dyDescent="0.4">
      <c r="A225" s="55"/>
      <c r="B225" s="56"/>
      <c r="C225" s="56"/>
      <c r="D225" s="73"/>
      <c r="E225" s="74" t="s">
        <v>35</v>
      </c>
      <c r="F225" s="75"/>
      <c r="G225" s="76"/>
      <c r="H225" s="66"/>
      <c r="I225" s="67"/>
      <c r="J225" s="67">
        <v>0</v>
      </c>
      <c r="K225" s="233"/>
      <c r="L225" s="53"/>
      <c r="M225" s="53"/>
      <c r="N225" s="61"/>
    </row>
    <row r="226" spans="1:14" ht="21.75" customHeight="1" x14ac:dyDescent="0.4">
      <c r="A226" s="55"/>
      <c r="B226" s="56"/>
      <c r="C226" s="56"/>
      <c r="D226" s="81">
        <v>3</v>
      </c>
      <c r="E226" s="82" t="s">
        <v>36</v>
      </c>
      <c r="F226" s="83"/>
      <c r="G226" s="84"/>
      <c r="H226" s="66"/>
      <c r="I226" s="67"/>
      <c r="J226" s="360">
        <v>0</v>
      </c>
      <c r="K226" s="233"/>
      <c r="L226" s="53"/>
      <c r="M226" s="53"/>
      <c r="N226" s="61"/>
    </row>
    <row r="227" spans="1:14" ht="21.75" customHeight="1" x14ac:dyDescent="0.4">
      <c r="A227" s="166" t="s">
        <v>99</v>
      </c>
      <c r="B227" s="167"/>
      <c r="C227" s="167"/>
      <c r="D227" s="168"/>
      <c r="E227" s="167"/>
      <c r="F227" s="167"/>
      <c r="G227" s="181"/>
      <c r="H227" s="170"/>
      <c r="I227" s="171"/>
      <c r="J227" s="171"/>
      <c r="K227" s="172"/>
      <c r="L227" s="172"/>
      <c r="M227" s="172"/>
      <c r="N227" s="173"/>
    </row>
    <row r="228" spans="1:14" ht="21.75" customHeight="1" x14ac:dyDescent="0.4">
      <c r="A228" s="174"/>
      <c r="B228" s="175" t="s">
        <v>100</v>
      </c>
      <c r="C228" s="187"/>
      <c r="D228" s="175"/>
      <c r="E228" s="175"/>
      <c r="F228" s="175"/>
      <c r="G228" s="176"/>
      <c r="H228" s="177" t="s">
        <v>16</v>
      </c>
      <c r="I228" s="198">
        <f ca="1">I236</f>
        <v>215</v>
      </c>
      <c r="J228" s="198">
        <f ca="1">J240</f>
        <v>0</v>
      </c>
      <c r="K228" s="179">
        <f ca="1">IF(I228&gt;0,J228*100/I228,0)</f>
        <v>0</v>
      </c>
      <c r="L228" s="180">
        <f ca="1">L229+L230</f>
        <v>939650</v>
      </c>
      <c r="M228" s="180">
        <f>SUM(M229:M230)</f>
        <v>136037</v>
      </c>
      <c r="N228" s="179">
        <f ca="1">IF(L228&gt;0,M228*100/L228,0)</f>
        <v>14.477411802266802</v>
      </c>
    </row>
    <row r="229" spans="1:14" ht="21.75" customHeight="1" x14ac:dyDescent="0.4">
      <c r="A229" s="42"/>
      <c r="B229" s="43"/>
      <c r="C229" s="43" t="s">
        <v>17</v>
      </c>
      <c r="D229" s="44" t="s">
        <v>18</v>
      </c>
      <c r="E229" s="45"/>
      <c r="F229" s="45"/>
      <c r="G229" s="46" t="s">
        <v>19</v>
      </c>
      <c r="H229" s="47" t="s">
        <v>20</v>
      </c>
      <c r="I229" s="48" t="s">
        <v>21</v>
      </c>
      <c r="J229" s="48"/>
      <c r="K229" s="49"/>
      <c r="L229" s="50">
        <v>0</v>
      </c>
      <c r="M229" s="53">
        <v>0</v>
      </c>
      <c r="N229" s="53">
        <f t="shared" ref="N229:N232" si="50">+IF(L229&gt;0,M229*100/L229,0)</f>
        <v>0</v>
      </c>
    </row>
    <row r="230" spans="1:14" ht="21.75" customHeight="1" x14ac:dyDescent="0.4">
      <c r="A230" s="42"/>
      <c r="B230" s="43"/>
      <c r="C230" s="43"/>
      <c r="D230" s="51"/>
      <c r="E230" s="45"/>
      <c r="F230" s="45" t="s">
        <v>21</v>
      </c>
      <c r="G230" s="46" t="s">
        <v>22</v>
      </c>
      <c r="H230" s="47" t="s">
        <v>20</v>
      </c>
      <c r="I230" s="48"/>
      <c r="J230" s="48"/>
      <c r="K230" s="49"/>
      <c r="L230" s="50">
        <f t="shared" ref="L230:M230" ca="1" si="51">SUM(L231:L232)</f>
        <v>939650</v>
      </c>
      <c r="M230" s="53">
        <f t="shared" si="51"/>
        <v>136037</v>
      </c>
      <c r="N230" s="53">
        <f t="shared" ca="1" si="50"/>
        <v>14.477411802266802</v>
      </c>
    </row>
    <row r="231" spans="1:14" ht="21.75" customHeight="1" x14ac:dyDescent="0.4">
      <c r="A231" s="42"/>
      <c r="B231" s="43"/>
      <c r="C231" s="43"/>
      <c r="D231" s="51"/>
      <c r="E231" s="45"/>
      <c r="F231" s="45"/>
      <c r="G231" s="52" t="s">
        <v>23</v>
      </c>
      <c r="H231" s="47" t="s">
        <v>20</v>
      </c>
      <c r="I231" s="48"/>
      <c r="J231" s="48"/>
      <c r="K231" s="49"/>
      <c r="L231" s="53">
        <f ca="1">IFERROR(__xludf.DUMMYFUNCTION("IMPORTRANGE(""https://docs.google.com/spreadsheets/d/1C3CXT74ZlgGe6_JY_1olB1XN4rF0dxEuIIF-xsYjHgg/edit?usp=sharing"",""พรบ!BX23"")"),496800)</f>
        <v>496800</v>
      </c>
      <c r="M231" s="54">
        <v>70967</v>
      </c>
      <c r="N231" s="53">
        <f t="shared" ca="1" si="50"/>
        <v>14.284822866344605</v>
      </c>
    </row>
    <row r="232" spans="1:14" ht="21.75" customHeight="1" x14ac:dyDescent="0.4">
      <c r="A232" s="42"/>
      <c r="B232" s="43"/>
      <c r="C232" s="43"/>
      <c r="D232" s="51"/>
      <c r="E232" s="45"/>
      <c r="F232" s="45"/>
      <c r="G232" s="52" t="s">
        <v>24</v>
      </c>
      <c r="H232" s="47" t="s">
        <v>20</v>
      </c>
      <c r="I232" s="48"/>
      <c r="J232" s="48"/>
      <c r="K232" s="49"/>
      <c r="L232" s="53">
        <f ca="1">IFERROR(__xludf.DUMMYFUNCTION("IMPORTRANGE(""https://docs.google.com/spreadsheets/d/1C3CXT74ZlgGe6_JY_1olB1XN4rF0dxEuIIF-xsYjHgg/edit?usp=sharing"",""พรบ!BY23"")"),442850)</f>
        <v>442850</v>
      </c>
      <c r="M232" s="54">
        <v>65070</v>
      </c>
      <c r="N232" s="53">
        <f t="shared" ca="1" si="50"/>
        <v>14.693462797787062</v>
      </c>
    </row>
    <row r="233" spans="1:14" ht="21.75" customHeight="1" x14ac:dyDescent="0.4">
      <c r="A233" s="55"/>
      <c r="B233" s="155"/>
      <c r="C233" s="199" t="s">
        <v>101</v>
      </c>
      <c r="D233" s="75"/>
      <c r="E233" s="75"/>
      <c r="F233" s="75"/>
      <c r="G233" s="76"/>
      <c r="H233" s="60"/>
      <c r="I233" s="200"/>
      <c r="J233" s="200"/>
      <c r="K233" s="201"/>
      <c r="L233" s="61"/>
      <c r="M233" s="61"/>
      <c r="N233" s="202"/>
    </row>
    <row r="234" spans="1:14" ht="21.75" customHeight="1" x14ac:dyDescent="0.4">
      <c r="A234" s="55"/>
      <c r="B234" s="155"/>
      <c r="C234" s="56"/>
      <c r="D234" s="75"/>
      <c r="E234" s="74" t="s">
        <v>102</v>
      </c>
      <c r="F234" s="75"/>
      <c r="G234" s="76"/>
      <c r="H234" s="60" t="s">
        <v>16</v>
      </c>
      <c r="I234" s="67">
        <v>0</v>
      </c>
      <c r="J234" s="67">
        <f ca="1">IFERROR(__xludf.DUMMYFUNCTION("IMPORTRANGE(""https://docs.google.com/spreadsheets/d/1AGHcLOeeYFL3K4b9R1dSzyJy00PE_ra89DNTVfnxSWM/edit?usp=sharing"",""รวมที่ทำกิน!J12"")"),55)</f>
        <v>55</v>
      </c>
      <c r="K234" s="201">
        <f t="shared" ref="K234:K241" si="52">IF(I234&gt;0,J234*100/I234,0)</f>
        <v>0</v>
      </c>
      <c r="L234" s="61"/>
      <c r="M234" s="61"/>
      <c r="N234" s="202"/>
    </row>
    <row r="235" spans="1:14" ht="21.75" customHeight="1" x14ac:dyDescent="0.4">
      <c r="A235" s="55"/>
      <c r="B235" s="155"/>
      <c r="C235" s="56"/>
      <c r="D235" s="75"/>
      <c r="E235" s="75"/>
      <c r="F235" s="75"/>
      <c r="G235" s="76"/>
      <c r="H235" s="60" t="s">
        <v>103</v>
      </c>
      <c r="I235" s="67">
        <f ca="1">IFERROR(__xludf.DUMMYFUNCTION("IMPORTRANGE(""https://docs.google.com/spreadsheets/d/1C3CXT74ZlgGe6_JY_1olB1XN4rF0dxEuIIF-xsYjHgg/edit?usp=sharing"",""พรบ!BZ23"")"),3000)</f>
        <v>3000</v>
      </c>
      <c r="J235" s="67">
        <f ca="1">IFERROR(__xludf.DUMMYFUNCTION("IMPORTRANGE(""https://docs.google.com/spreadsheets/d/1AGHcLOeeYFL3K4b9R1dSzyJy00PE_ra89DNTVfnxSWM/edit?usp=sharing"",""รวมที่ทำกิน!L12"")"),365.93)</f>
        <v>365.93</v>
      </c>
      <c r="K235" s="201">
        <f t="shared" ca="1" si="52"/>
        <v>12.197666666666667</v>
      </c>
      <c r="L235" s="61"/>
      <c r="M235" s="61"/>
      <c r="N235" s="202"/>
    </row>
    <row r="236" spans="1:14" ht="21.75" customHeight="1" x14ac:dyDescent="0.4">
      <c r="A236" s="55"/>
      <c r="B236" s="155"/>
      <c r="C236" s="56"/>
      <c r="D236" s="75"/>
      <c r="E236" s="74" t="s">
        <v>104</v>
      </c>
      <c r="F236" s="75"/>
      <c r="G236" s="76"/>
      <c r="H236" s="60" t="s">
        <v>16</v>
      </c>
      <c r="I236" s="67">
        <f ca="1">IFERROR(__xludf.DUMMYFUNCTION("IMPORTRANGE(""https://docs.google.com/spreadsheets/d/1C3CXT74ZlgGe6_JY_1olB1XN4rF0dxEuIIF-xsYjHgg/edit?usp=sharing"",""พรบ!CA23"")"),215)</f>
        <v>215</v>
      </c>
      <c r="J236" s="67">
        <f ca="1">IFERROR(__xludf.DUMMYFUNCTION("IMPORTRANGE(""https://docs.google.com/spreadsheets/d/1AGHcLOeeYFL3K4b9R1dSzyJy00PE_ra89DNTVfnxSWM/edit?usp=sharing"",""รวมที่ทำกิน!O12"")"),7)</f>
        <v>7</v>
      </c>
      <c r="K236" s="201">
        <f t="shared" ca="1" si="52"/>
        <v>3.2558139534883721</v>
      </c>
      <c r="L236" s="61"/>
      <c r="M236" s="61"/>
      <c r="N236" s="202"/>
    </row>
    <row r="237" spans="1:14" ht="21.75" customHeight="1" x14ac:dyDescent="0.4">
      <c r="A237" s="55"/>
      <c r="B237" s="155"/>
      <c r="C237" s="56"/>
      <c r="D237" s="75"/>
      <c r="E237" s="75"/>
      <c r="F237" s="75"/>
      <c r="G237" s="76"/>
      <c r="H237" s="60" t="s">
        <v>103</v>
      </c>
      <c r="I237" s="200">
        <v>0</v>
      </c>
      <c r="J237" s="67">
        <f ca="1">IFERROR(__xludf.DUMMYFUNCTION("IMPORTRANGE(""https://docs.google.com/spreadsheets/d/1AGHcLOeeYFL3K4b9R1dSzyJy00PE_ra89DNTVfnxSWM/edit?usp=sharing"",""รวมที่ทำกิน!Q12"")"),57.43)</f>
        <v>57.43</v>
      </c>
      <c r="K237" s="201">
        <f t="shared" si="52"/>
        <v>0</v>
      </c>
      <c r="L237" s="61"/>
      <c r="M237" s="61"/>
      <c r="N237" s="202"/>
    </row>
    <row r="238" spans="1:14" ht="21.75" customHeight="1" x14ac:dyDescent="0.4">
      <c r="A238" s="55"/>
      <c r="B238" s="155"/>
      <c r="C238" s="56"/>
      <c r="D238" s="75"/>
      <c r="E238" s="74" t="s">
        <v>105</v>
      </c>
      <c r="F238" s="75"/>
      <c r="G238" s="76"/>
      <c r="H238" s="60" t="s">
        <v>16</v>
      </c>
      <c r="I238" s="67">
        <f ca="1">IFERROR(__xludf.DUMMYFUNCTION("IMPORTRANGE(""https://docs.google.com/spreadsheets/d/1C3CXT74ZlgGe6_JY_1olB1XN4rF0dxEuIIF-xsYjHgg/edit?usp=sharing"",""พรบ!CB23"")"),215)</f>
        <v>215</v>
      </c>
      <c r="J238" s="67">
        <f ca="1">IFERROR(__xludf.DUMMYFUNCTION("IMPORTRANGE(""https://docs.google.com/spreadsheets/d/1AGHcLOeeYFL3K4b9R1dSzyJy00PE_ra89DNTVfnxSWM/edit?usp=sharing"",""รวมที่ทำกิน!S12"")"),0)</f>
        <v>0</v>
      </c>
      <c r="K238" s="201">
        <f t="shared" ca="1" si="52"/>
        <v>0</v>
      </c>
      <c r="L238" s="61"/>
      <c r="M238" s="61"/>
      <c r="N238" s="202"/>
    </row>
    <row r="239" spans="1:14" ht="21.75" customHeight="1" x14ac:dyDescent="0.4">
      <c r="A239" s="55"/>
      <c r="B239" s="155"/>
      <c r="C239" s="56"/>
      <c r="D239" s="75"/>
      <c r="E239" s="75"/>
      <c r="F239" s="75"/>
      <c r="G239" s="76"/>
      <c r="H239" s="60" t="s">
        <v>103</v>
      </c>
      <c r="I239" s="200">
        <v>0</v>
      </c>
      <c r="J239" s="67">
        <f ca="1">IFERROR(__xludf.DUMMYFUNCTION("IMPORTRANGE(""https://docs.google.com/spreadsheets/d/1AGHcLOeeYFL3K4b9R1dSzyJy00PE_ra89DNTVfnxSWM/edit?usp=sharing"",""รวมที่ทำกิน!U12"")"),0)</f>
        <v>0</v>
      </c>
      <c r="K239" s="201">
        <f t="shared" si="52"/>
        <v>0</v>
      </c>
      <c r="L239" s="61"/>
      <c r="M239" s="61"/>
      <c r="N239" s="202"/>
    </row>
    <row r="240" spans="1:14" ht="21.75" customHeight="1" x14ac:dyDescent="0.4">
      <c r="A240" s="55"/>
      <c r="B240" s="155"/>
      <c r="C240" s="56"/>
      <c r="D240" s="75"/>
      <c r="E240" s="74" t="s">
        <v>106</v>
      </c>
      <c r="F240" s="75"/>
      <c r="G240" s="76"/>
      <c r="H240" s="60" t="s">
        <v>16</v>
      </c>
      <c r="I240" s="67">
        <f ca="1">IFERROR(__xludf.DUMMYFUNCTION("IMPORTRANGE(""https://docs.google.com/spreadsheets/d/1C3CXT74ZlgGe6_JY_1olB1XN4rF0dxEuIIF-xsYjHgg/edit?usp=sharing"",""พรบ!CC23"")"),215)</f>
        <v>215</v>
      </c>
      <c r="J240" s="67">
        <f ca="1">IFERROR(__xludf.DUMMYFUNCTION("IMPORTRANGE(""https://docs.google.com/spreadsheets/d/1AGHcLOeeYFL3K4b9R1dSzyJy00PE_ra89DNTVfnxSWM/edit?usp=sharing"",""รวมที่ทำกิน!W12"")"),0)</f>
        <v>0</v>
      </c>
      <c r="K240" s="201">
        <f t="shared" ca="1" si="52"/>
        <v>0</v>
      </c>
      <c r="L240" s="61"/>
      <c r="M240" s="61"/>
      <c r="N240" s="202"/>
    </row>
    <row r="241" spans="1:14" ht="21.75" customHeight="1" x14ac:dyDescent="0.4">
      <c r="A241" s="105"/>
      <c r="B241" s="203"/>
      <c r="C241" s="106"/>
      <c r="D241" s="203"/>
      <c r="E241" s="204"/>
      <c r="F241" s="204"/>
      <c r="G241" s="205"/>
      <c r="H241" s="206" t="s">
        <v>103</v>
      </c>
      <c r="I241" s="207">
        <v>0</v>
      </c>
      <c r="J241" s="67">
        <f ca="1">IFERROR(__xludf.DUMMYFUNCTION("IMPORTRANGE(""https://docs.google.com/spreadsheets/d/1AGHcLOeeYFL3K4b9R1dSzyJy00PE_ra89DNTVfnxSWM/edit?usp=sharing"",""รวมที่ทำกิน!Y12"")"),0)</f>
        <v>0</v>
      </c>
      <c r="K241" s="201">
        <f t="shared" si="52"/>
        <v>0</v>
      </c>
      <c r="L241" s="115"/>
      <c r="M241" s="115"/>
      <c r="N241" s="208"/>
    </row>
    <row r="242" spans="1:14" ht="21.75" customHeight="1" x14ac:dyDescent="0.4">
      <c r="A242" s="209" t="s">
        <v>107</v>
      </c>
      <c r="B242" s="210"/>
      <c r="C242" s="210"/>
      <c r="D242" s="210"/>
      <c r="E242" s="210"/>
      <c r="F242" s="210"/>
      <c r="G242" s="211"/>
      <c r="H242" s="212"/>
      <c r="I242" s="213"/>
      <c r="J242" s="213"/>
      <c r="K242" s="214"/>
      <c r="L242" s="214">
        <f t="shared" ref="L242:M242" ca="1" si="53">SUM(L244,L275,L296,L330,L350,L426,L444,L457,L473,L490)</f>
        <v>1788228</v>
      </c>
      <c r="M242" s="214">
        <f t="shared" si="53"/>
        <v>14540</v>
      </c>
      <c r="N242" s="214">
        <f ca="1">+IF(L242&gt;0,M242*100/L242,0)</f>
        <v>0.81309542183658912</v>
      </c>
    </row>
    <row r="243" spans="1:14" ht="21.75" customHeight="1" x14ac:dyDescent="0.4">
      <c r="A243" s="215" t="s">
        <v>108</v>
      </c>
      <c r="B243" s="216"/>
      <c r="C243" s="216"/>
      <c r="D243" s="216"/>
      <c r="E243" s="216"/>
      <c r="F243" s="216"/>
      <c r="G243" s="217"/>
      <c r="H243" s="218"/>
      <c r="I243" s="219"/>
      <c r="J243" s="219"/>
      <c r="K243" s="220"/>
      <c r="L243" s="220"/>
      <c r="M243" s="220"/>
      <c r="N243" s="221"/>
    </row>
    <row r="244" spans="1:14" ht="21.75" customHeight="1" x14ac:dyDescent="0.4">
      <c r="A244" s="222"/>
      <c r="B244" s="223">
        <v>1</v>
      </c>
      <c r="C244" s="224" t="s">
        <v>109</v>
      </c>
      <c r="D244" s="224"/>
      <c r="E244" s="224"/>
      <c r="F244" s="224"/>
      <c r="G244" s="225"/>
      <c r="H244" s="226" t="s">
        <v>103</v>
      </c>
      <c r="I244" s="227">
        <f t="shared" ref="I244:J244" ca="1" si="54">I270</f>
        <v>0</v>
      </c>
      <c r="J244" s="227">
        <f t="shared" si="54"/>
        <v>0</v>
      </c>
      <c r="K244" s="228">
        <f t="shared" ref="K244:K245" ca="1" si="55">IF(I244&gt;0,J244*100/I244,0)</f>
        <v>0</v>
      </c>
      <c r="L244" s="229">
        <f t="shared" ref="L244:M244" ca="1" si="56">SUM(L246:L247)</f>
        <v>0</v>
      </c>
      <c r="M244" s="229">
        <f t="shared" si="56"/>
        <v>0</v>
      </c>
      <c r="N244" s="229">
        <f ca="1">+IF(L244&gt;0,M244*100/L244,0)</f>
        <v>0</v>
      </c>
    </row>
    <row r="245" spans="1:14" ht="21.75" customHeight="1" x14ac:dyDescent="0.4">
      <c r="A245" s="222"/>
      <c r="B245" s="223"/>
      <c r="C245" s="224"/>
      <c r="D245" s="224"/>
      <c r="E245" s="224"/>
      <c r="F245" s="224"/>
      <c r="G245" s="225"/>
      <c r="H245" s="226" t="s">
        <v>16</v>
      </c>
      <c r="I245" s="227">
        <f ca="1">I263</f>
        <v>0</v>
      </c>
      <c r="J245" s="227">
        <f>+J263</f>
        <v>0</v>
      </c>
      <c r="K245" s="228">
        <f t="shared" ca="1" si="55"/>
        <v>0</v>
      </c>
      <c r="L245" s="229"/>
      <c r="M245" s="229"/>
      <c r="N245" s="229"/>
    </row>
    <row r="246" spans="1:14" ht="21.75" customHeight="1" x14ac:dyDescent="0.4">
      <c r="A246" s="42"/>
      <c r="B246" s="43"/>
      <c r="C246" s="43" t="s">
        <v>17</v>
      </c>
      <c r="D246" s="44" t="s">
        <v>18</v>
      </c>
      <c r="E246" s="45"/>
      <c r="F246" s="45"/>
      <c r="G246" s="46" t="s">
        <v>19</v>
      </c>
      <c r="H246" s="47" t="s">
        <v>20</v>
      </c>
      <c r="I246" s="48" t="s">
        <v>21</v>
      </c>
      <c r="J246" s="48"/>
      <c r="K246" s="49"/>
      <c r="L246" s="50">
        <v>0</v>
      </c>
      <c r="M246" s="50">
        <v>0</v>
      </c>
      <c r="N246" s="50">
        <f t="shared" ref="N246:N249" si="57">+IF(L246&gt;0,M246*100/L246,0)</f>
        <v>0</v>
      </c>
    </row>
    <row r="247" spans="1:14" ht="21.75" customHeight="1" x14ac:dyDescent="0.4">
      <c r="A247" s="42"/>
      <c r="B247" s="43"/>
      <c r="C247" s="43"/>
      <c r="D247" s="51"/>
      <c r="E247" s="45"/>
      <c r="F247" s="45" t="s">
        <v>21</v>
      </c>
      <c r="G247" s="46" t="s">
        <v>22</v>
      </c>
      <c r="H247" s="47" t="s">
        <v>20</v>
      </c>
      <c r="I247" s="48"/>
      <c r="J247" s="48"/>
      <c r="K247" s="49"/>
      <c r="L247" s="50">
        <f t="shared" ref="L247:M247" ca="1" si="58">SUM(L248:L249)</f>
        <v>0</v>
      </c>
      <c r="M247" s="50">
        <f t="shared" si="58"/>
        <v>0</v>
      </c>
      <c r="N247" s="50">
        <f t="shared" ca="1" si="57"/>
        <v>0</v>
      </c>
    </row>
    <row r="248" spans="1:14" ht="21.75" customHeight="1" x14ac:dyDescent="0.4">
      <c r="A248" s="42"/>
      <c r="B248" s="43"/>
      <c r="C248" s="43"/>
      <c r="D248" s="51"/>
      <c r="E248" s="45"/>
      <c r="F248" s="45"/>
      <c r="G248" s="52" t="s">
        <v>110</v>
      </c>
      <c r="H248" s="47" t="s">
        <v>20</v>
      </c>
      <c r="I248" s="48"/>
      <c r="J248" s="48"/>
      <c r="K248" s="49"/>
      <c r="L248" s="53">
        <f ca="1">IFERROR(__xludf.DUMMYFUNCTION("IMPORTRANGE(""https://docs.google.com/spreadsheets/d/1C3CXT74ZlgGe6_JY_1olB1XN4rF0dxEuIIF-xsYjHgg/edit?usp=sharing"",""งบกองทุน!d23"")"),0)</f>
        <v>0</v>
      </c>
      <c r="M248" s="53">
        <v>0</v>
      </c>
      <c r="N248" s="53">
        <f t="shared" ca="1" si="57"/>
        <v>0</v>
      </c>
    </row>
    <row r="249" spans="1:14" ht="21.75" customHeight="1" x14ac:dyDescent="0.4">
      <c r="A249" s="42"/>
      <c r="B249" s="43"/>
      <c r="C249" s="43"/>
      <c r="D249" s="51"/>
      <c r="E249" s="45"/>
      <c r="F249" s="45"/>
      <c r="G249" s="52" t="s">
        <v>111</v>
      </c>
      <c r="H249" s="47" t="s">
        <v>20</v>
      </c>
      <c r="I249" s="48"/>
      <c r="J249" s="48"/>
      <c r="K249" s="49"/>
      <c r="L249" s="53">
        <f ca="1">IFERROR(__xludf.DUMMYFUNCTION("IMPORTRANGE(""https://docs.google.com/spreadsheets/d/1C3CXT74ZlgGe6_JY_1olB1XN4rF0dxEuIIF-xsYjHgg/edit?usp=sharing"",""งบกองทุน!e23"")"),0)</f>
        <v>0</v>
      </c>
      <c r="M249" s="53">
        <f>SUM(M250:M253)</f>
        <v>0</v>
      </c>
      <c r="N249" s="53">
        <f t="shared" ca="1" si="57"/>
        <v>0</v>
      </c>
    </row>
    <row r="250" spans="1:14" ht="21.75" customHeight="1" x14ac:dyDescent="0.4">
      <c r="A250" s="230"/>
      <c r="B250" s="231"/>
      <c r="C250" s="43"/>
      <c r="D250" s="232"/>
      <c r="E250" s="45"/>
      <c r="F250" s="45"/>
      <c r="G250" s="46" t="s">
        <v>112</v>
      </c>
      <c r="H250" s="47" t="s">
        <v>20</v>
      </c>
      <c r="I250" s="67"/>
      <c r="J250" s="67"/>
      <c r="K250" s="233"/>
      <c r="L250" s="53"/>
      <c r="M250" s="53">
        <v>0</v>
      </c>
      <c r="N250" s="53"/>
    </row>
    <row r="251" spans="1:14" ht="21.75" customHeight="1" x14ac:dyDescent="0.4">
      <c r="A251" s="230"/>
      <c r="B251" s="231"/>
      <c r="C251" s="43"/>
      <c r="D251" s="232"/>
      <c r="E251" s="45"/>
      <c r="F251" s="45"/>
      <c r="G251" s="46" t="s">
        <v>113</v>
      </c>
      <c r="H251" s="47" t="s">
        <v>20</v>
      </c>
      <c r="I251" s="67"/>
      <c r="J251" s="67"/>
      <c r="K251" s="233"/>
      <c r="L251" s="53"/>
      <c r="M251" s="53">
        <v>0</v>
      </c>
      <c r="N251" s="53"/>
    </row>
    <row r="252" spans="1:14" ht="21.75" customHeight="1" x14ac:dyDescent="0.4">
      <c r="A252" s="230"/>
      <c r="B252" s="231"/>
      <c r="C252" s="43"/>
      <c r="D252" s="232"/>
      <c r="E252" s="45"/>
      <c r="F252" s="45"/>
      <c r="G252" s="46" t="s">
        <v>114</v>
      </c>
      <c r="H252" s="47" t="s">
        <v>20</v>
      </c>
      <c r="I252" s="67"/>
      <c r="J252" s="67"/>
      <c r="K252" s="233"/>
      <c r="L252" s="53"/>
      <c r="M252" s="53">
        <v>0</v>
      </c>
      <c r="N252" s="53"/>
    </row>
    <row r="253" spans="1:14" ht="21.75" customHeight="1" x14ac:dyDescent="0.4">
      <c r="A253" s="230"/>
      <c r="B253" s="231"/>
      <c r="C253" s="43"/>
      <c r="D253" s="232"/>
      <c r="E253" s="45"/>
      <c r="F253" s="45"/>
      <c r="G253" s="46" t="s">
        <v>115</v>
      </c>
      <c r="H253" s="47" t="s">
        <v>20</v>
      </c>
      <c r="I253" s="67"/>
      <c r="J253" s="67"/>
      <c r="K253" s="233"/>
      <c r="L253" s="53"/>
      <c r="M253" s="53">
        <v>0</v>
      </c>
      <c r="N253" s="53"/>
    </row>
    <row r="254" spans="1:14" ht="21.75" customHeight="1" x14ac:dyDescent="0.4">
      <c r="A254" s="55"/>
      <c r="B254" s="56"/>
      <c r="C254" s="43" t="s">
        <v>17</v>
      </c>
      <c r="D254" s="57" t="s">
        <v>25</v>
      </c>
      <c r="E254" s="58"/>
      <c r="F254" s="58"/>
      <c r="G254" s="59"/>
      <c r="H254" s="60"/>
      <c r="I254" s="48"/>
      <c r="J254" s="67"/>
      <c r="K254" s="233"/>
      <c r="L254" s="53"/>
      <c r="M254" s="53"/>
      <c r="N254" s="61"/>
    </row>
    <row r="255" spans="1:14" ht="21.75" customHeight="1" x14ac:dyDescent="0.4">
      <c r="A255" s="55"/>
      <c r="B255" s="56"/>
      <c r="C255" s="56"/>
      <c r="D255" s="62">
        <v>1</v>
      </c>
      <c r="E255" s="63" t="s">
        <v>26</v>
      </c>
      <c r="F255" s="64"/>
      <c r="G255" s="65"/>
      <c r="H255" s="66"/>
      <c r="I255" s="67"/>
      <c r="J255" s="67">
        <v>0</v>
      </c>
      <c r="K255" s="233"/>
      <c r="L255" s="53"/>
      <c r="M255" s="53"/>
      <c r="N255" s="61"/>
    </row>
    <row r="256" spans="1:14" ht="21.75" customHeight="1" x14ac:dyDescent="0.4">
      <c r="A256" s="55"/>
      <c r="B256" s="56"/>
      <c r="C256" s="56"/>
      <c r="D256" s="69">
        <v>2</v>
      </c>
      <c r="E256" s="70" t="s">
        <v>27</v>
      </c>
      <c r="F256" s="71"/>
      <c r="G256" s="72"/>
      <c r="H256" s="66"/>
      <c r="I256" s="67"/>
      <c r="J256" s="67">
        <v>0</v>
      </c>
      <c r="K256" s="233"/>
      <c r="L256" s="53" t="s">
        <v>21</v>
      </c>
      <c r="M256" s="53" t="s">
        <v>21</v>
      </c>
      <c r="N256" s="61"/>
    </row>
    <row r="257" spans="1:14" ht="21.75" customHeight="1" x14ac:dyDescent="0.4">
      <c r="A257" s="55"/>
      <c r="B257" s="56"/>
      <c r="C257" s="56"/>
      <c r="D257" s="73"/>
      <c r="E257" s="74" t="s">
        <v>28</v>
      </c>
      <c r="F257" s="75"/>
      <c r="G257" s="76"/>
      <c r="H257" s="66"/>
      <c r="I257" s="67"/>
      <c r="J257" s="67">
        <v>0</v>
      </c>
      <c r="K257" s="233"/>
      <c r="L257" s="53"/>
      <c r="M257" s="53"/>
      <c r="N257" s="61"/>
    </row>
    <row r="258" spans="1:14" ht="21.75" customHeight="1" x14ac:dyDescent="0.4">
      <c r="A258" s="55"/>
      <c r="B258" s="56"/>
      <c r="C258" s="56"/>
      <c r="D258" s="73"/>
      <c r="E258" s="74" t="s">
        <v>29</v>
      </c>
      <c r="F258" s="75"/>
      <c r="G258" s="76"/>
      <c r="H258" s="66"/>
      <c r="I258" s="67"/>
      <c r="J258" s="67">
        <v>0</v>
      </c>
      <c r="K258" s="233"/>
      <c r="L258" s="53"/>
      <c r="M258" s="53"/>
      <c r="N258" s="61"/>
    </row>
    <row r="259" spans="1:14" ht="21.75" hidden="1" customHeight="1" x14ac:dyDescent="0.4">
      <c r="A259" s="55"/>
      <c r="B259" s="56"/>
      <c r="C259" s="56"/>
      <c r="D259" s="73"/>
      <c r="E259" s="77"/>
      <c r="F259" s="74" t="s">
        <v>50</v>
      </c>
      <c r="G259" s="76"/>
      <c r="H259" s="60"/>
      <c r="I259" s="67"/>
      <c r="J259" s="67">
        <f>+J260+J263+J268</f>
        <v>0</v>
      </c>
      <c r="K259" s="233"/>
      <c r="L259" s="53"/>
      <c r="M259" s="53"/>
      <c r="N259" s="61"/>
    </row>
    <row r="260" spans="1:14" ht="21.75" hidden="1" customHeight="1" x14ac:dyDescent="0.4">
      <c r="A260" s="55"/>
      <c r="B260" s="56"/>
      <c r="C260" s="56"/>
      <c r="D260" s="73"/>
      <c r="E260" s="77"/>
      <c r="F260" s="75"/>
      <c r="G260" s="99" t="s">
        <v>116</v>
      </c>
      <c r="H260" s="60" t="s">
        <v>16</v>
      </c>
      <c r="I260" s="67">
        <f ca="1">IFERROR(__xludf.DUMMYFUNCTION("IMPORTRANGE(""https://docs.google.com/spreadsheets/d/1C3CXT74ZlgGe6_JY_1olB1XN4rF0dxEuIIF-xsYjHgg/edit?usp=sharing"",""งบกองทุน!f23"")"),0)</f>
        <v>0</v>
      </c>
      <c r="J260" s="67">
        <v>0</v>
      </c>
      <c r="K260" s="233">
        <f ca="1">IF(I260&gt;0,J260*100/I260,0)</f>
        <v>0</v>
      </c>
      <c r="L260" s="53"/>
      <c r="M260" s="53"/>
      <c r="N260" s="61"/>
    </row>
    <row r="261" spans="1:14" ht="21.75" hidden="1" customHeight="1" x14ac:dyDescent="0.4">
      <c r="A261" s="55"/>
      <c r="B261" s="56"/>
      <c r="C261" s="56"/>
      <c r="D261" s="73"/>
      <c r="E261" s="77"/>
      <c r="F261" s="75"/>
      <c r="G261" s="76" t="s">
        <v>117</v>
      </c>
      <c r="H261" s="60"/>
      <c r="I261" s="48"/>
      <c r="J261" s="67"/>
      <c r="K261" s="233"/>
      <c r="L261" s="53"/>
      <c r="M261" s="53"/>
      <c r="N261" s="61"/>
    </row>
    <row r="262" spans="1:14" ht="21.75" hidden="1" customHeight="1" x14ac:dyDescent="0.4">
      <c r="A262" s="55"/>
      <c r="B262" s="56"/>
      <c r="C262" s="56"/>
      <c r="D262" s="73"/>
      <c r="E262" s="77"/>
      <c r="F262" s="75"/>
      <c r="G262" s="99" t="s">
        <v>118</v>
      </c>
      <c r="H262" s="66" t="s">
        <v>103</v>
      </c>
      <c r="I262" s="67">
        <f t="shared" ref="I262:J262" ca="1" si="59">SUM(I264,I266)</f>
        <v>0</v>
      </c>
      <c r="J262" s="67">
        <f t="shared" si="59"/>
        <v>0</v>
      </c>
      <c r="K262" s="233">
        <f t="shared" ref="K262:K268" ca="1" si="60">IF(I262&gt;0,J262*100/I262,0)</f>
        <v>0</v>
      </c>
      <c r="L262" s="53"/>
      <c r="M262" s="53"/>
      <c r="N262" s="61"/>
    </row>
    <row r="263" spans="1:14" ht="21.75" customHeight="1" x14ac:dyDescent="0.4">
      <c r="A263" s="55"/>
      <c r="B263" s="56"/>
      <c r="C263" s="56"/>
      <c r="D263" s="73"/>
      <c r="E263" s="77"/>
      <c r="F263" s="99" t="s">
        <v>119</v>
      </c>
      <c r="G263" s="76"/>
      <c r="H263" s="66" t="s">
        <v>16</v>
      </c>
      <c r="I263" s="48">
        <f ca="1">IFERROR(__xludf.DUMMYFUNCTION("IMPORTRANGE(""https://docs.google.com/spreadsheets/d/1C3CXT74ZlgGe6_JY_1olB1XN4rF0dxEuIIF-xsYjHgg/edit?usp=sharing"",""งบกองทุน!H23"")"),0)</f>
        <v>0</v>
      </c>
      <c r="J263" s="67">
        <f>J267</f>
        <v>0</v>
      </c>
      <c r="K263" s="233">
        <f t="shared" ca="1" si="60"/>
        <v>0</v>
      </c>
      <c r="L263" s="53"/>
      <c r="M263" s="53"/>
      <c r="N263" s="61"/>
    </row>
    <row r="264" spans="1:14" ht="21.75" hidden="1" customHeight="1" x14ac:dyDescent="0.4">
      <c r="A264" s="55"/>
      <c r="B264" s="56"/>
      <c r="C264" s="56"/>
      <c r="D264" s="73"/>
      <c r="E264" s="77"/>
      <c r="F264" s="75"/>
      <c r="H264" s="60" t="s">
        <v>103</v>
      </c>
      <c r="I264" s="48">
        <f ca="1">IFERROR(__xludf.DUMMYFUNCTION("IMPORTRANGE(""https://docs.google.com/spreadsheets/d/1C3CXT74ZlgGe6_JY_1olB1XN4rF0dxEuIIF-xsYjHgg/edit?usp=sharing"",""งบกองทุน!i23"")"),0)</f>
        <v>0</v>
      </c>
      <c r="J264" s="67">
        <v>0</v>
      </c>
      <c r="K264" s="233">
        <f t="shared" ca="1" si="60"/>
        <v>0</v>
      </c>
      <c r="L264" s="53"/>
      <c r="M264" s="53"/>
      <c r="N264" s="61"/>
    </row>
    <row r="265" spans="1:14" ht="21.75" customHeight="1" x14ac:dyDescent="0.4">
      <c r="A265" s="55"/>
      <c r="B265" s="56"/>
      <c r="C265" s="56"/>
      <c r="D265" s="73"/>
      <c r="E265" s="77"/>
      <c r="F265" s="75"/>
      <c r="G265" s="99" t="s">
        <v>219</v>
      </c>
      <c r="H265" s="60" t="s">
        <v>16</v>
      </c>
      <c r="I265" s="48">
        <f ca="1">I263</f>
        <v>0</v>
      </c>
      <c r="J265" s="67">
        <v>0</v>
      </c>
      <c r="K265" s="233">
        <f t="shared" ca="1" si="60"/>
        <v>0</v>
      </c>
      <c r="L265" s="53"/>
      <c r="M265" s="53"/>
      <c r="N265" s="61"/>
    </row>
    <row r="266" spans="1:14" ht="21.75" hidden="1" customHeight="1" x14ac:dyDescent="0.4">
      <c r="A266" s="55"/>
      <c r="B266" s="56"/>
      <c r="C266" s="56"/>
      <c r="D266" s="73"/>
      <c r="E266" s="77"/>
      <c r="F266" s="75"/>
      <c r="G266" s="76"/>
      <c r="H266" s="60" t="s">
        <v>103</v>
      </c>
      <c r="I266" s="48">
        <f ca="1">IFERROR(__xludf.DUMMYFUNCTION("IMPORTRANGE(""https://docs.google.com/spreadsheets/d/1C3CXT74ZlgGe6_JY_1olB1XN4rF0dxEuIIF-xsYjHgg/edit?usp=sharing"",""งบกองทุน!k23"")"),0)</f>
        <v>0</v>
      </c>
      <c r="J266" s="67">
        <v>0</v>
      </c>
      <c r="K266" s="233">
        <f t="shared" ca="1" si="60"/>
        <v>0</v>
      </c>
      <c r="L266" s="53"/>
      <c r="M266" s="53"/>
      <c r="N266" s="61"/>
    </row>
    <row r="267" spans="1:14" ht="21.75" customHeight="1" x14ac:dyDescent="0.4">
      <c r="A267" s="55"/>
      <c r="B267" s="56"/>
      <c r="C267" s="56"/>
      <c r="D267" s="73"/>
      <c r="E267" s="77"/>
      <c r="F267" s="75"/>
      <c r="G267" s="76" t="s">
        <v>220</v>
      </c>
      <c r="H267" s="60" t="s">
        <v>16</v>
      </c>
      <c r="I267" s="48">
        <f ca="1">I265</f>
        <v>0</v>
      </c>
      <c r="J267" s="67">
        <v>0</v>
      </c>
      <c r="K267" s="233">
        <f t="shared" ca="1" si="60"/>
        <v>0</v>
      </c>
      <c r="L267" s="53"/>
      <c r="M267" s="53"/>
      <c r="N267" s="61"/>
    </row>
    <row r="268" spans="1:14" ht="21.75" hidden="1" customHeight="1" x14ac:dyDescent="0.4">
      <c r="A268" s="55"/>
      <c r="B268" s="56"/>
      <c r="C268" s="56"/>
      <c r="D268" s="73"/>
      <c r="E268" s="77"/>
      <c r="F268" s="75"/>
      <c r="G268" s="99" t="s">
        <v>122</v>
      </c>
      <c r="H268" s="60" t="s">
        <v>16</v>
      </c>
      <c r="I268" s="67">
        <f ca="1">IFERROR(__xludf.DUMMYFUNCTION("IMPORTRANGE(""https://docs.google.com/spreadsheets/d/1C3CXT74ZlgGe6_JY_1olB1XN4rF0dxEuIIF-xsYjHgg/edit?usp=sharing"",""งบกองทุน!m23"")"),0)</f>
        <v>0</v>
      </c>
      <c r="J268" s="67">
        <v>0</v>
      </c>
      <c r="K268" s="233">
        <f t="shared" ca="1" si="60"/>
        <v>0</v>
      </c>
      <c r="L268" s="53"/>
      <c r="M268" s="53"/>
      <c r="N268" s="61"/>
    </row>
    <row r="269" spans="1:14" ht="21.75" hidden="1" customHeight="1" x14ac:dyDescent="0.4">
      <c r="A269" s="55"/>
      <c r="B269" s="56"/>
      <c r="C269" s="56"/>
      <c r="D269" s="73"/>
      <c r="E269" s="77"/>
      <c r="F269" s="75"/>
      <c r="G269" s="76" t="s">
        <v>123</v>
      </c>
      <c r="H269" s="60"/>
      <c r="I269" s="67"/>
      <c r="J269" s="67"/>
      <c r="K269" s="233"/>
      <c r="L269" s="53"/>
      <c r="M269" s="53"/>
      <c r="N269" s="61"/>
    </row>
    <row r="270" spans="1:14" ht="21.75" customHeight="1" x14ac:dyDescent="0.4">
      <c r="A270" s="55"/>
      <c r="B270" s="56"/>
      <c r="C270" s="56"/>
      <c r="D270" s="73"/>
      <c r="E270" s="75"/>
      <c r="F270" s="74" t="s">
        <v>34</v>
      </c>
      <c r="G270" s="76"/>
      <c r="H270" s="66" t="s">
        <v>103</v>
      </c>
      <c r="I270" s="67">
        <f t="shared" ref="I270:J270" ca="1" si="61">SUM(I271:I272)</f>
        <v>0</v>
      </c>
      <c r="J270" s="67">
        <f t="shared" si="61"/>
        <v>0</v>
      </c>
      <c r="K270" s="233">
        <f t="shared" ref="K270:K272" ca="1" si="62">IF(I270&gt;0,J270*100/I270,0)</f>
        <v>0</v>
      </c>
      <c r="L270" s="53"/>
      <c r="M270" s="53"/>
      <c r="N270" s="61"/>
    </row>
    <row r="271" spans="1:14" ht="21.75" customHeight="1" x14ac:dyDescent="0.4">
      <c r="A271" s="55"/>
      <c r="B271" s="56"/>
      <c r="C271" s="56"/>
      <c r="D271" s="73"/>
      <c r="E271" s="75"/>
      <c r="F271" s="75"/>
      <c r="G271" s="76" t="s">
        <v>124</v>
      </c>
      <c r="H271" s="66" t="s">
        <v>103</v>
      </c>
      <c r="I271" s="67">
        <f ca="1">IFERROR(__xludf.DUMMYFUNCTION("IMPORTRANGE(""https://docs.google.com/spreadsheets/d/1C3CXT74ZlgGe6_JY_1olB1XN4rF0dxEuIIF-xsYjHgg/edit?usp=sharing"",""งบกองทุน!o23"")"),0)</f>
        <v>0</v>
      </c>
      <c r="J271" s="67">
        <v>0</v>
      </c>
      <c r="K271" s="233">
        <f t="shared" ca="1" si="62"/>
        <v>0</v>
      </c>
      <c r="L271" s="53"/>
      <c r="M271" s="53"/>
      <c r="N271" s="61"/>
    </row>
    <row r="272" spans="1:14" ht="21.75" customHeight="1" x14ac:dyDescent="0.4">
      <c r="A272" s="55"/>
      <c r="B272" s="56"/>
      <c r="C272" s="56"/>
      <c r="D272" s="73"/>
      <c r="E272" s="75"/>
      <c r="F272" s="75"/>
      <c r="G272" s="76" t="s">
        <v>125</v>
      </c>
      <c r="H272" s="66" t="s">
        <v>103</v>
      </c>
      <c r="I272" s="67">
        <f ca="1">IFERROR(__xludf.DUMMYFUNCTION("IMPORTRANGE(""https://docs.google.com/spreadsheets/d/1C3CXT74ZlgGe6_JY_1olB1XN4rF0dxEuIIF-xsYjHgg/edit?usp=sharing"",""งบกองทุน!p23"")"),0)</f>
        <v>0</v>
      </c>
      <c r="J272" s="67">
        <v>0</v>
      </c>
      <c r="K272" s="233">
        <f t="shared" ca="1" si="62"/>
        <v>0</v>
      </c>
      <c r="L272" s="53"/>
      <c r="M272" s="53"/>
      <c r="N272" s="61"/>
    </row>
    <row r="273" spans="1:14" ht="21.75" customHeight="1" x14ac:dyDescent="0.4">
      <c r="A273" s="55"/>
      <c r="B273" s="56"/>
      <c r="C273" s="56"/>
      <c r="D273" s="73"/>
      <c r="E273" s="74" t="s">
        <v>35</v>
      </c>
      <c r="F273" s="75"/>
      <c r="G273" s="76"/>
      <c r="H273" s="66"/>
      <c r="I273" s="67"/>
      <c r="J273" s="67">
        <v>0</v>
      </c>
      <c r="K273" s="233"/>
      <c r="L273" s="53"/>
      <c r="M273" s="53"/>
      <c r="N273" s="61"/>
    </row>
    <row r="274" spans="1:14" ht="21.75" customHeight="1" x14ac:dyDescent="0.4">
      <c r="A274" s="55"/>
      <c r="B274" s="56"/>
      <c r="C274" s="56"/>
      <c r="D274" s="81">
        <v>3</v>
      </c>
      <c r="E274" s="82" t="s">
        <v>36</v>
      </c>
      <c r="F274" s="83"/>
      <c r="G274" s="84"/>
      <c r="H274" s="66"/>
      <c r="I274" s="67"/>
      <c r="J274" s="360">
        <v>0</v>
      </c>
      <c r="K274" s="233"/>
      <c r="L274" s="53"/>
      <c r="M274" s="53"/>
      <c r="N274" s="61"/>
    </row>
    <row r="275" spans="1:14" ht="21.75" customHeight="1" x14ac:dyDescent="0.4">
      <c r="A275" s="222"/>
      <c r="B275" s="223">
        <v>2</v>
      </c>
      <c r="C275" s="224" t="s">
        <v>126</v>
      </c>
      <c r="D275" s="224"/>
      <c r="E275" s="234"/>
      <c r="F275" s="234"/>
      <c r="G275" s="235"/>
      <c r="H275" s="226" t="s">
        <v>103</v>
      </c>
      <c r="I275" s="227">
        <f ca="1">I292</f>
        <v>500</v>
      </c>
      <c r="J275" s="227">
        <f>+J292</f>
        <v>0</v>
      </c>
      <c r="K275" s="228">
        <f t="shared" ref="K275:K276" ca="1" si="63">IF(I275&gt;0,J275*100/I275,0)</f>
        <v>0</v>
      </c>
      <c r="L275" s="229">
        <f t="shared" ref="L275:M275" ca="1" si="64">SUM(L277:L278)</f>
        <v>460140</v>
      </c>
      <c r="M275" s="229">
        <f t="shared" si="64"/>
        <v>0</v>
      </c>
      <c r="N275" s="229">
        <f ca="1">+IF(L275&gt;0,M275*100/L275,0)</f>
        <v>0</v>
      </c>
    </row>
    <row r="276" spans="1:14" ht="21.75" customHeight="1" x14ac:dyDescent="0.4">
      <c r="A276" s="222"/>
      <c r="B276" s="223"/>
      <c r="C276" s="224"/>
      <c r="D276" s="236"/>
      <c r="E276" s="237"/>
      <c r="F276" s="237"/>
      <c r="G276" s="238"/>
      <c r="H276" s="226" t="s">
        <v>16</v>
      </c>
      <c r="I276" s="227">
        <f ca="1">I291</f>
        <v>50</v>
      </c>
      <c r="J276" s="227">
        <f>+J291</f>
        <v>0</v>
      </c>
      <c r="K276" s="228">
        <f t="shared" ca="1" si="63"/>
        <v>0</v>
      </c>
      <c r="L276" s="229"/>
      <c r="M276" s="229"/>
      <c r="N276" s="229"/>
    </row>
    <row r="277" spans="1:14" ht="21.75" customHeight="1" x14ac:dyDescent="0.4">
      <c r="A277" s="42"/>
      <c r="B277" s="43"/>
      <c r="C277" s="43" t="s">
        <v>17</v>
      </c>
      <c r="D277" s="44" t="s">
        <v>18</v>
      </c>
      <c r="E277" s="45"/>
      <c r="F277" s="45"/>
      <c r="G277" s="46" t="s">
        <v>19</v>
      </c>
      <c r="H277" s="47" t="s">
        <v>20</v>
      </c>
      <c r="I277" s="48" t="s">
        <v>21</v>
      </c>
      <c r="J277" s="48"/>
      <c r="K277" s="49"/>
      <c r="L277" s="50">
        <v>0</v>
      </c>
      <c r="M277" s="50">
        <v>0</v>
      </c>
      <c r="N277" s="50">
        <f t="shared" ref="N277:N280" si="65">+IF(L277&gt;0,M277*100/L277,0)</f>
        <v>0</v>
      </c>
    </row>
    <row r="278" spans="1:14" ht="21.75" customHeight="1" x14ac:dyDescent="0.4">
      <c r="A278" s="42"/>
      <c r="B278" s="43"/>
      <c r="C278" s="43"/>
      <c r="D278" s="51"/>
      <c r="E278" s="45"/>
      <c r="F278" s="45" t="s">
        <v>21</v>
      </c>
      <c r="G278" s="46" t="s">
        <v>22</v>
      </c>
      <c r="H278" s="47" t="s">
        <v>20</v>
      </c>
      <c r="I278" s="48"/>
      <c r="J278" s="48"/>
      <c r="K278" s="49"/>
      <c r="L278" s="50">
        <f t="shared" ref="L278:M278" ca="1" si="66">SUM(L279:L280)</f>
        <v>460140</v>
      </c>
      <c r="M278" s="50">
        <f t="shared" si="66"/>
        <v>0</v>
      </c>
      <c r="N278" s="50">
        <f t="shared" ca="1" si="65"/>
        <v>0</v>
      </c>
    </row>
    <row r="279" spans="1:14" ht="21.75" customHeight="1" x14ac:dyDescent="0.4">
      <c r="A279" s="42"/>
      <c r="B279" s="43"/>
      <c r="C279" s="43"/>
      <c r="D279" s="51"/>
      <c r="E279" s="45"/>
      <c r="F279" s="45"/>
      <c r="G279" s="52" t="s">
        <v>110</v>
      </c>
      <c r="H279" s="47" t="s">
        <v>20</v>
      </c>
      <c r="I279" s="48"/>
      <c r="J279" s="48"/>
      <c r="K279" s="49"/>
      <c r="L279" s="53">
        <f ca="1">IFERROR(__xludf.DUMMYFUNCTION("IMPORTRANGE(""https://docs.google.com/spreadsheets/d/1C3CXT74ZlgGe6_JY_1olB1XN4rF0dxEuIIF-xsYjHgg/edit?usp=sharing"",""งบกองทุน!r23"")"),0)</f>
        <v>0</v>
      </c>
      <c r="M279" s="53">
        <v>0</v>
      </c>
      <c r="N279" s="53">
        <f t="shared" ca="1" si="65"/>
        <v>0</v>
      </c>
    </row>
    <row r="280" spans="1:14" ht="21.75" customHeight="1" x14ac:dyDescent="0.4">
      <c r="A280" s="42"/>
      <c r="B280" s="43"/>
      <c r="C280" s="43"/>
      <c r="D280" s="51"/>
      <c r="E280" s="45"/>
      <c r="F280" s="45"/>
      <c r="G280" s="52" t="s">
        <v>111</v>
      </c>
      <c r="H280" s="47" t="s">
        <v>20</v>
      </c>
      <c r="I280" s="48"/>
      <c r="J280" s="48"/>
      <c r="K280" s="49"/>
      <c r="L280" s="53">
        <f ca="1">IFERROR(__xludf.DUMMYFUNCTION("IMPORTRANGE(""https://docs.google.com/spreadsheets/d/1C3CXT74ZlgGe6_JY_1olB1XN4rF0dxEuIIF-xsYjHgg/edit?usp=sharing"",""งบกองทุน!s23"")"),460140)</f>
        <v>460140</v>
      </c>
      <c r="M280" s="53">
        <f>SUM(M281:M284)</f>
        <v>0</v>
      </c>
      <c r="N280" s="53">
        <f t="shared" ca="1" si="65"/>
        <v>0</v>
      </c>
    </row>
    <row r="281" spans="1:14" ht="21.75" customHeight="1" x14ac:dyDescent="0.4">
      <c r="A281" s="230"/>
      <c r="B281" s="231"/>
      <c r="C281" s="43"/>
      <c r="D281" s="232"/>
      <c r="E281" s="45"/>
      <c r="F281" s="45"/>
      <c r="G281" s="46" t="s">
        <v>112</v>
      </c>
      <c r="H281" s="47" t="s">
        <v>20</v>
      </c>
      <c r="I281" s="67"/>
      <c r="J281" s="67"/>
      <c r="K281" s="233"/>
      <c r="L281" s="53"/>
      <c r="M281" s="54">
        <v>0</v>
      </c>
      <c r="N281" s="53"/>
    </row>
    <row r="282" spans="1:14" ht="21.75" customHeight="1" x14ac:dyDescent="0.4">
      <c r="A282" s="230"/>
      <c r="B282" s="231"/>
      <c r="C282" s="43"/>
      <c r="D282" s="232"/>
      <c r="E282" s="45"/>
      <c r="F282" s="45"/>
      <c r="G282" s="46" t="s">
        <v>113</v>
      </c>
      <c r="H282" s="47" t="s">
        <v>20</v>
      </c>
      <c r="I282" s="67"/>
      <c r="J282" s="67"/>
      <c r="K282" s="233"/>
      <c r="L282" s="53"/>
      <c r="M282" s="54">
        <v>0</v>
      </c>
      <c r="N282" s="53"/>
    </row>
    <row r="283" spans="1:14" ht="21.75" customHeight="1" x14ac:dyDescent="0.4">
      <c r="A283" s="230"/>
      <c r="B283" s="231"/>
      <c r="C283" s="43"/>
      <c r="D283" s="232"/>
      <c r="E283" s="45"/>
      <c r="F283" s="45"/>
      <c r="G283" s="46" t="s">
        <v>114</v>
      </c>
      <c r="H283" s="47" t="s">
        <v>20</v>
      </c>
      <c r="I283" s="67"/>
      <c r="J283" s="67"/>
      <c r="K283" s="233"/>
      <c r="L283" s="53"/>
      <c r="M283" s="54">
        <v>0</v>
      </c>
      <c r="N283" s="53"/>
    </row>
    <row r="284" spans="1:14" ht="21.75" customHeight="1" x14ac:dyDescent="0.4">
      <c r="A284" s="230"/>
      <c r="B284" s="231"/>
      <c r="C284" s="43"/>
      <c r="D284" s="232"/>
      <c r="E284" s="45"/>
      <c r="F284" s="45"/>
      <c r="G284" s="46" t="s">
        <v>115</v>
      </c>
      <c r="H284" s="47" t="s">
        <v>20</v>
      </c>
      <c r="I284" s="67"/>
      <c r="J284" s="67"/>
      <c r="K284" s="233"/>
      <c r="L284" s="53"/>
      <c r="M284" s="54">
        <v>0</v>
      </c>
      <c r="N284" s="53"/>
    </row>
    <row r="285" spans="1:14" ht="21.75" customHeight="1" x14ac:dyDescent="0.4">
      <c r="A285" s="55"/>
      <c r="B285" s="56"/>
      <c r="C285" s="43" t="s">
        <v>17</v>
      </c>
      <c r="D285" s="57" t="s">
        <v>25</v>
      </c>
      <c r="E285" s="58"/>
      <c r="F285" s="58"/>
      <c r="G285" s="59"/>
      <c r="H285" s="60"/>
      <c r="I285" s="48"/>
      <c r="J285" s="48"/>
      <c r="K285" s="49"/>
      <c r="L285" s="61"/>
      <c r="M285" s="61"/>
      <c r="N285" s="61"/>
    </row>
    <row r="286" spans="1:14" ht="21.75" customHeight="1" x14ac:dyDescent="0.4">
      <c r="A286" s="55"/>
      <c r="B286" s="56"/>
      <c r="C286" s="56"/>
      <c r="D286" s="62">
        <v>1</v>
      </c>
      <c r="E286" s="63" t="s">
        <v>26</v>
      </c>
      <c r="F286" s="64"/>
      <c r="G286" s="65"/>
      <c r="H286" s="66"/>
      <c r="I286" s="67"/>
      <c r="J286" s="68">
        <v>0</v>
      </c>
      <c r="K286" s="49"/>
      <c r="L286" s="61"/>
      <c r="M286" s="61"/>
      <c r="N286" s="61"/>
    </row>
    <row r="287" spans="1:14" ht="21.75" customHeight="1" x14ac:dyDescent="0.4">
      <c r="A287" s="55"/>
      <c r="B287" s="56"/>
      <c r="C287" s="56"/>
      <c r="D287" s="69">
        <v>2</v>
      </c>
      <c r="E287" s="70" t="s">
        <v>27</v>
      </c>
      <c r="F287" s="71"/>
      <c r="G287" s="72"/>
      <c r="H287" s="66"/>
      <c r="I287" s="67"/>
      <c r="J287" s="68">
        <v>1</v>
      </c>
      <c r="K287" s="49"/>
      <c r="L287" s="61" t="s">
        <v>21</v>
      </c>
      <c r="M287" s="61" t="s">
        <v>21</v>
      </c>
      <c r="N287" s="61"/>
    </row>
    <row r="288" spans="1:14" ht="21.75" customHeight="1" x14ac:dyDescent="0.4">
      <c r="A288" s="55"/>
      <c r="B288" s="56"/>
      <c r="C288" s="56"/>
      <c r="D288" s="73"/>
      <c r="E288" s="74" t="s">
        <v>28</v>
      </c>
      <c r="F288" s="75"/>
      <c r="G288" s="76"/>
      <c r="H288" s="66"/>
      <c r="I288" s="67"/>
      <c r="J288" s="68">
        <v>1</v>
      </c>
      <c r="K288" s="49"/>
      <c r="L288" s="61"/>
      <c r="M288" s="61"/>
      <c r="N288" s="61"/>
    </row>
    <row r="289" spans="1:14" ht="21.75" customHeight="1" x14ac:dyDescent="0.4">
      <c r="A289" s="55"/>
      <c r="B289" s="56"/>
      <c r="C289" s="56"/>
      <c r="D289" s="73"/>
      <c r="E289" s="74" t="s">
        <v>29</v>
      </c>
      <c r="F289" s="75"/>
      <c r="G289" s="76"/>
      <c r="H289" s="66"/>
      <c r="I289" s="67"/>
      <c r="J289" s="68">
        <v>0</v>
      </c>
      <c r="K289" s="49"/>
      <c r="L289" s="61"/>
      <c r="M289" s="61"/>
      <c r="N289" s="61"/>
    </row>
    <row r="290" spans="1:14" ht="21.75" customHeight="1" x14ac:dyDescent="0.4">
      <c r="A290" s="55"/>
      <c r="B290" s="56"/>
      <c r="C290" s="56"/>
      <c r="D290" s="73"/>
      <c r="E290" s="77"/>
      <c r="F290" s="74" t="s">
        <v>127</v>
      </c>
      <c r="G290" s="75"/>
      <c r="H290" s="66"/>
      <c r="I290" s="67"/>
      <c r="J290" s="67"/>
      <c r="K290" s="49"/>
      <c r="L290" s="61"/>
      <c r="M290" s="61"/>
      <c r="N290" s="61"/>
    </row>
    <row r="291" spans="1:14" ht="21.75" customHeight="1" x14ac:dyDescent="0.4">
      <c r="A291" s="55"/>
      <c r="B291" s="56"/>
      <c r="C291" s="56"/>
      <c r="D291" s="73"/>
      <c r="E291" s="77"/>
      <c r="F291" s="75"/>
      <c r="G291" s="99" t="s">
        <v>50</v>
      </c>
      <c r="H291" s="66" t="s">
        <v>16</v>
      </c>
      <c r="I291" s="67">
        <f ca="1">IFERROR(__xludf.DUMMYFUNCTION("IMPORTRANGE(""https://docs.google.com/spreadsheets/d/1C3CXT74ZlgGe6_JY_1olB1XN4rF0dxEuIIF-xsYjHgg/edit?usp=sharing"",""งบกองทุน!v23"")"),50)</f>
        <v>50</v>
      </c>
      <c r="J291" s="68">
        <v>0</v>
      </c>
      <c r="K291" s="49">
        <f t="shared" ref="K291:K293" ca="1" si="67">IF(I291&gt;0,J291*100/I291,0)</f>
        <v>0</v>
      </c>
      <c r="L291" s="61"/>
      <c r="M291" s="61"/>
      <c r="N291" s="61"/>
    </row>
    <row r="292" spans="1:14" ht="21.75" customHeight="1" x14ac:dyDescent="0.4">
      <c r="A292" s="55"/>
      <c r="B292" s="56"/>
      <c r="C292" s="56"/>
      <c r="D292" s="73"/>
      <c r="E292" s="77"/>
      <c r="F292" s="75"/>
      <c r="G292" s="76" t="s">
        <v>34</v>
      </c>
      <c r="H292" s="66" t="s">
        <v>103</v>
      </c>
      <c r="I292" s="67">
        <f ca="1">IFERROR(__xludf.DUMMYFUNCTION("IMPORTRANGE(""https://docs.google.com/spreadsheets/d/1C3CXT74ZlgGe6_JY_1olB1XN4rF0dxEuIIF-xsYjHgg/edit?usp=sharing"",""งบกองทุน!w23"")"),500)</f>
        <v>500</v>
      </c>
      <c r="J292" s="68">
        <v>0</v>
      </c>
      <c r="K292" s="49">
        <f t="shared" ca="1" si="67"/>
        <v>0</v>
      </c>
      <c r="L292" s="61"/>
      <c r="M292" s="61"/>
      <c r="N292" s="61"/>
    </row>
    <row r="293" spans="1:14" ht="21.75" customHeight="1" x14ac:dyDescent="0.4">
      <c r="A293" s="55"/>
      <c r="B293" s="56"/>
      <c r="C293" s="56"/>
      <c r="D293" s="73"/>
      <c r="E293" s="77"/>
      <c r="F293" s="75"/>
      <c r="G293" s="76"/>
      <c r="H293" s="66" t="s">
        <v>16</v>
      </c>
      <c r="I293" s="67">
        <f ca="1">IFERROR(__xludf.DUMMYFUNCTION("IMPORTRANGE(""https://docs.google.com/spreadsheets/d/1C3CXT74ZlgGe6_JY_1olB1XN4rF0dxEuIIF-xsYjHgg/edit?usp=sharing"",""งบกองทุน!x23"")"),50)</f>
        <v>50</v>
      </c>
      <c r="J293" s="68">
        <v>0</v>
      </c>
      <c r="K293" s="49">
        <f t="shared" ca="1" si="67"/>
        <v>0</v>
      </c>
      <c r="L293" s="61"/>
      <c r="M293" s="61"/>
      <c r="N293" s="61"/>
    </row>
    <row r="294" spans="1:14" ht="21.75" customHeight="1" x14ac:dyDescent="0.4">
      <c r="A294" s="55"/>
      <c r="B294" s="56"/>
      <c r="C294" s="56"/>
      <c r="D294" s="73"/>
      <c r="E294" s="74" t="s">
        <v>35</v>
      </c>
      <c r="F294" s="75"/>
      <c r="G294" s="76"/>
      <c r="H294" s="66"/>
      <c r="I294" s="67"/>
      <c r="J294" s="68">
        <v>0</v>
      </c>
      <c r="K294" s="49"/>
      <c r="L294" s="61"/>
      <c r="M294" s="61"/>
      <c r="N294" s="61"/>
    </row>
    <row r="295" spans="1:14" ht="21.75" customHeight="1" x14ac:dyDescent="0.4">
      <c r="A295" s="55"/>
      <c r="B295" s="56"/>
      <c r="C295" s="56"/>
      <c r="D295" s="81">
        <v>3</v>
      </c>
      <c r="E295" s="82" t="s">
        <v>36</v>
      </c>
      <c r="F295" s="83"/>
      <c r="G295" s="84"/>
      <c r="H295" s="66"/>
      <c r="I295" s="67"/>
      <c r="J295" s="85">
        <v>0</v>
      </c>
      <c r="K295" s="49"/>
      <c r="L295" s="61"/>
      <c r="M295" s="61"/>
      <c r="N295" s="61"/>
    </row>
    <row r="296" spans="1:14" ht="21.75" customHeight="1" x14ac:dyDescent="0.4">
      <c r="A296" s="222"/>
      <c r="B296" s="223">
        <v>3</v>
      </c>
      <c r="C296" s="223" t="s">
        <v>128</v>
      </c>
      <c r="D296" s="224"/>
      <c r="E296" s="224"/>
      <c r="F296" s="224"/>
      <c r="G296" s="225"/>
      <c r="H296" s="226" t="s">
        <v>103</v>
      </c>
      <c r="I296" s="227">
        <f ca="1">SUM(I313,I317,I322)</f>
        <v>225</v>
      </c>
      <c r="J296" s="227">
        <f>J313+J317+J322</f>
        <v>0</v>
      </c>
      <c r="K296" s="228">
        <f t="shared" ref="K296:K297" ca="1" si="68">IF(I296&gt;0,J296*100/I296,0)</f>
        <v>0</v>
      </c>
      <c r="L296" s="229">
        <f t="shared" ref="L296:M296" ca="1" si="69">SUM(L298:L299)</f>
        <v>230370</v>
      </c>
      <c r="M296" s="229">
        <f t="shared" si="69"/>
        <v>0</v>
      </c>
      <c r="N296" s="229">
        <f ca="1">+IF(L296&gt;0,M296*100/L296,0)</f>
        <v>0</v>
      </c>
    </row>
    <row r="297" spans="1:14" ht="21.75" customHeight="1" x14ac:dyDescent="0.4">
      <c r="A297" s="222"/>
      <c r="B297" s="223"/>
      <c r="C297" s="223"/>
      <c r="D297" s="236"/>
      <c r="E297" s="236"/>
      <c r="F297" s="236"/>
      <c r="G297" s="239"/>
      <c r="H297" s="226" t="s">
        <v>16</v>
      </c>
      <c r="I297" s="227">
        <f ca="1">SUM(I312,I316,I321)</f>
        <v>75</v>
      </c>
      <c r="J297" s="227">
        <f ca="1">J311</f>
        <v>0</v>
      </c>
      <c r="K297" s="228">
        <f t="shared" ca="1" si="68"/>
        <v>0</v>
      </c>
      <c r="L297" s="229"/>
      <c r="M297" s="229"/>
      <c r="N297" s="229"/>
    </row>
    <row r="298" spans="1:14" ht="21.75" customHeight="1" x14ac:dyDescent="0.4">
      <c r="A298" s="42"/>
      <c r="B298" s="43"/>
      <c r="C298" s="43" t="s">
        <v>17</v>
      </c>
      <c r="D298" s="44" t="s">
        <v>18</v>
      </c>
      <c r="E298" s="45"/>
      <c r="F298" s="45"/>
      <c r="G298" s="46" t="s">
        <v>19</v>
      </c>
      <c r="H298" s="47" t="s">
        <v>20</v>
      </c>
      <c r="I298" s="48" t="s">
        <v>21</v>
      </c>
      <c r="J298" s="48"/>
      <c r="K298" s="49"/>
      <c r="L298" s="50">
        <v>0</v>
      </c>
      <c r="M298" s="53">
        <v>0</v>
      </c>
      <c r="N298" s="53">
        <f t="shared" ref="N298:N301" si="70">+IF(L298&gt;0,M298*100/L298,0)</f>
        <v>0</v>
      </c>
    </row>
    <row r="299" spans="1:14" ht="21.75" customHeight="1" x14ac:dyDescent="0.4">
      <c r="A299" s="42"/>
      <c r="B299" s="43"/>
      <c r="C299" s="43"/>
      <c r="D299" s="51"/>
      <c r="E299" s="45"/>
      <c r="F299" s="45" t="s">
        <v>21</v>
      </c>
      <c r="G299" s="46" t="s">
        <v>22</v>
      </c>
      <c r="H299" s="47" t="s">
        <v>20</v>
      </c>
      <c r="I299" s="48"/>
      <c r="J299" s="48"/>
      <c r="K299" s="49"/>
      <c r="L299" s="50">
        <f t="shared" ref="L299:M299" ca="1" si="71">SUM(L300:L301)</f>
        <v>230370</v>
      </c>
      <c r="M299" s="53">
        <f t="shared" si="71"/>
        <v>0</v>
      </c>
      <c r="N299" s="53">
        <f t="shared" ca="1" si="70"/>
        <v>0</v>
      </c>
    </row>
    <row r="300" spans="1:14" ht="21.75" customHeight="1" x14ac:dyDescent="0.4">
      <c r="A300" s="42"/>
      <c r="B300" s="43"/>
      <c r="C300" s="43"/>
      <c r="D300" s="51"/>
      <c r="E300" s="45"/>
      <c r="F300" s="45"/>
      <c r="G300" s="52" t="s">
        <v>110</v>
      </c>
      <c r="H300" s="47" t="s">
        <v>20</v>
      </c>
      <c r="I300" s="48"/>
      <c r="J300" s="48"/>
      <c r="K300" s="49"/>
      <c r="L300" s="53">
        <f ca="1">IFERROR(__xludf.DUMMYFUNCTION("IMPORTRANGE(""https://docs.google.com/spreadsheets/d/1C3CXT74ZlgGe6_JY_1olB1XN4rF0dxEuIIF-xsYjHgg/edit?usp=sharing"",""งบกองทุน!z23"")"),0)</f>
        <v>0</v>
      </c>
      <c r="M300" s="53">
        <v>0</v>
      </c>
      <c r="N300" s="53">
        <f t="shared" ca="1" si="70"/>
        <v>0</v>
      </c>
    </row>
    <row r="301" spans="1:14" ht="21.75" customHeight="1" x14ac:dyDescent="0.4">
      <c r="A301" s="42"/>
      <c r="B301" s="43"/>
      <c r="C301" s="43"/>
      <c r="D301" s="51"/>
      <c r="E301" s="45"/>
      <c r="F301" s="45"/>
      <c r="G301" s="52" t="s">
        <v>111</v>
      </c>
      <c r="H301" s="47" t="s">
        <v>20</v>
      </c>
      <c r="I301" s="48"/>
      <c r="J301" s="48"/>
      <c r="K301" s="49"/>
      <c r="L301" s="53">
        <f ca="1">IFERROR(__xludf.DUMMYFUNCTION("IMPORTRANGE(""https://docs.google.com/spreadsheets/d/1C3CXT74ZlgGe6_JY_1olB1XN4rF0dxEuIIF-xsYjHgg/edit?usp=sharing"",""งบกองทุน!aa23"")"),230370)</f>
        <v>230370</v>
      </c>
      <c r="M301" s="53">
        <f>SUM(M302:M305)</f>
        <v>0</v>
      </c>
      <c r="N301" s="53">
        <f t="shared" ca="1" si="70"/>
        <v>0</v>
      </c>
    </row>
    <row r="302" spans="1:14" ht="21.75" customHeight="1" x14ac:dyDescent="0.4">
      <c r="A302" s="230"/>
      <c r="B302" s="231"/>
      <c r="C302" s="43"/>
      <c r="D302" s="232"/>
      <c r="E302" s="45"/>
      <c r="F302" s="45"/>
      <c r="G302" s="46" t="s">
        <v>112</v>
      </c>
      <c r="H302" s="47" t="s">
        <v>20</v>
      </c>
      <c r="I302" s="67"/>
      <c r="J302" s="67"/>
      <c r="K302" s="233"/>
      <c r="L302" s="53"/>
      <c r="M302" s="54">
        <v>0</v>
      </c>
      <c r="N302" s="53"/>
    </row>
    <row r="303" spans="1:14" ht="21.75" customHeight="1" x14ac:dyDescent="0.4">
      <c r="A303" s="230"/>
      <c r="B303" s="231"/>
      <c r="C303" s="43"/>
      <c r="D303" s="232"/>
      <c r="E303" s="45"/>
      <c r="F303" s="45"/>
      <c r="G303" s="46" t="s">
        <v>113</v>
      </c>
      <c r="H303" s="47" t="s">
        <v>20</v>
      </c>
      <c r="I303" s="67"/>
      <c r="J303" s="67"/>
      <c r="K303" s="233"/>
      <c r="L303" s="53"/>
      <c r="M303" s="54">
        <v>0</v>
      </c>
      <c r="N303" s="53"/>
    </row>
    <row r="304" spans="1:14" ht="21.75" customHeight="1" x14ac:dyDescent="0.4">
      <c r="A304" s="230"/>
      <c r="B304" s="231"/>
      <c r="C304" s="43"/>
      <c r="D304" s="232"/>
      <c r="E304" s="45"/>
      <c r="F304" s="45"/>
      <c r="G304" s="46" t="s">
        <v>114</v>
      </c>
      <c r="H304" s="47" t="s">
        <v>20</v>
      </c>
      <c r="I304" s="67"/>
      <c r="J304" s="67"/>
      <c r="K304" s="233"/>
      <c r="L304" s="53"/>
      <c r="M304" s="54">
        <v>0</v>
      </c>
      <c r="N304" s="53"/>
    </row>
    <row r="305" spans="1:14" ht="21.75" customHeight="1" x14ac:dyDescent="0.4">
      <c r="A305" s="230"/>
      <c r="B305" s="231"/>
      <c r="C305" s="43"/>
      <c r="D305" s="232"/>
      <c r="E305" s="45"/>
      <c r="F305" s="45"/>
      <c r="G305" s="46" t="s">
        <v>115</v>
      </c>
      <c r="H305" s="47" t="s">
        <v>20</v>
      </c>
      <c r="I305" s="67"/>
      <c r="J305" s="67"/>
      <c r="K305" s="233"/>
      <c r="L305" s="53"/>
      <c r="M305" s="54">
        <v>0</v>
      </c>
      <c r="N305" s="53"/>
    </row>
    <row r="306" spans="1:14" ht="21.75" customHeight="1" x14ac:dyDescent="0.4">
      <c r="A306" s="55"/>
      <c r="B306" s="56"/>
      <c r="C306" s="43" t="s">
        <v>17</v>
      </c>
      <c r="D306" s="57" t="s">
        <v>25</v>
      </c>
      <c r="E306" s="58"/>
      <c r="F306" s="58"/>
      <c r="G306" s="59"/>
      <c r="H306" s="60"/>
      <c r="I306" s="48"/>
      <c r="J306" s="48"/>
      <c r="K306" s="49"/>
      <c r="L306" s="61"/>
      <c r="M306" s="61"/>
      <c r="N306" s="61"/>
    </row>
    <row r="307" spans="1:14" ht="21.75" customHeight="1" x14ac:dyDescent="0.4">
      <c r="A307" s="55"/>
      <c r="B307" s="56"/>
      <c r="C307" s="56"/>
      <c r="D307" s="62">
        <v>1</v>
      </c>
      <c r="E307" s="63" t="s">
        <v>26</v>
      </c>
      <c r="F307" s="64"/>
      <c r="G307" s="65"/>
      <c r="H307" s="66"/>
      <c r="I307" s="67"/>
      <c r="J307" s="68">
        <v>1</v>
      </c>
      <c r="K307" s="49"/>
      <c r="L307" s="61"/>
      <c r="M307" s="61"/>
      <c r="N307" s="61"/>
    </row>
    <row r="308" spans="1:14" ht="21.75" customHeight="1" x14ac:dyDescent="0.4">
      <c r="A308" s="55"/>
      <c r="B308" s="56"/>
      <c r="C308" s="56"/>
      <c r="D308" s="69">
        <v>2</v>
      </c>
      <c r="E308" s="70" t="s">
        <v>27</v>
      </c>
      <c r="F308" s="71"/>
      <c r="G308" s="72"/>
      <c r="H308" s="66"/>
      <c r="I308" s="67"/>
      <c r="J308" s="68">
        <v>0</v>
      </c>
      <c r="K308" s="49"/>
      <c r="L308" s="61" t="s">
        <v>21</v>
      </c>
      <c r="M308" s="61" t="s">
        <v>21</v>
      </c>
      <c r="N308" s="61"/>
    </row>
    <row r="309" spans="1:14" ht="21.75" customHeight="1" x14ac:dyDescent="0.4">
      <c r="A309" s="55"/>
      <c r="B309" s="56"/>
      <c r="C309" s="56"/>
      <c r="D309" s="73"/>
      <c r="E309" s="74" t="s">
        <v>28</v>
      </c>
      <c r="F309" s="75"/>
      <c r="G309" s="76"/>
      <c r="H309" s="66"/>
      <c r="I309" s="67"/>
      <c r="J309" s="68">
        <v>0</v>
      </c>
      <c r="K309" s="49"/>
      <c r="L309" s="61"/>
      <c r="M309" s="61"/>
      <c r="N309" s="61"/>
    </row>
    <row r="310" spans="1:14" ht="21.75" customHeight="1" x14ac:dyDescent="0.4">
      <c r="A310" s="55"/>
      <c r="B310" s="56"/>
      <c r="C310" s="56"/>
      <c r="D310" s="73"/>
      <c r="E310" s="74" t="s">
        <v>29</v>
      </c>
      <c r="F310" s="75"/>
      <c r="G310" s="76"/>
      <c r="H310" s="66"/>
      <c r="I310" s="67"/>
      <c r="J310" s="68">
        <v>0</v>
      </c>
      <c r="K310" s="49"/>
      <c r="L310" s="61"/>
      <c r="M310" s="61"/>
      <c r="N310" s="61"/>
    </row>
    <row r="311" spans="1:14" ht="21.75" customHeight="1" x14ac:dyDescent="0.4">
      <c r="A311" s="55"/>
      <c r="B311" s="56"/>
      <c r="C311" s="56"/>
      <c r="D311" s="73"/>
      <c r="E311" s="77"/>
      <c r="F311" s="74" t="s">
        <v>50</v>
      </c>
      <c r="G311" s="240"/>
      <c r="H311" s="241" t="s">
        <v>16</v>
      </c>
      <c r="I311" s="79">
        <f t="shared" ref="I311:J311" ca="1" si="72">+I312+I316+I321</f>
        <v>75</v>
      </c>
      <c r="J311" s="79">
        <f t="shared" ca="1" si="72"/>
        <v>0</v>
      </c>
      <c r="K311" s="80">
        <f t="shared" ref="K311:K327" ca="1" si="73">IF(I311&gt;0,J311*100/I311,0)</f>
        <v>0</v>
      </c>
      <c r="L311" s="61"/>
      <c r="M311" s="61"/>
      <c r="N311" s="61"/>
    </row>
    <row r="312" spans="1:14" ht="21.75" customHeight="1" x14ac:dyDescent="0.4">
      <c r="A312" s="55"/>
      <c r="B312" s="56"/>
      <c r="C312" s="56"/>
      <c r="D312" s="73"/>
      <c r="E312" s="77"/>
      <c r="F312" s="242" t="s">
        <v>129</v>
      </c>
      <c r="G312" s="76"/>
      <c r="H312" s="78" t="s">
        <v>16</v>
      </c>
      <c r="I312" s="243">
        <f ca="1">IFERROR(__xludf.DUMMYFUNCTION("IMPORTRANGE(""https://docs.google.com/spreadsheets/d/1C3CXT74ZlgGe6_JY_1olB1XN4rF0dxEuIIF-xsYjHgg/edit?usp=sharing"",""งบกองทุน!ae23"")"),0)</f>
        <v>0</v>
      </c>
      <c r="J312" s="79">
        <f ca="1">IF(AND(J314=I314,J315=I315),I314,0)</f>
        <v>0</v>
      </c>
      <c r="K312" s="80">
        <f t="shared" ca="1" si="73"/>
        <v>0</v>
      </c>
      <c r="L312" s="61"/>
      <c r="M312" s="61"/>
      <c r="N312" s="61"/>
    </row>
    <row r="313" spans="1:14" ht="21.75" customHeight="1" x14ac:dyDescent="0.4">
      <c r="A313" s="55"/>
      <c r="B313" s="56"/>
      <c r="C313" s="56"/>
      <c r="D313" s="73"/>
      <c r="E313" s="77"/>
      <c r="F313" s="75"/>
      <c r="G313" s="76"/>
      <c r="H313" s="78" t="s">
        <v>103</v>
      </c>
      <c r="I313" s="243">
        <f ca="1">IFERROR(__xludf.DUMMYFUNCTION("IMPORTRANGE(""https://docs.google.com/spreadsheets/d/1C3CXT74ZlgGe6_JY_1olB1XN4rF0dxEuIIF-xsYjHgg/edit?usp=sharing"",""งบกองทุน!ad23"")"),0)</f>
        <v>0</v>
      </c>
      <c r="J313" s="79">
        <v>0</v>
      </c>
      <c r="K313" s="80">
        <f t="shared" ca="1" si="73"/>
        <v>0</v>
      </c>
      <c r="L313" s="61"/>
      <c r="M313" s="61"/>
      <c r="N313" s="61"/>
    </row>
    <row r="314" spans="1:14" ht="21.75" customHeight="1" x14ac:dyDescent="0.4">
      <c r="A314" s="55"/>
      <c r="B314" s="56"/>
      <c r="C314" s="56"/>
      <c r="D314" s="73"/>
      <c r="E314" s="77"/>
      <c r="F314" s="75"/>
      <c r="G314" s="99" t="s">
        <v>130</v>
      </c>
      <c r="H314" s="60" t="s">
        <v>16</v>
      </c>
      <c r="I314" s="200">
        <f ca="1">IFERROR(__xludf.DUMMYFUNCTION("IMPORTRANGE(""https://docs.google.com/spreadsheets/d/1C3CXT74ZlgGe6_JY_1olB1XN4rF0dxEuIIF-xsYjHgg/edit?usp=sharing"",""งบกองทุน!af23"")"),0)</f>
        <v>0</v>
      </c>
      <c r="J314" s="67">
        <v>0</v>
      </c>
      <c r="K314" s="49">
        <f t="shared" ca="1" si="73"/>
        <v>0</v>
      </c>
      <c r="L314" s="61"/>
      <c r="M314" s="61"/>
      <c r="N314" s="61"/>
    </row>
    <row r="315" spans="1:14" ht="21.75" customHeight="1" x14ac:dyDescent="0.4">
      <c r="A315" s="105"/>
      <c r="B315" s="106"/>
      <c r="C315" s="106"/>
      <c r="D315" s="244"/>
      <c r="E315" s="245"/>
      <c r="F315" s="204"/>
      <c r="G315" s="246" t="s">
        <v>131</v>
      </c>
      <c r="H315" s="206" t="s">
        <v>16</v>
      </c>
      <c r="I315" s="207">
        <f ca="1">IFERROR(__xludf.DUMMYFUNCTION("IMPORTRANGE(""https://docs.google.com/spreadsheets/d/1C3CXT74ZlgGe6_JY_1olB1XN4rF0dxEuIIF-xsYjHgg/edit?usp=sharing"",""งบกองทุน!ag23"")"),0)</f>
        <v>0</v>
      </c>
      <c r="J315" s="112">
        <v>0</v>
      </c>
      <c r="K315" s="114">
        <f t="shared" ca="1" si="73"/>
        <v>0</v>
      </c>
      <c r="L315" s="115"/>
      <c r="M315" s="115"/>
      <c r="N315" s="115"/>
    </row>
    <row r="316" spans="1:14" ht="21.75" customHeight="1" x14ac:dyDescent="0.4">
      <c r="A316" s="55"/>
      <c r="B316" s="56"/>
      <c r="C316" s="56"/>
      <c r="D316" s="73"/>
      <c r="E316" s="77"/>
      <c r="F316" s="242" t="s">
        <v>132</v>
      </c>
      <c r="G316" s="76"/>
      <c r="H316" s="78" t="s">
        <v>16</v>
      </c>
      <c r="I316" s="243">
        <f ca="1">IFERROR(__xludf.DUMMYFUNCTION("IMPORTRANGE(""https://docs.google.com/spreadsheets/d/1C3CXT74ZlgGe6_JY_1olB1XN4rF0dxEuIIF-xsYjHgg/edit?usp=sharing"",""งบกองทุน!ai23"")"),65)</f>
        <v>65</v>
      </c>
      <c r="J316" s="79">
        <f ca="1">IF(AND(J318=I318,J319=I319,J320=I320),I318,0)</f>
        <v>0</v>
      </c>
      <c r="K316" s="80">
        <f t="shared" ca="1" si="73"/>
        <v>0</v>
      </c>
      <c r="L316" s="61"/>
      <c r="M316" s="61"/>
      <c r="N316" s="61"/>
    </row>
    <row r="317" spans="1:14" ht="21.75" customHeight="1" x14ac:dyDescent="0.4">
      <c r="A317" s="55"/>
      <c r="B317" s="56"/>
      <c r="C317" s="56"/>
      <c r="D317" s="73"/>
      <c r="E317" s="77"/>
      <c r="F317" s="75"/>
      <c r="G317" s="76"/>
      <c r="H317" s="78" t="s">
        <v>103</v>
      </c>
      <c r="I317" s="243">
        <f ca="1">IFERROR(__xludf.DUMMYFUNCTION("IMPORTRANGE(""https://docs.google.com/spreadsheets/d/1C3CXT74ZlgGe6_JY_1olB1XN4rF0dxEuIIF-xsYjHgg/edit?usp=sharing"",""งบกองทุน!ah23"")"),195)</f>
        <v>195</v>
      </c>
      <c r="J317" s="154">
        <v>0</v>
      </c>
      <c r="K317" s="80">
        <f t="shared" ca="1" si="73"/>
        <v>0</v>
      </c>
      <c r="L317" s="61"/>
      <c r="M317" s="61"/>
      <c r="N317" s="61"/>
    </row>
    <row r="318" spans="1:14" ht="21.75" customHeight="1" x14ac:dyDescent="0.4">
      <c r="A318" s="55"/>
      <c r="B318" s="56"/>
      <c r="C318" s="56"/>
      <c r="D318" s="73"/>
      <c r="E318" s="77"/>
      <c r="F318" s="75"/>
      <c r="G318" s="99" t="s">
        <v>133</v>
      </c>
      <c r="H318" s="60" t="s">
        <v>16</v>
      </c>
      <c r="I318" s="200">
        <f ca="1">IFERROR(__xludf.DUMMYFUNCTION("IMPORTRANGE(""https://docs.google.com/spreadsheets/d/1C3CXT74ZlgGe6_JY_1olB1XN4rF0dxEuIIF-xsYjHgg/edit?usp=sharing"",""งบกองทุน!aj23"")"),65)</f>
        <v>65</v>
      </c>
      <c r="J318" s="68">
        <v>0</v>
      </c>
      <c r="K318" s="49">
        <f t="shared" ca="1" si="73"/>
        <v>0</v>
      </c>
      <c r="L318" s="61"/>
      <c r="M318" s="61"/>
      <c r="N318" s="61"/>
    </row>
    <row r="319" spans="1:14" ht="21.75" customHeight="1" x14ac:dyDescent="0.4">
      <c r="A319" s="55"/>
      <c r="B319" s="56"/>
      <c r="C319" s="56"/>
      <c r="D319" s="73"/>
      <c r="E319" s="77"/>
      <c r="F319" s="75"/>
      <c r="G319" s="99" t="s">
        <v>134</v>
      </c>
      <c r="H319" s="60" t="s">
        <v>16</v>
      </c>
      <c r="I319" s="200">
        <f ca="1">IFERROR(__xludf.DUMMYFUNCTION("IMPORTRANGE(""https://docs.google.com/spreadsheets/d/1C3CXT74ZlgGe6_JY_1olB1XN4rF0dxEuIIF-xsYjHgg/edit?usp=sharing"",""งบกองทุน!ak23"")"),65)</f>
        <v>65</v>
      </c>
      <c r="J319" s="68">
        <v>0</v>
      </c>
      <c r="K319" s="49">
        <f t="shared" ca="1" si="73"/>
        <v>0</v>
      </c>
      <c r="L319" s="61"/>
      <c r="M319" s="61"/>
      <c r="N319" s="61"/>
    </row>
    <row r="320" spans="1:14" ht="21.75" customHeight="1" x14ac:dyDescent="0.4">
      <c r="A320" s="55"/>
      <c r="B320" s="56"/>
      <c r="C320" s="56"/>
      <c r="D320" s="73"/>
      <c r="E320" s="77"/>
      <c r="F320" s="75"/>
      <c r="G320" s="99" t="s">
        <v>135</v>
      </c>
      <c r="H320" s="60" t="s">
        <v>16</v>
      </c>
      <c r="I320" s="200">
        <f ca="1">IFERROR(__xludf.DUMMYFUNCTION("IMPORTRANGE(""https://docs.google.com/spreadsheets/d/1C3CXT74ZlgGe6_JY_1olB1XN4rF0dxEuIIF-xsYjHgg/edit?usp=sharing"",""งบกองทุน!al23"")"),65)</f>
        <v>65</v>
      </c>
      <c r="J320" s="68">
        <v>0</v>
      </c>
      <c r="K320" s="49">
        <f t="shared" ca="1" si="73"/>
        <v>0</v>
      </c>
      <c r="L320" s="61"/>
      <c r="M320" s="61"/>
      <c r="N320" s="61"/>
    </row>
    <row r="321" spans="1:14" ht="21.75" customHeight="1" x14ac:dyDescent="0.4">
      <c r="A321" s="55"/>
      <c r="B321" s="56"/>
      <c r="C321" s="56"/>
      <c r="D321" s="73"/>
      <c r="E321" s="77"/>
      <c r="F321" s="242" t="s">
        <v>136</v>
      </c>
      <c r="G321" s="76"/>
      <c r="H321" s="78" t="s">
        <v>16</v>
      </c>
      <c r="I321" s="243">
        <f ca="1">IFERROR(__xludf.DUMMYFUNCTION("IMPORTRANGE(""https://docs.google.com/spreadsheets/d/1C3CXT74ZlgGe6_JY_1olB1XN4rF0dxEuIIF-xsYjHgg/edit?usp=sharing"",""งบกองทุน!an23"")"),10)</f>
        <v>10</v>
      </c>
      <c r="J321" s="79">
        <f ca="1">IF(AND(J323=I323,J324=I324),I323,0)</f>
        <v>0</v>
      </c>
      <c r="K321" s="80">
        <f t="shared" ca="1" si="73"/>
        <v>0</v>
      </c>
      <c r="L321" s="61"/>
      <c r="M321" s="61"/>
      <c r="N321" s="61"/>
    </row>
    <row r="322" spans="1:14" ht="21.75" customHeight="1" x14ac:dyDescent="0.4">
      <c r="A322" s="55"/>
      <c r="B322" s="56"/>
      <c r="C322" s="56"/>
      <c r="D322" s="73"/>
      <c r="E322" s="77"/>
      <c r="F322" s="75"/>
      <c r="G322" s="76"/>
      <c r="H322" s="78" t="s">
        <v>103</v>
      </c>
      <c r="I322" s="243">
        <f ca="1">IFERROR(__xludf.DUMMYFUNCTION("IMPORTRANGE(""https://docs.google.com/spreadsheets/d/1C3CXT74ZlgGe6_JY_1olB1XN4rF0dxEuIIF-xsYjHgg/edit?usp=sharing"",""งบกองทุน!am23"")"),30)</f>
        <v>30</v>
      </c>
      <c r="J322" s="154">
        <v>0</v>
      </c>
      <c r="K322" s="80">
        <f t="shared" ca="1" si="73"/>
        <v>0</v>
      </c>
      <c r="L322" s="61"/>
      <c r="M322" s="61"/>
      <c r="N322" s="61"/>
    </row>
    <row r="323" spans="1:14" ht="21.75" customHeight="1" x14ac:dyDescent="0.4">
      <c r="A323" s="55"/>
      <c r="B323" s="56"/>
      <c r="C323" s="56"/>
      <c r="D323" s="73"/>
      <c r="E323" s="77"/>
      <c r="F323" s="75"/>
      <c r="G323" s="99" t="s">
        <v>137</v>
      </c>
      <c r="H323" s="60" t="s">
        <v>16</v>
      </c>
      <c r="I323" s="248">
        <f ca="1">IFERROR(__xludf.DUMMYFUNCTION("IMPORTRANGE(""https://docs.google.com/spreadsheets/d/1C3CXT74ZlgGe6_JY_1olB1XN4rF0dxEuIIF-xsYjHgg/edit?usp=sharing"",""งบกองทุน!ao23"")"),10)</f>
        <v>10</v>
      </c>
      <c r="J323" s="68">
        <v>0</v>
      </c>
      <c r="K323" s="49">
        <f t="shared" ca="1" si="73"/>
        <v>0</v>
      </c>
      <c r="L323" s="61"/>
      <c r="M323" s="61"/>
      <c r="N323" s="61"/>
    </row>
    <row r="324" spans="1:14" ht="21.75" customHeight="1" x14ac:dyDescent="0.4">
      <c r="A324" s="55"/>
      <c r="B324" s="56"/>
      <c r="C324" s="56"/>
      <c r="D324" s="73"/>
      <c r="E324" s="77"/>
      <c r="F324" s="75"/>
      <c r="G324" s="99" t="s">
        <v>138</v>
      </c>
      <c r="H324" s="60" t="s">
        <v>16</v>
      </c>
      <c r="I324" s="248">
        <f ca="1">IFERROR(__xludf.DUMMYFUNCTION("IMPORTRANGE(""https://docs.google.com/spreadsheets/d/1C3CXT74ZlgGe6_JY_1olB1XN4rF0dxEuIIF-xsYjHgg/edit?usp=sharing"",""งบกองทุน!ap23"")"),10)</f>
        <v>10</v>
      </c>
      <c r="J324" s="68">
        <v>0</v>
      </c>
      <c r="K324" s="49">
        <f t="shared" ca="1" si="73"/>
        <v>0</v>
      </c>
      <c r="L324" s="61"/>
      <c r="M324" s="61"/>
      <c r="N324" s="61"/>
    </row>
    <row r="325" spans="1:14" ht="21.75" customHeight="1" x14ac:dyDescent="0.4">
      <c r="A325" s="55"/>
      <c r="B325" s="56"/>
      <c r="C325" s="56"/>
      <c r="D325" s="73"/>
      <c r="E325" s="77"/>
      <c r="F325" s="74" t="s">
        <v>34</v>
      </c>
      <c r="G325" s="240"/>
      <c r="H325" s="241" t="s">
        <v>16</v>
      </c>
      <c r="I325" s="79">
        <f ca="1">SUM(I326,I327)</f>
        <v>65</v>
      </c>
      <c r="J325" s="79">
        <f ca="1">IF(AND(J326=I326,J327=I327),I325,0)</f>
        <v>0</v>
      </c>
      <c r="K325" s="80">
        <f t="shared" ca="1" si="73"/>
        <v>0</v>
      </c>
      <c r="L325" s="61"/>
      <c r="M325" s="61"/>
      <c r="N325" s="61"/>
    </row>
    <row r="326" spans="1:14" ht="21.75" customHeight="1" x14ac:dyDescent="0.4">
      <c r="A326" s="249"/>
      <c r="B326" s="250"/>
      <c r="C326" s="250"/>
      <c r="D326" s="251"/>
      <c r="E326" s="77"/>
      <c r="F326" s="75"/>
      <c r="G326" s="99" t="s">
        <v>139</v>
      </c>
      <c r="H326" s="60" t="s">
        <v>16</v>
      </c>
      <c r="I326" s="248">
        <f ca="1">IFERROR(__xludf.DUMMYFUNCTION("IMPORTRANGE(""https://docs.google.com/spreadsheets/d/1C3CXT74ZlgGe6_JY_1olB1XN4rF0dxEuIIF-xsYjHgg/edit?usp=sharing"",""งบกองทุน!ar23"")"),0)</f>
        <v>0</v>
      </c>
      <c r="J326" s="67">
        <v>0</v>
      </c>
      <c r="K326" s="49">
        <f t="shared" ca="1" si="73"/>
        <v>0</v>
      </c>
      <c r="L326" s="61"/>
      <c r="M326" s="61"/>
      <c r="N326" s="61"/>
    </row>
    <row r="327" spans="1:14" ht="21.75" customHeight="1" x14ac:dyDescent="0.4">
      <c r="A327" s="249"/>
      <c r="B327" s="250"/>
      <c r="C327" s="250"/>
      <c r="D327" s="251"/>
      <c r="E327" s="77"/>
      <c r="F327" s="75"/>
      <c r="G327" s="99" t="s">
        <v>140</v>
      </c>
      <c r="H327" s="60" t="s">
        <v>16</v>
      </c>
      <c r="I327" s="248">
        <f ca="1">IFERROR(__xludf.DUMMYFUNCTION("IMPORTRANGE(""https://docs.google.com/spreadsheets/d/1C3CXT74ZlgGe6_JY_1olB1XN4rF0dxEuIIF-xsYjHgg/edit?usp=sharing"",""งบกองทุน!as23"")"),65)</f>
        <v>65</v>
      </c>
      <c r="J327" s="68">
        <v>0</v>
      </c>
      <c r="K327" s="49">
        <f t="shared" ca="1" si="73"/>
        <v>0</v>
      </c>
      <c r="L327" s="61"/>
      <c r="M327" s="61"/>
      <c r="N327" s="61"/>
    </row>
    <row r="328" spans="1:14" ht="21.75" customHeight="1" x14ac:dyDescent="0.4">
      <c r="A328" s="55"/>
      <c r="B328" s="56"/>
      <c r="C328" s="56"/>
      <c r="D328" s="73"/>
      <c r="E328" s="74" t="s">
        <v>35</v>
      </c>
      <c r="F328" s="75"/>
      <c r="G328" s="76"/>
      <c r="H328" s="66"/>
      <c r="I328" s="67"/>
      <c r="J328" s="68">
        <v>0</v>
      </c>
      <c r="K328" s="49"/>
      <c r="L328" s="61"/>
      <c r="M328" s="61"/>
      <c r="N328" s="61"/>
    </row>
    <row r="329" spans="1:14" ht="21.75" customHeight="1" x14ac:dyDescent="0.4">
      <c r="A329" s="55"/>
      <c r="B329" s="56"/>
      <c r="C329" s="56"/>
      <c r="D329" s="81">
        <v>3</v>
      </c>
      <c r="E329" s="82" t="s">
        <v>36</v>
      </c>
      <c r="F329" s="83"/>
      <c r="G329" s="84"/>
      <c r="H329" s="66"/>
      <c r="I329" s="67"/>
      <c r="J329" s="85">
        <v>0</v>
      </c>
      <c r="K329" s="49"/>
      <c r="L329" s="61"/>
      <c r="M329" s="61"/>
      <c r="N329" s="61"/>
    </row>
    <row r="330" spans="1:14" ht="21.75" customHeight="1" x14ac:dyDescent="0.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20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95000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4">
      <c r="A331" s="42"/>
      <c r="B331" s="43"/>
      <c r="C331" s="43" t="s">
        <v>17</v>
      </c>
      <c r="D331" s="44" t="s">
        <v>18</v>
      </c>
      <c r="E331" s="45"/>
      <c r="F331" s="45"/>
      <c r="G331" s="46" t="s">
        <v>19</v>
      </c>
      <c r="H331" s="47" t="s">
        <v>20</v>
      </c>
      <c r="I331" s="48" t="s">
        <v>21</v>
      </c>
      <c r="J331" s="48"/>
      <c r="K331" s="49"/>
      <c r="L331" s="50">
        <v>0</v>
      </c>
      <c r="M331" s="53">
        <v>0</v>
      </c>
      <c r="N331" s="53">
        <f t="shared" si="75"/>
        <v>0</v>
      </c>
    </row>
    <row r="332" spans="1:14" ht="21.75" customHeight="1" x14ac:dyDescent="0.4">
      <c r="A332" s="42"/>
      <c r="B332" s="43"/>
      <c r="C332" s="43"/>
      <c r="D332" s="51"/>
      <c r="E332" s="45"/>
      <c r="F332" s="45" t="s">
        <v>21</v>
      </c>
      <c r="G332" s="46" t="s">
        <v>22</v>
      </c>
      <c r="H332" s="47" t="s">
        <v>20</v>
      </c>
      <c r="I332" s="48"/>
      <c r="J332" s="48"/>
      <c r="K332" s="49"/>
      <c r="L332" s="50">
        <f t="shared" ref="L332:M332" ca="1" si="76">SUM(L333:L334)</f>
        <v>95000</v>
      </c>
      <c r="M332" s="53">
        <f t="shared" si="76"/>
        <v>0</v>
      </c>
      <c r="N332" s="53">
        <f t="shared" ca="1" si="75"/>
        <v>0</v>
      </c>
    </row>
    <row r="333" spans="1:14" ht="21.75" customHeight="1" x14ac:dyDescent="0.4">
      <c r="A333" s="42"/>
      <c r="B333" s="43"/>
      <c r="C333" s="43"/>
      <c r="D333" s="51"/>
      <c r="E333" s="45"/>
      <c r="F333" s="45"/>
      <c r="G333" s="52" t="s">
        <v>110</v>
      </c>
      <c r="H333" s="47" t="s">
        <v>20</v>
      </c>
      <c r="I333" s="48"/>
      <c r="J333" s="48"/>
      <c r="K333" s="49"/>
      <c r="L333" s="53">
        <f ca="1">IFERROR(__xludf.DUMMYFUNCTION("IMPORTRANGE(""https://docs.google.com/spreadsheets/d/1C3CXT74ZlgGe6_JY_1olB1XN4rF0dxEuIIF-xsYjHgg/edit?usp=sharing"",""งบกองทุน!au23"")"),0)</f>
        <v>0</v>
      </c>
      <c r="M333" s="53">
        <v>0</v>
      </c>
      <c r="N333" s="53">
        <f t="shared" ca="1" si="75"/>
        <v>0</v>
      </c>
    </row>
    <row r="334" spans="1:14" ht="21.75" customHeight="1" x14ac:dyDescent="0.4">
      <c r="A334" s="42"/>
      <c r="B334" s="43"/>
      <c r="C334" s="43"/>
      <c r="D334" s="51"/>
      <c r="E334" s="45"/>
      <c r="F334" s="45"/>
      <c r="G334" s="52" t="s">
        <v>111</v>
      </c>
      <c r="H334" s="47" t="s">
        <v>20</v>
      </c>
      <c r="I334" s="48"/>
      <c r="J334" s="48"/>
      <c r="K334" s="49"/>
      <c r="L334" s="53">
        <f ca="1">IFERROR(__xludf.DUMMYFUNCTION("IMPORTRANGE(""https://docs.google.com/spreadsheets/d/1C3CXT74ZlgGe6_JY_1olB1XN4rF0dxEuIIF-xsYjHgg/edit?usp=sharing"",""งบกองทุน!av23"")"),95000)</f>
        <v>95000</v>
      </c>
      <c r="M334" s="53">
        <f>SUM(M335:M338)</f>
        <v>0</v>
      </c>
      <c r="N334" s="53">
        <f t="shared" ca="1" si="75"/>
        <v>0</v>
      </c>
    </row>
    <row r="335" spans="1:14" ht="21.75" customHeight="1" x14ac:dyDescent="0.4">
      <c r="A335" s="230"/>
      <c r="B335" s="231"/>
      <c r="C335" s="43"/>
      <c r="D335" s="232"/>
      <c r="E335" s="45"/>
      <c r="F335" s="45"/>
      <c r="G335" s="46" t="s">
        <v>112</v>
      </c>
      <c r="H335" s="47" t="s">
        <v>20</v>
      </c>
      <c r="I335" s="67"/>
      <c r="J335" s="67"/>
      <c r="K335" s="233"/>
      <c r="L335" s="53"/>
      <c r="M335" s="54">
        <v>0</v>
      </c>
      <c r="N335" s="53"/>
    </row>
    <row r="336" spans="1:14" ht="21.75" customHeight="1" x14ac:dyDescent="0.4">
      <c r="A336" s="230"/>
      <c r="B336" s="231"/>
      <c r="C336" s="43"/>
      <c r="D336" s="232"/>
      <c r="E336" s="45"/>
      <c r="F336" s="45"/>
      <c r="G336" s="46" t="s">
        <v>113</v>
      </c>
      <c r="H336" s="47" t="s">
        <v>20</v>
      </c>
      <c r="I336" s="67"/>
      <c r="J336" s="67"/>
      <c r="K336" s="233"/>
      <c r="L336" s="53"/>
      <c r="M336" s="54">
        <v>0</v>
      </c>
      <c r="N336" s="53"/>
    </row>
    <row r="337" spans="1:14" ht="21.75" customHeight="1" x14ac:dyDescent="0.4">
      <c r="A337" s="230"/>
      <c r="B337" s="231"/>
      <c r="C337" s="43"/>
      <c r="D337" s="232"/>
      <c r="E337" s="45"/>
      <c r="F337" s="45"/>
      <c r="G337" s="46" t="s">
        <v>114</v>
      </c>
      <c r="H337" s="47" t="s">
        <v>20</v>
      </c>
      <c r="I337" s="67"/>
      <c r="J337" s="67"/>
      <c r="K337" s="233"/>
      <c r="L337" s="53"/>
      <c r="M337" s="54">
        <v>0</v>
      </c>
      <c r="N337" s="53"/>
    </row>
    <row r="338" spans="1:14" ht="21.75" customHeight="1" x14ac:dyDescent="0.4">
      <c r="A338" s="230"/>
      <c r="B338" s="231"/>
      <c r="C338" s="43"/>
      <c r="D338" s="232"/>
      <c r="E338" s="45"/>
      <c r="F338" s="45"/>
      <c r="G338" s="46" t="s">
        <v>115</v>
      </c>
      <c r="H338" s="47" t="s">
        <v>20</v>
      </c>
      <c r="I338" s="67"/>
      <c r="J338" s="67"/>
      <c r="K338" s="233"/>
      <c r="L338" s="53"/>
      <c r="M338" s="54">
        <v>0</v>
      </c>
      <c r="N338" s="53"/>
    </row>
    <row r="339" spans="1:14" ht="21.75" customHeight="1" x14ac:dyDescent="0.4">
      <c r="A339" s="55"/>
      <c r="B339" s="56"/>
      <c r="C339" s="43" t="s">
        <v>17</v>
      </c>
      <c r="D339" s="57" t="s">
        <v>25</v>
      </c>
      <c r="E339" s="58"/>
      <c r="F339" s="58"/>
      <c r="G339" s="59"/>
      <c r="H339" s="60"/>
      <c r="I339" s="48"/>
      <c r="J339" s="48"/>
      <c r="K339" s="49"/>
      <c r="L339" s="61"/>
      <c r="M339" s="61"/>
      <c r="N339" s="61"/>
    </row>
    <row r="340" spans="1:14" ht="21.75" customHeight="1" x14ac:dyDescent="0.4">
      <c r="A340" s="55"/>
      <c r="B340" s="56"/>
      <c r="C340" s="56"/>
      <c r="D340" s="62">
        <v>1</v>
      </c>
      <c r="E340" s="63" t="s">
        <v>26</v>
      </c>
      <c r="F340" s="64"/>
      <c r="G340" s="65"/>
      <c r="H340" s="66"/>
      <c r="I340" s="67"/>
      <c r="J340" s="85"/>
      <c r="K340" s="49"/>
      <c r="L340" s="61"/>
      <c r="M340" s="61"/>
      <c r="N340" s="61"/>
    </row>
    <row r="341" spans="1:14" ht="21.75" customHeight="1" x14ac:dyDescent="0.4">
      <c r="A341" s="55"/>
      <c r="B341" s="56"/>
      <c r="C341" s="56"/>
      <c r="D341" s="69">
        <v>2</v>
      </c>
      <c r="E341" s="70" t="s">
        <v>27</v>
      </c>
      <c r="F341" s="71"/>
      <c r="G341" s="72"/>
      <c r="H341" s="66"/>
      <c r="I341" s="67"/>
      <c r="J341" s="85">
        <v>1</v>
      </c>
      <c r="K341" s="49"/>
      <c r="L341" s="61" t="s">
        <v>21</v>
      </c>
      <c r="M341" s="61" t="s">
        <v>21</v>
      </c>
      <c r="N341" s="61"/>
    </row>
    <row r="342" spans="1:14" ht="21.75" customHeight="1" x14ac:dyDescent="0.4">
      <c r="A342" s="55"/>
      <c r="B342" s="56"/>
      <c r="C342" s="56"/>
      <c r="D342" s="73"/>
      <c r="E342" s="74" t="s">
        <v>142</v>
      </c>
      <c r="F342" s="75"/>
      <c r="G342" s="76"/>
      <c r="H342" s="66"/>
      <c r="I342" s="67"/>
      <c r="J342" s="68">
        <v>1</v>
      </c>
      <c r="K342" s="49"/>
      <c r="L342" s="61"/>
      <c r="M342" s="61"/>
      <c r="N342" s="61"/>
    </row>
    <row r="343" spans="1:14" ht="21.75" customHeight="1" x14ac:dyDescent="0.4">
      <c r="A343" s="55"/>
      <c r="B343" s="56"/>
      <c r="C343" s="56"/>
      <c r="D343" s="73"/>
      <c r="E343" s="74" t="s">
        <v>29</v>
      </c>
      <c r="F343" s="75"/>
      <c r="G343" s="76"/>
      <c r="H343" s="66"/>
      <c r="I343" s="67"/>
      <c r="J343" s="68">
        <v>0</v>
      </c>
      <c r="K343" s="49"/>
      <c r="L343" s="61"/>
      <c r="M343" s="61"/>
      <c r="N343" s="61"/>
    </row>
    <row r="344" spans="1:14" ht="21.75" customHeight="1" x14ac:dyDescent="0.4">
      <c r="A344" s="55"/>
      <c r="B344" s="56"/>
      <c r="C344" s="56"/>
      <c r="D344" s="73"/>
      <c r="E344" s="77"/>
      <c r="F344" s="260" t="s">
        <v>82</v>
      </c>
      <c r="G344" s="76"/>
      <c r="H344" s="66" t="s">
        <v>16</v>
      </c>
      <c r="I344" s="243">
        <f t="shared" ref="I344:J344" ca="1" si="77">+I345+I346+I347</f>
        <v>20</v>
      </c>
      <c r="J344" s="79">
        <f t="shared" si="77"/>
        <v>0</v>
      </c>
      <c r="K344" s="49">
        <f t="shared" ref="K344:K347" ca="1" si="78">IF(I344&gt;0,J344*100/I344,0)</f>
        <v>0</v>
      </c>
      <c r="L344" s="61"/>
      <c r="M344" s="61"/>
      <c r="N344" s="61"/>
    </row>
    <row r="345" spans="1:14" ht="21.75" customHeight="1" x14ac:dyDescent="0.4">
      <c r="A345" s="55"/>
      <c r="B345" s="56"/>
      <c r="C345" s="56"/>
      <c r="D345" s="73"/>
      <c r="E345" s="77"/>
      <c r="F345" s="75"/>
      <c r="G345" s="99" t="s">
        <v>143</v>
      </c>
      <c r="H345" s="66" t="s">
        <v>16</v>
      </c>
      <c r="I345" s="200">
        <f ca="1">IFERROR(__xludf.DUMMYFUNCTION("IMPORTRANGE(""https://docs.google.com/spreadsheets/d/1C3CXT74ZlgGe6_JY_1olB1XN4rF0dxEuIIF-xsYjHgg/edit?usp=sharing"",""งบกองทุน!ay23"")"),20)</f>
        <v>20</v>
      </c>
      <c r="J345" s="68">
        <v>0</v>
      </c>
      <c r="K345" s="49">
        <f t="shared" ca="1" si="78"/>
        <v>0</v>
      </c>
      <c r="L345" s="61"/>
      <c r="M345" s="61"/>
      <c r="N345" s="61"/>
    </row>
    <row r="346" spans="1:14" ht="21.75" customHeight="1" x14ac:dyDescent="0.4">
      <c r="A346" s="55"/>
      <c r="B346" s="56"/>
      <c r="C346" s="56"/>
      <c r="D346" s="73"/>
      <c r="E346" s="77"/>
      <c r="F346" s="75"/>
      <c r="G346" s="76" t="s">
        <v>229</v>
      </c>
      <c r="H346" s="66" t="s">
        <v>16</v>
      </c>
      <c r="I346" s="200">
        <f ca="1">IFERROR(__xludf.DUMMYFUNCTION("IMPORTRANGE(""https://docs.google.com/spreadsheets/d/1C3CXT74ZlgGe6_JY_1olB1XN4rF0dxEuIIF-xsYjHgg/edit?usp=sharing"",""งบกองทุน!az23"")"),0)</f>
        <v>0</v>
      </c>
      <c r="J346" s="67">
        <v>0</v>
      </c>
      <c r="K346" s="49">
        <f t="shared" ca="1" si="78"/>
        <v>0</v>
      </c>
      <c r="L346" s="61"/>
      <c r="M346" s="61"/>
      <c r="N346" s="61"/>
    </row>
    <row r="347" spans="1:14" ht="21.75" customHeight="1" x14ac:dyDescent="0.4">
      <c r="A347" s="55"/>
      <c r="B347" s="56"/>
      <c r="C347" s="56"/>
      <c r="D347" s="73"/>
      <c r="E347" s="77"/>
      <c r="F347" s="75"/>
      <c r="G347" s="76" t="s">
        <v>145</v>
      </c>
      <c r="H347" s="66" t="s">
        <v>16</v>
      </c>
      <c r="I347" s="67">
        <f ca="1">IFERROR(__xludf.DUMMYFUNCTION("IMPORTRANGE(""https://docs.google.com/spreadsheets/d/1C3CXT74ZlgGe6_JY_1olB1XN4rF0dxEuIIF-xsYjHgg/edit?usp=sharing"",""งบกองทุน!Ba23"")"),0)</f>
        <v>0</v>
      </c>
      <c r="J347" s="67">
        <v>0</v>
      </c>
      <c r="K347" s="49">
        <f t="shared" ca="1" si="78"/>
        <v>0</v>
      </c>
      <c r="L347" s="61"/>
      <c r="M347" s="61"/>
      <c r="N347" s="61"/>
    </row>
    <row r="348" spans="1:14" ht="21.75" customHeight="1" x14ac:dyDescent="0.4">
      <c r="A348" s="55"/>
      <c r="B348" s="56"/>
      <c r="C348" s="56"/>
      <c r="D348" s="73"/>
      <c r="E348" s="74" t="s">
        <v>35</v>
      </c>
      <c r="F348" s="75"/>
      <c r="G348" s="76"/>
      <c r="H348" s="66"/>
      <c r="I348" s="67"/>
      <c r="J348" s="68">
        <v>0</v>
      </c>
      <c r="K348" s="49"/>
      <c r="L348" s="61"/>
      <c r="M348" s="61"/>
      <c r="N348" s="61"/>
    </row>
    <row r="349" spans="1:14" ht="21.75" customHeight="1" x14ac:dyDescent="0.4">
      <c r="A349" s="55"/>
      <c r="B349" s="56"/>
      <c r="C349" s="56"/>
      <c r="D349" s="81">
        <v>3</v>
      </c>
      <c r="E349" s="82" t="s">
        <v>36</v>
      </c>
      <c r="F349" s="83"/>
      <c r="G349" s="84"/>
      <c r="H349" s="66"/>
      <c r="I349" s="67"/>
      <c r="J349" s="85">
        <v>0</v>
      </c>
      <c r="K349" s="49"/>
      <c r="L349" s="61"/>
      <c r="M349" s="61"/>
      <c r="N349" s="61"/>
    </row>
    <row r="350" spans="1:14" ht="21.75" customHeight="1" x14ac:dyDescent="0.4">
      <c r="A350" s="222"/>
      <c r="B350" s="223">
        <v>5</v>
      </c>
      <c r="C350" s="224" t="s">
        <v>146</v>
      </c>
      <c r="D350" s="224"/>
      <c r="E350" s="224"/>
      <c r="F350" s="224"/>
      <c r="G350" s="225"/>
      <c r="H350" s="226" t="s">
        <v>103</v>
      </c>
      <c r="I350" s="227">
        <f ca="1">I359</f>
        <v>53199</v>
      </c>
      <c r="J350" s="227">
        <f>+J359</f>
        <v>0</v>
      </c>
      <c r="K350" s="228">
        <f ca="1">IF(I350&gt;0,J350*100/I350,0)</f>
        <v>0</v>
      </c>
      <c r="L350" s="229">
        <f t="shared" ref="L350:M350" ca="1" si="79">SUM(L351:L352)</f>
        <v>462178</v>
      </c>
      <c r="M350" s="229">
        <f t="shared" si="79"/>
        <v>0</v>
      </c>
      <c r="N350" s="229">
        <f t="shared" ref="N350:N354" ca="1" si="80">+IF(L350&gt;0,M350*100/L350,0)</f>
        <v>0</v>
      </c>
    </row>
    <row r="351" spans="1:14" ht="21.75" customHeight="1" x14ac:dyDescent="0.4">
      <c r="A351" s="42"/>
      <c r="B351" s="43"/>
      <c r="C351" s="43" t="s">
        <v>17</v>
      </c>
      <c r="D351" s="44" t="s">
        <v>18</v>
      </c>
      <c r="E351" s="45"/>
      <c r="F351" s="45"/>
      <c r="G351" s="46" t="s">
        <v>19</v>
      </c>
      <c r="H351" s="47" t="s">
        <v>20</v>
      </c>
      <c r="I351" s="48" t="s">
        <v>21</v>
      </c>
      <c r="J351" s="48"/>
      <c r="K351" s="49"/>
      <c r="L351" s="50">
        <v>0</v>
      </c>
      <c r="M351" s="53">
        <v>0</v>
      </c>
      <c r="N351" s="53">
        <f t="shared" si="80"/>
        <v>0</v>
      </c>
    </row>
    <row r="352" spans="1:14" ht="21.75" customHeight="1" x14ac:dyDescent="0.4">
      <c r="A352" s="42"/>
      <c r="B352" s="43"/>
      <c r="C352" s="43"/>
      <c r="D352" s="51"/>
      <c r="E352" s="45"/>
      <c r="F352" s="45" t="s">
        <v>21</v>
      </c>
      <c r="G352" s="46" t="s">
        <v>22</v>
      </c>
      <c r="H352" s="47" t="s">
        <v>20</v>
      </c>
      <c r="I352" s="48"/>
      <c r="J352" s="48"/>
      <c r="K352" s="49"/>
      <c r="L352" s="50">
        <f t="shared" ref="L352:M352" ca="1" si="81">SUM(L353:L354)</f>
        <v>462178</v>
      </c>
      <c r="M352" s="53">
        <f t="shared" si="81"/>
        <v>0</v>
      </c>
      <c r="N352" s="53">
        <f t="shared" ca="1" si="80"/>
        <v>0</v>
      </c>
    </row>
    <row r="353" spans="1:14" ht="21.75" customHeight="1" x14ac:dyDescent="0.4">
      <c r="A353" s="42"/>
      <c r="B353" s="43"/>
      <c r="C353" s="43"/>
      <c r="D353" s="51"/>
      <c r="E353" s="45"/>
      <c r="F353" s="45"/>
      <c r="G353" s="52" t="s">
        <v>110</v>
      </c>
      <c r="H353" s="47" t="s">
        <v>20</v>
      </c>
      <c r="I353" s="48"/>
      <c r="J353" s="48"/>
      <c r="K353" s="49"/>
      <c r="L353" s="53">
        <f ca="1">IFERROR(__xludf.DUMMYFUNCTION("IMPORTRANGE(""https://docs.google.com/spreadsheets/d/1C3CXT74ZlgGe6_JY_1olB1XN4rF0dxEuIIF-xsYjHgg/edit?usp=sharing"",""งบกองทุน!Bc23"")"),0)</f>
        <v>0</v>
      </c>
      <c r="M353" s="53">
        <v>0</v>
      </c>
      <c r="N353" s="53">
        <f t="shared" ca="1" si="80"/>
        <v>0</v>
      </c>
    </row>
    <row r="354" spans="1:14" ht="21.75" customHeight="1" x14ac:dyDescent="0.4">
      <c r="A354" s="42"/>
      <c r="B354" s="43"/>
      <c r="C354" s="43"/>
      <c r="D354" s="51"/>
      <c r="E354" s="45"/>
      <c r="F354" s="45"/>
      <c r="G354" s="52" t="s">
        <v>111</v>
      </c>
      <c r="H354" s="47" t="s">
        <v>20</v>
      </c>
      <c r="I354" s="48"/>
      <c r="J354" s="48"/>
      <c r="K354" s="49"/>
      <c r="L354" s="53">
        <f ca="1">IFERROR(__xludf.DUMMYFUNCTION("IMPORTRANGE(""https://docs.google.com/spreadsheets/d/1C3CXT74ZlgGe6_JY_1olB1XN4rF0dxEuIIF-xsYjHgg/edit?usp=sharing"",""งบกองทุน!Bd23"")"),462178)</f>
        <v>462178</v>
      </c>
      <c r="M354" s="53">
        <f>SUM(M355:M358)</f>
        <v>0</v>
      </c>
      <c r="N354" s="53">
        <f t="shared" ca="1" si="80"/>
        <v>0</v>
      </c>
    </row>
    <row r="355" spans="1:14" ht="21.75" customHeight="1" x14ac:dyDescent="0.4">
      <c r="A355" s="230"/>
      <c r="B355" s="231"/>
      <c r="C355" s="43"/>
      <c r="D355" s="232"/>
      <c r="E355" s="45"/>
      <c r="F355" s="45"/>
      <c r="G355" s="46" t="s">
        <v>112</v>
      </c>
      <c r="H355" s="47" t="s">
        <v>20</v>
      </c>
      <c r="I355" s="67"/>
      <c r="J355" s="67"/>
      <c r="K355" s="233"/>
      <c r="L355" s="53"/>
      <c r="M355" s="53">
        <v>0</v>
      </c>
      <c r="N355" s="53"/>
    </row>
    <row r="356" spans="1:14" ht="21.75" customHeight="1" x14ac:dyDescent="0.4">
      <c r="A356" s="230"/>
      <c r="B356" s="231"/>
      <c r="C356" s="43"/>
      <c r="D356" s="232"/>
      <c r="E356" s="45"/>
      <c r="F356" s="45"/>
      <c r="G356" s="46" t="s">
        <v>113</v>
      </c>
      <c r="H356" s="47" t="s">
        <v>20</v>
      </c>
      <c r="I356" s="67"/>
      <c r="J356" s="67"/>
      <c r="K356" s="233"/>
      <c r="L356" s="53"/>
      <c r="M356" s="53">
        <v>0</v>
      </c>
      <c r="N356" s="53"/>
    </row>
    <row r="357" spans="1:14" ht="21.75" customHeight="1" x14ac:dyDescent="0.4">
      <c r="A357" s="230"/>
      <c r="B357" s="231"/>
      <c r="C357" s="43"/>
      <c r="D357" s="232"/>
      <c r="E357" s="45"/>
      <c r="F357" s="45"/>
      <c r="G357" s="46" t="s">
        <v>114</v>
      </c>
      <c r="H357" s="47" t="s">
        <v>20</v>
      </c>
      <c r="I357" s="67"/>
      <c r="J357" s="67"/>
      <c r="K357" s="233"/>
      <c r="L357" s="53"/>
      <c r="M357" s="54">
        <v>0</v>
      </c>
      <c r="N357" s="53"/>
    </row>
    <row r="358" spans="1:14" ht="21.75" customHeight="1" x14ac:dyDescent="0.4">
      <c r="A358" s="230"/>
      <c r="B358" s="231"/>
      <c r="C358" s="43"/>
      <c r="D358" s="232"/>
      <c r="E358" s="45"/>
      <c r="F358" s="45"/>
      <c r="G358" s="46" t="s">
        <v>115</v>
      </c>
      <c r="H358" s="47" t="s">
        <v>20</v>
      </c>
      <c r="I358" s="67"/>
      <c r="J358" s="67"/>
      <c r="K358" s="233"/>
      <c r="L358" s="53"/>
      <c r="M358" s="54">
        <v>0</v>
      </c>
      <c r="N358" s="53"/>
    </row>
    <row r="359" spans="1:14" ht="21.75" customHeight="1" x14ac:dyDescent="0.4">
      <c r="A359" s="55"/>
      <c r="B359" s="56"/>
      <c r="C359" s="261" t="s">
        <v>147</v>
      </c>
      <c r="D359" s="261"/>
      <c r="E359" s="262"/>
      <c r="F359" s="262"/>
      <c r="G359" s="263"/>
      <c r="H359" s="136" t="s">
        <v>103</v>
      </c>
      <c r="I359" s="137">
        <f ca="1">IFERROR(__xludf.DUMMYFUNCTION("IMPORTRANGE(""https://docs.google.com/spreadsheets/d/1C3CXT74ZlgGe6_JY_1olB1XN4rF0dxEuIIF-xsYjHgg/edit?usp=sharing"",""งบกองทุน!BE23"")"),53199)</f>
        <v>53199</v>
      </c>
      <c r="J359" s="137">
        <f>+J376</f>
        <v>0</v>
      </c>
      <c r="K359" s="138">
        <f t="shared" ref="K359:K425" ca="1" si="82">IF(I359&gt;0,J359*100/I359,0)</f>
        <v>0</v>
      </c>
      <c r="L359" s="140"/>
      <c r="M359" s="140"/>
      <c r="N359" s="140"/>
    </row>
    <row r="360" spans="1:14" ht="21.75" customHeight="1" x14ac:dyDescent="0.4">
      <c r="A360" s="249"/>
      <c r="B360" s="250"/>
      <c r="C360" s="250"/>
      <c r="D360" s="251"/>
      <c r="E360" s="73" t="s">
        <v>148</v>
      </c>
      <c r="F360" s="75"/>
      <c r="G360" s="76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IFERROR(__xludf.DUMMYFUNCTION("IMPORTRANGE(""https://docs.google.com/spreadsheets/d/1C3CXT74ZlgGe6_JY_1olB1XN4rF0dxEuIIF-xsYjHgg/edit?usp=sharing"",""งบกองทุน!BE23"")"),53199)</f>
        <v>53199</v>
      </c>
      <c r="J360" s="265">
        <f t="shared" ref="J360:J361" si="83">+J362+J364+J366</f>
        <v>0</v>
      </c>
      <c r="K360" s="80">
        <f t="shared" ca="1" si="82"/>
        <v>0</v>
      </c>
      <c r="L360" s="61"/>
      <c r="M360" s="61"/>
      <c r="N360" s="61"/>
    </row>
    <row r="361" spans="1:14" ht="21.75" customHeight="1" x14ac:dyDescent="0.4">
      <c r="A361" s="249"/>
      <c r="B361" s="250"/>
      <c r="C361" s="250"/>
      <c r="D361" s="251"/>
      <c r="E361" s="75"/>
      <c r="F361" s="75"/>
      <c r="G361" s="76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IFERROR(__xludf.DUMMYFUNCTION("IMPORTRANGE(""https://docs.google.com/spreadsheets/d/1C3CXT74ZlgGe6_JY_1olB1XN4rF0dxEuIIF-xsYjHgg/edit?usp=sharing"",""งบกองทุน!Bf23"")"),4506)</f>
        <v>4506</v>
      </c>
      <c r="J361" s="265">
        <f t="shared" si="83"/>
        <v>0</v>
      </c>
      <c r="K361" s="80">
        <f t="shared" ca="1" si="82"/>
        <v>0</v>
      </c>
      <c r="L361" s="61"/>
      <c r="M361" s="61"/>
      <c r="N361" s="61"/>
    </row>
    <row r="362" spans="1:14" ht="21.75" customHeight="1" x14ac:dyDescent="0.4">
      <c r="A362" s="249"/>
      <c r="B362" s="250"/>
      <c r="C362" s="250"/>
      <c r="D362" s="251"/>
      <c r="E362" s="75"/>
      <c r="F362" s="242" t="s">
        <v>149</v>
      </c>
      <c r="G362" s="266"/>
      <c r="H362" s="267" t="s">
        <v>103</v>
      </c>
      <c r="I362" s="48">
        <v>0</v>
      </c>
      <c r="J362" s="68">
        <v>0</v>
      </c>
      <c r="K362" s="49">
        <f t="shared" si="82"/>
        <v>0</v>
      </c>
      <c r="L362" s="61"/>
      <c r="M362" s="61"/>
      <c r="N362" s="61"/>
    </row>
    <row r="363" spans="1:14" ht="21.75" customHeight="1" x14ac:dyDescent="0.4">
      <c r="A363" s="249"/>
      <c r="B363" s="250"/>
      <c r="C363" s="250"/>
      <c r="D363" s="251"/>
      <c r="E363" s="75"/>
      <c r="F363" s="75"/>
      <c r="G363" s="266"/>
      <c r="H363" s="267" t="s">
        <v>15</v>
      </c>
      <c r="I363" s="48">
        <v>0</v>
      </c>
      <c r="J363" s="68">
        <v>0</v>
      </c>
      <c r="K363" s="49">
        <f t="shared" si="82"/>
        <v>0</v>
      </c>
      <c r="L363" s="61"/>
      <c r="M363" s="61"/>
      <c r="N363" s="61"/>
    </row>
    <row r="364" spans="1:14" ht="21.75" customHeight="1" x14ac:dyDescent="0.4">
      <c r="A364" s="249"/>
      <c r="B364" s="250"/>
      <c r="C364" s="250"/>
      <c r="D364" s="251"/>
      <c r="E364" s="75"/>
      <c r="F364" s="242" t="s">
        <v>150</v>
      </c>
      <c r="G364" s="266"/>
      <c r="H364" s="267" t="s">
        <v>103</v>
      </c>
      <c r="I364" s="48">
        <v>0</v>
      </c>
      <c r="J364" s="68">
        <v>0</v>
      </c>
      <c r="K364" s="49">
        <f t="shared" si="82"/>
        <v>0</v>
      </c>
      <c r="L364" s="61"/>
      <c r="M364" s="61"/>
      <c r="N364" s="61"/>
    </row>
    <row r="365" spans="1:14" ht="21.75" customHeight="1" x14ac:dyDescent="0.4">
      <c r="A365" s="249"/>
      <c r="B365" s="250"/>
      <c r="C365" s="250"/>
      <c r="D365" s="251"/>
      <c r="E365" s="75"/>
      <c r="F365" s="75"/>
      <c r="G365" s="266"/>
      <c r="H365" s="267" t="s">
        <v>15</v>
      </c>
      <c r="I365" s="48">
        <v>0</v>
      </c>
      <c r="J365" s="68">
        <v>0</v>
      </c>
      <c r="K365" s="49">
        <f t="shared" si="82"/>
        <v>0</v>
      </c>
      <c r="L365" s="61"/>
      <c r="M365" s="61"/>
      <c r="N365" s="61"/>
    </row>
    <row r="366" spans="1:14" ht="21.75" customHeight="1" x14ac:dyDescent="0.4">
      <c r="A366" s="249"/>
      <c r="B366" s="250"/>
      <c r="C366" s="250"/>
      <c r="D366" s="251"/>
      <c r="E366" s="75"/>
      <c r="F366" s="242" t="s">
        <v>151</v>
      </c>
      <c r="G366" s="266"/>
      <c r="H366" s="267" t="s">
        <v>103</v>
      </c>
      <c r="I366" s="48">
        <v>0</v>
      </c>
      <c r="J366" s="68">
        <v>0</v>
      </c>
      <c r="K366" s="49">
        <f t="shared" si="82"/>
        <v>0</v>
      </c>
      <c r="L366" s="61"/>
      <c r="M366" s="61"/>
      <c r="N366" s="61"/>
    </row>
    <row r="367" spans="1:14" ht="21.75" customHeight="1" x14ac:dyDescent="0.4">
      <c r="A367" s="249"/>
      <c r="B367" s="250"/>
      <c r="C367" s="250"/>
      <c r="D367" s="251"/>
      <c r="E367" s="75"/>
      <c r="F367" s="75"/>
      <c r="G367" s="75"/>
      <c r="H367" s="267" t="s">
        <v>15</v>
      </c>
      <c r="I367" s="48">
        <v>0</v>
      </c>
      <c r="J367" s="68">
        <v>0</v>
      </c>
      <c r="K367" s="49">
        <f t="shared" si="82"/>
        <v>0</v>
      </c>
      <c r="L367" s="61"/>
      <c r="M367" s="61"/>
      <c r="N367" s="61"/>
    </row>
    <row r="368" spans="1:14" ht="21.75" customHeight="1" x14ac:dyDescent="0.4">
      <c r="A368" s="249"/>
      <c r="B368" s="250"/>
      <c r="C368" s="250"/>
      <c r="D368" s="251"/>
      <c r="E368" s="155" t="s">
        <v>152</v>
      </c>
      <c r="F368" s="75"/>
      <c r="G368" s="76"/>
      <c r="H368" s="264" t="s">
        <v>103</v>
      </c>
      <c r="I368" s="265">
        <f ca="1">+I359</f>
        <v>53199</v>
      </c>
      <c r="J368" s="265">
        <f t="shared" ref="J368:J369" si="84">+J370+J372+J374</f>
        <v>0</v>
      </c>
      <c r="K368" s="80">
        <f t="shared" ca="1" si="82"/>
        <v>0</v>
      </c>
      <c r="L368" s="61"/>
      <c r="M368" s="61"/>
      <c r="N368" s="61"/>
    </row>
    <row r="369" spans="1:14" ht="21.75" customHeight="1" x14ac:dyDescent="0.4">
      <c r="A369" s="249"/>
      <c r="B369" s="250"/>
      <c r="C369" s="250"/>
      <c r="D369" s="251"/>
      <c r="E369" s="75"/>
      <c r="F369" s="75"/>
      <c r="G369" s="76"/>
      <c r="H369" s="264" t="s">
        <v>15</v>
      </c>
      <c r="I369" s="265">
        <f ca="1">I361</f>
        <v>4506</v>
      </c>
      <c r="J369" s="265">
        <f t="shared" si="84"/>
        <v>0</v>
      </c>
      <c r="K369" s="49">
        <f t="shared" ca="1" si="82"/>
        <v>0</v>
      </c>
      <c r="L369" s="61"/>
      <c r="M369" s="61"/>
      <c r="N369" s="61"/>
    </row>
    <row r="370" spans="1:14" ht="21.75" customHeight="1" x14ac:dyDescent="0.4">
      <c r="A370" s="249"/>
      <c r="B370" s="250"/>
      <c r="C370" s="250"/>
      <c r="D370" s="251"/>
      <c r="E370" s="75"/>
      <c r="F370" s="74" t="s">
        <v>153</v>
      </c>
      <c r="G370" s="266"/>
      <c r="H370" s="267" t="s">
        <v>103</v>
      </c>
      <c r="I370" s="48">
        <v>0</v>
      </c>
      <c r="J370" s="68">
        <v>0</v>
      </c>
      <c r="K370" s="49">
        <f t="shared" si="82"/>
        <v>0</v>
      </c>
      <c r="L370" s="61"/>
      <c r="M370" s="61"/>
      <c r="N370" s="61"/>
    </row>
    <row r="371" spans="1:14" ht="21.75" customHeight="1" x14ac:dyDescent="0.4">
      <c r="A371" s="249"/>
      <c r="B371" s="250"/>
      <c r="C371" s="250"/>
      <c r="D371" s="251"/>
      <c r="E371" s="75"/>
      <c r="F371" s="75"/>
      <c r="G371" s="266"/>
      <c r="H371" s="267" t="s">
        <v>15</v>
      </c>
      <c r="I371" s="48">
        <v>0</v>
      </c>
      <c r="J371" s="68">
        <v>0</v>
      </c>
      <c r="K371" s="49">
        <f t="shared" si="82"/>
        <v>0</v>
      </c>
      <c r="L371" s="61"/>
      <c r="M371" s="61"/>
      <c r="N371" s="61"/>
    </row>
    <row r="372" spans="1:14" ht="21.75" customHeight="1" x14ac:dyDescent="0.4">
      <c r="A372" s="249"/>
      <c r="B372" s="250"/>
      <c r="C372" s="250"/>
      <c r="D372" s="251"/>
      <c r="E372" s="75"/>
      <c r="F372" s="74" t="s">
        <v>154</v>
      </c>
      <c r="G372" s="266"/>
      <c r="H372" s="267" t="s">
        <v>103</v>
      </c>
      <c r="I372" s="48">
        <v>0</v>
      </c>
      <c r="J372" s="68">
        <v>0</v>
      </c>
      <c r="K372" s="49">
        <f t="shared" si="82"/>
        <v>0</v>
      </c>
      <c r="L372" s="61"/>
      <c r="M372" s="61"/>
      <c r="N372" s="61"/>
    </row>
    <row r="373" spans="1:14" ht="21.75" customHeight="1" x14ac:dyDescent="0.4">
      <c r="A373" s="249"/>
      <c r="B373" s="250"/>
      <c r="C373" s="250"/>
      <c r="D373" s="251"/>
      <c r="E373" s="75"/>
      <c r="F373" s="75"/>
      <c r="G373" s="266"/>
      <c r="H373" s="267" t="s">
        <v>15</v>
      </c>
      <c r="I373" s="48">
        <v>0</v>
      </c>
      <c r="J373" s="68">
        <v>0</v>
      </c>
      <c r="K373" s="49">
        <f t="shared" si="82"/>
        <v>0</v>
      </c>
      <c r="L373" s="61"/>
      <c r="M373" s="61"/>
      <c r="N373" s="61"/>
    </row>
    <row r="374" spans="1:14" ht="21.75" customHeight="1" x14ac:dyDescent="0.4">
      <c r="A374" s="249"/>
      <c r="B374" s="250"/>
      <c r="C374" s="250"/>
      <c r="D374" s="251"/>
      <c r="E374" s="75"/>
      <c r="F374" s="74" t="s">
        <v>155</v>
      </c>
      <c r="G374" s="266"/>
      <c r="H374" s="267" t="s">
        <v>103</v>
      </c>
      <c r="I374" s="48">
        <v>0</v>
      </c>
      <c r="J374" s="68">
        <v>0</v>
      </c>
      <c r="K374" s="49">
        <f t="shared" si="82"/>
        <v>0</v>
      </c>
      <c r="L374" s="61"/>
      <c r="M374" s="61"/>
      <c r="N374" s="61"/>
    </row>
    <row r="375" spans="1:14" ht="21.75" customHeight="1" x14ac:dyDescent="0.4">
      <c r="A375" s="249"/>
      <c r="B375" s="250"/>
      <c r="C375" s="250"/>
      <c r="D375" s="251"/>
      <c r="E375" s="75"/>
      <c r="F375" s="75"/>
      <c r="G375" s="76"/>
      <c r="H375" s="267" t="s">
        <v>15</v>
      </c>
      <c r="I375" s="48">
        <v>0</v>
      </c>
      <c r="J375" s="68">
        <v>0</v>
      </c>
      <c r="K375" s="49">
        <f t="shared" si="82"/>
        <v>0</v>
      </c>
      <c r="L375" s="61"/>
      <c r="M375" s="61"/>
      <c r="N375" s="61"/>
    </row>
    <row r="376" spans="1:14" ht="21.75" customHeight="1" x14ac:dyDescent="0.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53199</v>
      </c>
      <c r="J376" s="265">
        <f t="shared" ref="J376:J377" si="85">+J378+J380+J382+J388</f>
        <v>0</v>
      </c>
      <c r="K376" s="80">
        <f t="shared" ca="1" si="82"/>
        <v>0</v>
      </c>
      <c r="L376" s="275"/>
      <c r="M376" s="275"/>
      <c r="N376" s="275"/>
    </row>
    <row r="377" spans="1:14" ht="21.75" customHeight="1" x14ac:dyDescent="0.4">
      <c r="A377" s="249"/>
      <c r="B377" s="250"/>
      <c r="C377" s="250"/>
      <c r="D377" s="251"/>
      <c r="E377" s="75"/>
      <c r="F377" s="75"/>
      <c r="G377" s="76"/>
      <c r="H377" s="264" t="s">
        <v>15</v>
      </c>
      <c r="I377" s="265">
        <f ca="1">I361</f>
        <v>4506</v>
      </c>
      <c r="J377" s="265">
        <f t="shared" si="85"/>
        <v>0</v>
      </c>
      <c r="K377" s="49">
        <f t="shared" ca="1" si="82"/>
        <v>0</v>
      </c>
      <c r="L377" s="61"/>
      <c r="M377" s="61"/>
      <c r="N377" s="61"/>
    </row>
    <row r="378" spans="1:14" ht="21.75" customHeight="1" x14ac:dyDescent="0.4">
      <c r="A378" s="249"/>
      <c r="B378" s="250"/>
      <c r="C378" s="250"/>
      <c r="D378" s="251"/>
      <c r="E378" s="75"/>
      <c r="F378" s="74" t="s">
        <v>157</v>
      </c>
      <c r="G378" s="266"/>
      <c r="H378" s="267" t="s">
        <v>103</v>
      </c>
      <c r="I378" s="48">
        <v>0</v>
      </c>
      <c r="J378" s="68">
        <v>0</v>
      </c>
      <c r="K378" s="49">
        <f t="shared" si="82"/>
        <v>0</v>
      </c>
      <c r="L378" s="61"/>
      <c r="M378" s="61"/>
      <c r="N378" s="61"/>
    </row>
    <row r="379" spans="1:14" ht="21.75" customHeight="1" x14ac:dyDescent="0.4">
      <c r="A379" s="249"/>
      <c r="B379" s="250"/>
      <c r="C379" s="250"/>
      <c r="D379" s="251"/>
      <c r="E379" s="75"/>
      <c r="F379" s="75"/>
      <c r="G379" s="266"/>
      <c r="H379" s="267" t="s">
        <v>15</v>
      </c>
      <c r="I379" s="48">
        <v>0</v>
      </c>
      <c r="J379" s="68">
        <v>0</v>
      </c>
      <c r="K379" s="49">
        <f t="shared" si="82"/>
        <v>0</v>
      </c>
      <c r="L379" s="61"/>
      <c r="M379" s="61"/>
      <c r="N379" s="61"/>
    </row>
    <row r="380" spans="1:14" ht="21.75" customHeight="1" x14ac:dyDescent="0.4">
      <c r="A380" s="249"/>
      <c r="B380" s="250"/>
      <c r="C380" s="250"/>
      <c r="D380" s="251"/>
      <c r="E380" s="75"/>
      <c r="F380" s="74" t="s">
        <v>158</v>
      </c>
      <c r="G380" s="266"/>
      <c r="H380" s="267" t="s">
        <v>103</v>
      </c>
      <c r="I380" s="48">
        <v>0</v>
      </c>
      <c r="J380" s="68">
        <v>0</v>
      </c>
      <c r="K380" s="49">
        <f t="shared" si="82"/>
        <v>0</v>
      </c>
      <c r="L380" s="61"/>
      <c r="M380" s="61"/>
      <c r="N380" s="61"/>
    </row>
    <row r="381" spans="1:14" ht="21.75" customHeight="1" x14ac:dyDescent="0.4">
      <c r="A381" s="249"/>
      <c r="B381" s="250"/>
      <c r="C381" s="250"/>
      <c r="D381" s="251"/>
      <c r="E381" s="75"/>
      <c r="F381" s="75"/>
      <c r="G381" s="266"/>
      <c r="H381" s="267" t="s">
        <v>15</v>
      </c>
      <c r="I381" s="48">
        <v>0</v>
      </c>
      <c r="J381" s="68">
        <v>0</v>
      </c>
      <c r="K381" s="49">
        <f t="shared" si="82"/>
        <v>0</v>
      </c>
      <c r="L381" s="61"/>
      <c r="M381" s="61"/>
      <c r="N381" s="61"/>
    </row>
    <row r="382" spans="1:14" ht="21.75" customHeight="1" x14ac:dyDescent="0.4">
      <c r="A382" s="249"/>
      <c r="B382" s="250"/>
      <c r="C382" s="250"/>
      <c r="D382" s="251"/>
      <c r="E382" s="75"/>
      <c r="F382" s="74" t="s">
        <v>159</v>
      </c>
      <c r="G382" s="266"/>
      <c r="H382" s="267" t="s">
        <v>103</v>
      </c>
      <c r="I382" s="48">
        <v>0</v>
      </c>
      <c r="J382" s="265">
        <f t="shared" ref="J382:J383" si="86">J384+J386</f>
        <v>0</v>
      </c>
      <c r="K382" s="49">
        <f t="shared" si="82"/>
        <v>0</v>
      </c>
      <c r="L382" s="61"/>
      <c r="M382" s="61"/>
      <c r="N382" s="61"/>
    </row>
    <row r="383" spans="1:14" ht="21.75" customHeight="1" x14ac:dyDescent="0.4">
      <c r="A383" s="249"/>
      <c r="B383" s="250"/>
      <c r="C383" s="250"/>
      <c r="D383" s="251"/>
      <c r="E383" s="75"/>
      <c r="F383" s="75"/>
      <c r="G383" s="75"/>
      <c r="H383" s="267" t="s">
        <v>15</v>
      </c>
      <c r="I383" s="48">
        <v>0</v>
      </c>
      <c r="J383" s="265">
        <f t="shared" si="86"/>
        <v>0</v>
      </c>
      <c r="K383" s="49">
        <f t="shared" si="82"/>
        <v>0</v>
      </c>
      <c r="L383" s="61"/>
      <c r="M383" s="61"/>
      <c r="N383" s="61"/>
    </row>
    <row r="384" spans="1:14" ht="21.75" customHeight="1" x14ac:dyDescent="0.4">
      <c r="A384" s="249"/>
      <c r="B384" s="250"/>
      <c r="C384" s="250"/>
      <c r="D384" s="251"/>
      <c r="E384" s="75"/>
      <c r="F384" s="75"/>
      <c r="G384" s="74" t="s">
        <v>160</v>
      </c>
      <c r="H384" s="267" t="s">
        <v>103</v>
      </c>
      <c r="I384" s="48">
        <v>0</v>
      </c>
      <c r="J384" s="68">
        <v>0</v>
      </c>
      <c r="K384" s="49">
        <f t="shared" si="82"/>
        <v>0</v>
      </c>
      <c r="L384" s="61"/>
      <c r="M384" s="61"/>
      <c r="N384" s="61"/>
    </row>
    <row r="385" spans="1:14" ht="21.75" customHeight="1" x14ac:dyDescent="0.4">
      <c r="A385" s="249"/>
      <c r="B385" s="250"/>
      <c r="C385" s="250"/>
      <c r="D385" s="251"/>
      <c r="E385" s="75"/>
      <c r="F385" s="75"/>
      <c r="G385" s="75"/>
      <c r="H385" s="267" t="s">
        <v>15</v>
      </c>
      <c r="I385" s="48">
        <v>0</v>
      </c>
      <c r="J385" s="68">
        <v>0</v>
      </c>
      <c r="K385" s="49">
        <f t="shared" si="82"/>
        <v>0</v>
      </c>
      <c r="L385" s="61"/>
      <c r="M385" s="61"/>
      <c r="N385" s="61"/>
    </row>
    <row r="386" spans="1:14" ht="21.75" customHeight="1" x14ac:dyDescent="0.4">
      <c r="A386" s="249"/>
      <c r="B386" s="250"/>
      <c r="C386" s="250"/>
      <c r="D386" s="251"/>
      <c r="E386" s="75"/>
      <c r="F386" s="75"/>
      <c r="G386" s="74" t="s">
        <v>161</v>
      </c>
      <c r="H386" s="267" t="s">
        <v>103</v>
      </c>
      <c r="I386" s="48">
        <v>0</v>
      </c>
      <c r="J386" s="68">
        <v>0</v>
      </c>
      <c r="K386" s="49">
        <f t="shared" si="82"/>
        <v>0</v>
      </c>
      <c r="L386" s="61"/>
      <c r="M386" s="61"/>
      <c r="N386" s="61"/>
    </row>
    <row r="387" spans="1:14" ht="21.75" customHeight="1" x14ac:dyDescent="0.4">
      <c r="A387" s="249"/>
      <c r="B387" s="250"/>
      <c r="C387" s="250"/>
      <c r="D387" s="251"/>
      <c r="E387" s="75"/>
      <c r="F387" s="75"/>
      <c r="G387" s="76"/>
      <c r="H387" s="267" t="s">
        <v>15</v>
      </c>
      <c r="I387" s="48">
        <v>0</v>
      </c>
      <c r="J387" s="68">
        <v>0</v>
      </c>
      <c r="K387" s="49">
        <f t="shared" si="82"/>
        <v>0</v>
      </c>
      <c r="L387" s="61"/>
      <c r="M387" s="61"/>
      <c r="N387" s="61"/>
    </row>
    <row r="388" spans="1:14" ht="21.75" customHeight="1" x14ac:dyDescent="0.4">
      <c r="A388" s="249"/>
      <c r="B388" s="250"/>
      <c r="C388" s="250"/>
      <c r="D388" s="251"/>
      <c r="E388" s="75"/>
      <c r="F388" s="74" t="s">
        <v>162</v>
      </c>
      <c r="G388" s="266"/>
      <c r="H388" s="267" t="s">
        <v>103</v>
      </c>
      <c r="I388" s="48">
        <v>0</v>
      </c>
      <c r="J388" s="68">
        <v>0</v>
      </c>
      <c r="K388" s="49">
        <f t="shared" si="82"/>
        <v>0</v>
      </c>
      <c r="L388" s="61"/>
      <c r="M388" s="61"/>
      <c r="N388" s="61"/>
    </row>
    <row r="389" spans="1:14" ht="21.75" customHeight="1" x14ac:dyDescent="0.4">
      <c r="A389" s="276"/>
      <c r="B389" s="277"/>
      <c r="C389" s="277"/>
      <c r="D389" s="278"/>
      <c r="E389" s="204"/>
      <c r="F389" s="204"/>
      <c r="G389" s="204"/>
      <c r="H389" s="279" t="s">
        <v>15</v>
      </c>
      <c r="I389" s="384">
        <v>0</v>
      </c>
      <c r="J389" s="68">
        <v>0</v>
      </c>
      <c r="K389" s="114">
        <f t="shared" si="82"/>
        <v>0</v>
      </c>
      <c r="L389" s="115"/>
      <c r="M389" s="115"/>
      <c r="N389" s="115"/>
    </row>
    <row r="390" spans="1:14" ht="21.75" customHeight="1" x14ac:dyDescent="0.4">
      <c r="A390" s="55"/>
      <c r="B390" s="56"/>
      <c r="C390" s="261" t="s">
        <v>163</v>
      </c>
      <c r="D390" s="261"/>
      <c r="E390" s="262"/>
      <c r="F390" s="262"/>
      <c r="G390" s="263"/>
      <c r="H390" s="136" t="s">
        <v>103</v>
      </c>
      <c r="I390" s="137">
        <f ca="1">IFERROR(__xludf.DUMMYFUNCTION("IMPORTRANGE(""https://docs.google.com/spreadsheets/d/1C3CXT74ZlgGe6_JY_1olB1XN4rF0dxEuIIF-xsYjHgg/edit?usp=sharing"",""งบกองทุน!cd23"")"),364)</f>
        <v>364</v>
      </c>
      <c r="J390" s="137">
        <f>J391</f>
        <v>0</v>
      </c>
      <c r="K390" s="138">
        <f t="shared" ca="1" si="82"/>
        <v>0</v>
      </c>
      <c r="L390" s="140"/>
      <c r="M390" s="140"/>
      <c r="N390" s="140"/>
    </row>
    <row r="391" spans="1:14" ht="21.75" customHeight="1" x14ac:dyDescent="0.4">
      <c r="A391" s="55"/>
      <c r="B391" s="56"/>
      <c r="C391" s="56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IFERROR(__xludf.DUMMYFUNCTION("IMPORTRANGE(""https://docs.google.com/spreadsheets/d/1C3CXT74ZlgGe6_JY_1olB1XN4rF0dxEuIIF-xsYjHgg/edit?usp=sharing"",""งบกองทุน!cd23"")"),364)</f>
        <v>364</v>
      </c>
      <c r="J391" s="265">
        <f t="shared" ref="J391:J392" si="87">J393+J401+J407</f>
        <v>0</v>
      </c>
      <c r="K391" s="49">
        <f t="shared" ca="1" si="82"/>
        <v>0</v>
      </c>
      <c r="L391" s="61"/>
      <c r="M391" s="61"/>
      <c r="N391" s="61"/>
    </row>
    <row r="392" spans="1:14" ht="21.75" customHeight="1" x14ac:dyDescent="0.4">
      <c r="A392" s="55"/>
      <c r="B392" s="56"/>
      <c r="C392" s="56"/>
      <c r="D392" s="73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IFERROR(__xludf.DUMMYFUNCTION("IMPORTRANGE(""https://docs.google.com/spreadsheets/d/1C3CXT74ZlgGe6_JY_1olB1XN4rF0dxEuIIF-xsYjHgg/edit?usp=sharing"",""งบกองทุน!cc23"")"),31)</f>
        <v>31</v>
      </c>
      <c r="J392" s="265">
        <f t="shared" si="87"/>
        <v>0</v>
      </c>
      <c r="K392" s="80">
        <f t="shared" ca="1" si="82"/>
        <v>0</v>
      </c>
      <c r="L392" s="61"/>
      <c r="M392" s="61"/>
      <c r="N392" s="61"/>
    </row>
    <row r="393" spans="1:14" ht="21.75" customHeight="1" x14ac:dyDescent="0.4">
      <c r="A393" s="55"/>
      <c r="B393" s="56"/>
      <c r="C393" s="56"/>
      <c r="D393" s="251"/>
      <c r="E393" s="251" t="s">
        <v>165</v>
      </c>
      <c r="F393" s="75"/>
      <c r="G393" s="76"/>
      <c r="H393" s="267" t="s">
        <v>103</v>
      </c>
      <c r="I393" s="48">
        <v>0</v>
      </c>
      <c r="J393" s="48">
        <f t="shared" ref="J393:J394" si="88">J395+J397+J399</f>
        <v>0</v>
      </c>
      <c r="K393" s="49">
        <f t="shared" si="82"/>
        <v>0</v>
      </c>
      <c r="L393" s="61"/>
      <c r="M393" s="61"/>
      <c r="N393" s="61"/>
    </row>
    <row r="394" spans="1:14" ht="21.75" customHeight="1" x14ac:dyDescent="0.4">
      <c r="A394" s="55"/>
      <c r="B394" s="56"/>
      <c r="C394" s="56"/>
      <c r="D394" s="73"/>
      <c r="E394" s="75"/>
      <c r="F394" s="75"/>
      <c r="G394" s="76"/>
      <c r="H394" s="267" t="s">
        <v>15</v>
      </c>
      <c r="I394" s="48">
        <v>0</v>
      </c>
      <c r="J394" s="48">
        <f t="shared" si="88"/>
        <v>0</v>
      </c>
      <c r="K394" s="49">
        <f t="shared" si="82"/>
        <v>0</v>
      </c>
      <c r="L394" s="61"/>
      <c r="M394" s="61"/>
      <c r="N394" s="61"/>
    </row>
    <row r="395" spans="1:14" ht="21.75" customHeight="1" x14ac:dyDescent="0.4">
      <c r="A395" s="55"/>
      <c r="B395" s="56"/>
      <c r="C395" s="56"/>
      <c r="D395" s="73"/>
      <c r="E395" s="75"/>
      <c r="F395" s="242" t="s">
        <v>166</v>
      </c>
      <c r="G395" s="266"/>
      <c r="H395" s="267" t="s">
        <v>103</v>
      </c>
      <c r="I395" s="48">
        <v>0</v>
      </c>
      <c r="J395" s="68">
        <v>0</v>
      </c>
      <c r="K395" s="49">
        <f t="shared" si="82"/>
        <v>0</v>
      </c>
      <c r="L395" s="61"/>
      <c r="M395" s="61"/>
      <c r="N395" s="61"/>
    </row>
    <row r="396" spans="1:14" ht="21.75" customHeight="1" x14ac:dyDescent="0.4">
      <c r="A396" s="55"/>
      <c r="B396" s="56"/>
      <c r="C396" s="56"/>
      <c r="D396" s="73"/>
      <c r="E396" s="75"/>
      <c r="F396" s="75"/>
      <c r="G396" s="266"/>
      <c r="H396" s="267" t="s">
        <v>15</v>
      </c>
      <c r="I396" s="48">
        <v>0</v>
      </c>
      <c r="J396" s="68">
        <v>0</v>
      </c>
      <c r="K396" s="49">
        <f t="shared" si="82"/>
        <v>0</v>
      </c>
      <c r="L396" s="61"/>
      <c r="M396" s="61"/>
      <c r="N396" s="61"/>
    </row>
    <row r="397" spans="1:14" ht="21.75" customHeight="1" x14ac:dyDescent="0.4">
      <c r="A397" s="55"/>
      <c r="B397" s="56"/>
      <c r="C397" s="56"/>
      <c r="D397" s="73"/>
      <c r="E397" s="75"/>
      <c r="F397" s="242" t="s">
        <v>167</v>
      </c>
      <c r="G397" s="266"/>
      <c r="H397" s="267" t="s">
        <v>103</v>
      </c>
      <c r="I397" s="48">
        <v>0</v>
      </c>
      <c r="J397" s="68">
        <v>0</v>
      </c>
      <c r="K397" s="49">
        <f t="shared" si="82"/>
        <v>0</v>
      </c>
      <c r="L397" s="61"/>
      <c r="M397" s="61"/>
      <c r="N397" s="61"/>
    </row>
    <row r="398" spans="1:14" ht="21.75" customHeight="1" x14ac:dyDescent="0.4">
      <c r="A398" s="55"/>
      <c r="B398" s="56"/>
      <c r="C398" s="56"/>
      <c r="D398" s="73"/>
      <c r="E398" s="75"/>
      <c r="F398" s="75"/>
      <c r="G398" s="266"/>
      <c r="H398" s="267" t="s">
        <v>15</v>
      </c>
      <c r="I398" s="48">
        <v>0</v>
      </c>
      <c r="J398" s="68">
        <v>0</v>
      </c>
      <c r="K398" s="49">
        <f t="shared" si="82"/>
        <v>0</v>
      </c>
      <c r="L398" s="61"/>
      <c r="M398" s="61"/>
      <c r="N398" s="61"/>
    </row>
    <row r="399" spans="1:14" ht="21.75" customHeight="1" x14ac:dyDescent="0.4">
      <c r="A399" s="55"/>
      <c r="B399" s="56"/>
      <c r="C399" s="56"/>
      <c r="D399" s="73"/>
      <c r="E399" s="75"/>
      <c r="F399" s="242" t="s">
        <v>168</v>
      </c>
      <c r="G399" s="266"/>
      <c r="H399" s="267" t="s">
        <v>103</v>
      </c>
      <c r="I399" s="48">
        <v>0</v>
      </c>
      <c r="J399" s="68">
        <v>0</v>
      </c>
      <c r="K399" s="49">
        <f t="shared" si="82"/>
        <v>0</v>
      </c>
      <c r="L399" s="61"/>
      <c r="M399" s="61"/>
      <c r="N399" s="61"/>
    </row>
    <row r="400" spans="1:14" ht="21.75" customHeight="1" x14ac:dyDescent="0.4">
      <c r="A400" s="55"/>
      <c r="B400" s="56"/>
      <c r="C400" s="56"/>
      <c r="D400" s="73"/>
      <c r="E400" s="75"/>
      <c r="F400" s="75"/>
      <c r="G400" s="75"/>
      <c r="H400" s="267" t="s">
        <v>15</v>
      </c>
      <c r="I400" s="48">
        <v>0</v>
      </c>
      <c r="J400" s="68">
        <v>0</v>
      </c>
      <c r="K400" s="49">
        <f t="shared" si="82"/>
        <v>0</v>
      </c>
      <c r="L400" s="61"/>
      <c r="M400" s="61"/>
      <c r="N400" s="61"/>
    </row>
    <row r="401" spans="1:14" ht="21.75" customHeight="1" x14ac:dyDescent="0.4">
      <c r="A401" s="55"/>
      <c r="B401" s="56"/>
      <c r="C401" s="56"/>
      <c r="D401" s="73"/>
      <c r="E401" s="74" t="s">
        <v>169</v>
      </c>
      <c r="F401" s="75"/>
      <c r="G401" s="266"/>
      <c r="H401" s="267" t="s">
        <v>103</v>
      </c>
      <c r="I401" s="48">
        <v>0</v>
      </c>
      <c r="J401" s="48">
        <f t="shared" ref="J401:J402" si="89">+J403+J405</f>
        <v>0</v>
      </c>
      <c r="K401" s="49">
        <f t="shared" si="82"/>
        <v>0</v>
      </c>
      <c r="L401" s="61"/>
      <c r="M401" s="61"/>
      <c r="N401" s="61"/>
    </row>
    <row r="402" spans="1:14" ht="21.75" customHeight="1" x14ac:dyDescent="0.4">
      <c r="A402" s="55"/>
      <c r="B402" s="56"/>
      <c r="C402" s="56"/>
      <c r="D402" s="73"/>
      <c r="E402" s="75"/>
      <c r="F402" s="75"/>
      <c r="G402" s="75"/>
      <c r="H402" s="267" t="s">
        <v>15</v>
      </c>
      <c r="I402" s="48">
        <v>0</v>
      </c>
      <c r="J402" s="48">
        <f t="shared" si="89"/>
        <v>0</v>
      </c>
      <c r="K402" s="49">
        <f t="shared" si="82"/>
        <v>0</v>
      </c>
      <c r="L402" s="61"/>
      <c r="M402" s="61"/>
      <c r="N402" s="61"/>
    </row>
    <row r="403" spans="1:14" ht="21.75" customHeight="1" x14ac:dyDescent="0.4">
      <c r="A403" s="55"/>
      <c r="B403" s="56"/>
      <c r="C403" s="56"/>
      <c r="D403" s="73"/>
      <c r="E403" s="75"/>
      <c r="F403" s="74" t="s">
        <v>170</v>
      </c>
      <c r="G403" s="75"/>
      <c r="H403" s="267" t="s">
        <v>103</v>
      </c>
      <c r="I403" s="48">
        <v>0</v>
      </c>
      <c r="J403" s="68">
        <v>0</v>
      </c>
      <c r="K403" s="49">
        <f t="shared" si="82"/>
        <v>0</v>
      </c>
      <c r="L403" s="61"/>
      <c r="M403" s="61"/>
      <c r="N403" s="61"/>
    </row>
    <row r="404" spans="1:14" ht="21.75" customHeight="1" x14ac:dyDescent="0.4">
      <c r="A404" s="55"/>
      <c r="B404" s="56"/>
      <c r="C404" s="56"/>
      <c r="D404" s="73"/>
      <c r="E404" s="75"/>
      <c r="F404" s="75"/>
      <c r="G404" s="75"/>
      <c r="H404" s="267" t="s">
        <v>15</v>
      </c>
      <c r="I404" s="48">
        <v>0</v>
      </c>
      <c r="J404" s="68">
        <v>0</v>
      </c>
      <c r="K404" s="49">
        <f t="shared" si="82"/>
        <v>0</v>
      </c>
      <c r="L404" s="61"/>
      <c r="M404" s="61"/>
      <c r="N404" s="61"/>
    </row>
    <row r="405" spans="1:14" ht="21.75" customHeight="1" x14ac:dyDescent="0.4">
      <c r="A405" s="55"/>
      <c r="B405" s="56"/>
      <c r="C405" s="56"/>
      <c r="D405" s="73"/>
      <c r="E405" s="75"/>
      <c r="F405" s="74" t="s">
        <v>171</v>
      </c>
      <c r="G405" s="75"/>
      <c r="H405" s="267" t="s">
        <v>103</v>
      </c>
      <c r="I405" s="48">
        <v>0</v>
      </c>
      <c r="J405" s="68">
        <v>0</v>
      </c>
      <c r="K405" s="49">
        <f t="shared" si="82"/>
        <v>0</v>
      </c>
      <c r="L405" s="61"/>
      <c r="M405" s="61"/>
      <c r="N405" s="61"/>
    </row>
    <row r="406" spans="1:14" ht="21.75" customHeight="1" x14ac:dyDescent="0.4">
      <c r="A406" s="55"/>
      <c r="B406" s="56"/>
      <c r="C406" s="56"/>
      <c r="D406" s="73"/>
      <c r="E406" s="75"/>
      <c r="F406" s="75"/>
      <c r="G406" s="76"/>
      <c r="H406" s="267" t="s">
        <v>15</v>
      </c>
      <c r="I406" s="48">
        <v>0</v>
      </c>
      <c r="J406" s="68">
        <v>0</v>
      </c>
      <c r="K406" s="49">
        <f t="shared" si="82"/>
        <v>0</v>
      </c>
      <c r="L406" s="61"/>
      <c r="M406" s="61"/>
      <c r="N406" s="61"/>
    </row>
    <row r="407" spans="1:14" ht="21.75" customHeight="1" x14ac:dyDescent="0.4">
      <c r="A407" s="55"/>
      <c r="B407" s="56"/>
      <c r="C407" s="56"/>
      <c r="D407" s="251"/>
      <c r="E407" s="251" t="s">
        <v>225</v>
      </c>
      <c r="F407" s="75"/>
      <c r="G407" s="76"/>
      <c r="H407" s="267" t="s">
        <v>103</v>
      </c>
      <c r="I407" s="48">
        <v>0</v>
      </c>
      <c r="J407" s="68">
        <v>0</v>
      </c>
      <c r="K407" s="49">
        <f t="shared" si="82"/>
        <v>0</v>
      </c>
      <c r="L407" s="61"/>
      <c r="M407" s="61"/>
      <c r="N407" s="61"/>
    </row>
    <row r="408" spans="1:14" ht="21.75" customHeight="1" x14ac:dyDescent="0.4">
      <c r="A408" s="55"/>
      <c r="B408" s="56"/>
      <c r="C408" s="56"/>
      <c r="D408" s="73"/>
      <c r="E408" s="75"/>
      <c r="F408" s="75"/>
      <c r="G408" s="76"/>
      <c r="H408" s="267" t="s">
        <v>15</v>
      </c>
      <c r="I408" s="48">
        <v>0</v>
      </c>
      <c r="J408" s="68">
        <v>0</v>
      </c>
      <c r="K408" s="49">
        <f t="shared" si="82"/>
        <v>0</v>
      </c>
      <c r="L408" s="61"/>
      <c r="M408" s="61"/>
      <c r="N408" s="61"/>
    </row>
    <row r="409" spans="1:14" ht="21.75" customHeight="1" x14ac:dyDescent="0.4">
      <c r="A409" s="55"/>
      <c r="B409" s="56"/>
      <c r="C409" s="261" t="s">
        <v>173</v>
      </c>
      <c r="D409" s="261"/>
      <c r="E409" s="285"/>
      <c r="F409" s="285"/>
      <c r="G409" s="286"/>
      <c r="H409" s="287" t="s">
        <v>103</v>
      </c>
      <c r="I409" s="137">
        <f ca="1">IFERROR(__xludf.DUMMYFUNCTION("IMPORTRANGE(""https://docs.google.com/spreadsheets/d/1C3CXT74ZlgGe6_JY_1olB1XN4rF0dxEuIIF-xsYjHgg/edit?usp=sharing"",""งบกองทุน!cz23"")"),0)</f>
        <v>0</v>
      </c>
      <c r="J409" s="137">
        <f ca="1">SUM(J412,J414)</f>
        <v>0</v>
      </c>
      <c r="K409" s="138">
        <f t="shared" ca="1" si="82"/>
        <v>0</v>
      </c>
      <c r="L409" s="61"/>
      <c r="M409" s="61"/>
      <c r="N409" s="61"/>
    </row>
    <row r="410" spans="1:14" ht="21.75" customHeight="1" x14ac:dyDescent="0.4">
      <c r="A410" s="55"/>
      <c r="B410" s="56"/>
      <c r="C410" s="288"/>
      <c r="D410" s="288"/>
      <c r="E410" s="288" t="s">
        <v>174</v>
      </c>
      <c r="F410" s="289"/>
      <c r="G410" s="290"/>
      <c r="H410" s="291" t="s">
        <v>103</v>
      </c>
      <c r="I410" s="150">
        <f ca="1">IFERROR(__xludf.DUMMYFUNCTION("IMPORTRANGE(""https://docs.google.com/spreadsheets/d/1C3CXT74ZlgGe6_JY_1olB1XN4rF0dxEuIIF-xsYjHgg/edit?usp=sharing"",""งบกองทุน!cz23"")"),0)</f>
        <v>0</v>
      </c>
      <c r="J410" s="150">
        <f t="shared" ref="J410:J411" ca="1" si="90">SUM(J412,J414)</f>
        <v>0</v>
      </c>
      <c r="K410" s="147">
        <f t="shared" ca="1" si="82"/>
        <v>0</v>
      </c>
      <c r="L410" s="61"/>
      <c r="M410" s="61"/>
      <c r="N410" s="61"/>
    </row>
    <row r="411" spans="1:14" ht="21.75" customHeight="1" x14ac:dyDescent="0.4">
      <c r="A411" s="55"/>
      <c r="B411" s="56"/>
      <c r="C411" s="288"/>
      <c r="D411" s="288"/>
      <c r="E411" s="288" t="s">
        <v>175</v>
      </c>
      <c r="F411" s="289"/>
      <c r="G411" s="290"/>
      <c r="H411" s="291" t="s">
        <v>15</v>
      </c>
      <c r="I411" s="150">
        <f ca="1">IFERROR(__xludf.DUMMYFUNCTION("IMPORTRANGE(""https://docs.google.com/spreadsheets/d/1C3CXT74ZlgGe6_JY_1olB1XN4rF0dxEuIIF-xsYjHgg/edit?usp=sharing"",""งบกองทุน!cy23"")"),0)</f>
        <v>0</v>
      </c>
      <c r="J411" s="150">
        <f t="shared" ca="1" si="90"/>
        <v>0</v>
      </c>
      <c r="K411" s="147">
        <f t="shared" ca="1" si="82"/>
        <v>0</v>
      </c>
      <c r="L411" s="61"/>
      <c r="M411" s="61"/>
      <c r="N411" s="61"/>
    </row>
    <row r="412" spans="1:14" ht="21.75" customHeight="1" x14ac:dyDescent="0.4">
      <c r="A412" s="55"/>
      <c r="B412" s="56"/>
      <c r="C412" s="56"/>
      <c r="D412" s="73"/>
      <c r="E412" s="75"/>
      <c r="F412" s="75"/>
      <c r="G412" s="99" t="s">
        <v>176</v>
      </c>
      <c r="H412" s="267" t="s">
        <v>103</v>
      </c>
      <c r="I412" s="48">
        <v>0</v>
      </c>
      <c r="J412" s="67">
        <f ca="1">IFERROR(__xludf.DUMMYFUNCTION("IMPORTRANGE(""https://docs.google.com/spreadsheets/d/1C3CXT74ZlgGe6_JY_1olB1XN4rF0dxEuIIF-xsYjHgg/edit?usp=sharing"",""งบกองทุน!db23"")"),0)</f>
        <v>0</v>
      </c>
      <c r="K412" s="49">
        <f t="shared" si="82"/>
        <v>0</v>
      </c>
      <c r="L412" s="61"/>
      <c r="M412" s="61"/>
      <c r="N412" s="61"/>
    </row>
    <row r="413" spans="1:14" ht="21.75" customHeight="1" x14ac:dyDescent="0.4">
      <c r="A413" s="55"/>
      <c r="B413" s="56"/>
      <c r="C413" s="56"/>
      <c r="D413" s="73"/>
      <c r="E413" s="75"/>
      <c r="F413" s="75"/>
      <c r="G413" s="76"/>
      <c r="H413" s="267" t="s">
        <v>15</v>
      </c>
      <c r="I413" s="48">
        <v>0</v>
      </c>
      <c r="J413" s="67">
        <f ca="1">IFERROR(__xludf.DUMMYFUNCTION("IMPORTRANGE(""https://docs.google.com/spreadsheets/d/1C3CXT74ZlgGe6_JY_1olB1XN4rF0dxEuIIF-xsYjHgg/edit?usp=sharing"",""งบกองทุน!da23"")"),0)</f>
        <v>0</v>
      </c>
      <c r="K413" s="49">
        <f t="shared" si="82"/>
        <v>0</v>
      </c>
      <c r="L413" s="61"/>
      <c r="M413" s="61"/>
      <c r="N413" s="61"/>
    </row>
    <row r="414" spans="1:14" ht="21.75" customHeight="1" x14ac:dyDescent="0.4">
      <c r="A414" s="55"/>
      <c r="B414" s="56"/>
      <c r="C414" s="56"/>
      <c r="D414" s="73"/>
      <c r="E414" s="75"/>
      <c r="F414" s="75"/>
      <c r="G414" s="99" t="s">
        <v>177</v>
      </c>
      <c r="H414" s="267" t="s">
        <v>103</v>
      </c>
      <c r="I414" s="48">
        <v>0</v>
      </c>
      <c r="J414" s="67">
        <f ca="1">IFERROR(__xludf.DUMMYFUNCTION("IMPORTRANGE(""https://docs.google.com/spreadsheets/d/1C3CXT74ZlgGe6_JY_1olB1XN4rF0dxEuIIF-xsYjHgg/edit?usp=sharing"",""งบกองทุน!dd23"")"),0)</f>
        <v>0</v>
      </c>
      <c r="K414" s="49">
        <f t="shared" si="82"/>
        <v>0</v>
      </c>
      <c r="L414" s="61"/>
      <c r="M414" s="61"/>
      <c r="N414" s="61"/>
    </row>
    <row r="415" spans="1:14" ht="21.75" customHeight="1" x14ac:dyDescent="0.4">
      <c r="A415" s="55"/>
      <c r="B415" s="56"/>
      <c r="C415" s="56"/>
      <c r="D415" s="73"/>
      <c r="E415" s="75"/>
      <c r="F415" s="75"/>
      <c r="G415" s="76"/>
      <c r="H415" s="267" t="s">
        <v>15</v>
      </c>
      <c r="I415" s="48">
        <v>0</v>
      </c>
      <c r="J415" s="67">
        <f ca="1">IFERROR(__xludf.DUMMYFUNCTION("IMPORTRANGE(""https://docs.google.com/spreadsheets/d/1C3CXT74ZlgGe6_JY_1olB1XN4rF0dxEuIIF-xsYjHgg/edit?usp=sharing"",""งบกองทุน!dc23"")"),0)</f>
        <v>0</v>
      </c>
      <c r="K415" s="49">
        <f t="shared" si="82"/>
        <v>0</v>
      </c>
      <c r="L415" s="61"/>
      <c r="M415" s="61"/>
      <c r="N415" s="61"/>
    </row>
    <row r="416" spans="1:14" ht="21.75" customHeight="1" x14ac:dyDescent="0.4">
      <c r="A416" s="55"/>
      <c r="B416" s="56"/>
      <c r="C416" s="56"/>
      <c r="D416" s="73"/>
      <c r="E416" s="75"/>
      <c r="F416" s="75"/>
      <c r="G416" s="99" t="s">
        <v>178</v>
      </c>
      <c r="H416" s="267" t="s">
        <v>103</v>
      </c>
      <c r="I416" s="48">
        <v>0</v>
      </c>
      <c r="J416" s="67">
        <f ca="1">IFERROR(__xludf.DUMMYFUNCTION("IMPORTRANGE(""https://docs.google.com/spreadsheets/d/1C3CXT74ZlgGe6_JY_1olB1XN4rF0dxEuIIF-xsYjHgg/edit?usp=sharing"",""งบกองทุน!df23"")"),0)</f>
        <v>0</v>
      </c>
      <c r="K416" s="49">
        <f t="shared" si="82"/>
        <v>0</v>
      </c>
      <c r="L416" s="61"/>
      <c r="M416" s="61"/>
      <c r="N416" s="61"/>
    </row>
    <row r="417" spans="1:14" ht="21.75" customHeight="1" x14ac:dyDescent="0.4">
      <c r="A417" s="55"/>
      <c r="B417" s="56"/>
      <c r="C417" s="56"/>
      <c r="D417" s="73"/>
      <c r="E417" s="75"/>
      <c r="F417" s="75"/>
      <c r="G417" s="76"/>
      <c r="H417" s="267" t="s">
        <v>15</v>
      </c>
      <c r="I417" s="48">
        <v>0</v>
      </c>
      <c r="J417" s="67">
        <f ca="1">IFERROR(__xludf.DUMMYFUNCTION("IMPORTRANGE(""https://docs.google.com/spreadsheets/d/1C3CXT74ZlgGe6_JY_1olB1XN4rF0dxEuIIF-xsYjHgg/edit?usp=sharing"",""งบกองทุน!de23"")"),0)</f>
        <v>0</v>
      </c>
      <c r="K417" s="49">
        <f t="shared" si="82"/>
        <v>0</v>
      </c>
      <c r="L417" s="61"/>
      <c r="M417" s="61"/>
      <c r="N417" s="61"/>
    </row>
    <row r="418" spans="1:14" ht="21.75" customHeight="1" x14ac:dyDescent="0.4">
      <c r="A418" s="55"/>
      <c r="B418" s="56"/>
      <c r="C418" s="288"/>
      <c r="D418" s="288"/>
      <c r="E418" s="288" t="s">
        <v>179</v>
      </c>
      <c r="F418" s="289"/>
      <c r="G418" s="290"/>
      <c r="H418" s="291" t="s">
        <v>103</v>
      </c>
      <c r="I418" s="150">
        <f t="shared" ref="I418:I419" ca="1" si="91">J416</f>
        <v>0</v>
      </c>
      <c r="J418" s="150">
        <f t="shared" ref="J418:J419" si="92">SUM(J420,J422,J424)</f>
        <v>0</v>
      </c>
      <c r="K418" s="147">
        <f t="shared" ca="1" si="82"/>
        <v>0</v>
      </c>
      <c r="L418" s="61"/>
      <c r="M418" s="61"/>
      <c r="N418" s="61"/>
    </row>
    <row r="419" spans="1:14" ht="21.75" customHeight="1" x14ac:dyDescent="0.4">
      <c r="A419" s="55"/>
      <c r="B419" s="56"/>
      <c r="C419" s="288"/>
      <c r="D419" s="288"/>
      <c r="E419" s="288" t="s">
        <v>180</v>
      </c>
      <c r="F419" s="289"/>
      <c r="G419" s="290"/>
      <c r="H419" s="291" t="s">
        <v>15</v>
      </c>
      <c r="I419" s="150">
        <f t="shared" ca="1" si="91"/>
        <v>0</v>
      </c>
      <c r="J419" s="150">
        <f t="shared" si="92"/>
        <v>0</v>
      </c>
      <c r="K419" s="147">
        <f t="shared" ca="1" si="82"/>
        <v>0</v>
      </c>
      <c r="L419" s="61"/>
      <c r="M419" s="61"/>
      <c r="N419" s="61"/>
    </row>
    <row r="420" spans="1:14" ht="21.75" customHeight="1" x14ac:dyDescent="0.4">
      <c r="A420" s="55"/>
      <c r="B420" s="56"/>
      <c r="C420" s="56"/>
      <c r="D420" s="73"/>
      <c r="E420" s="75"/>
      <c r="F420" s="75"/>
      <c r="G420" s="99" t="s">
        <v>176</v>
      </c>
      <c r="H420" s="267" t="s">
        <v>103</v>
      </c>
      <c r="I420" s="48">
        <v>0</v>
      </c>
      <c r="J420" s="68">
        <v>0</v>
      </c>
      <c r="K420" s="49">
        <f t="shared" si="82"/>
        <v>0</v>
      </c>
      <c r="L420" s="61"/>
      <c r="M420" s="61"/>
      <c r="N420" s="61"/>
    </row>
    <row r="421" spans="1:14" ht="21.75" customHeight="1" x14ac:dyDescent="0.4">
      <c r="A421" s="55"/>
      <c r="B421" s="56"/>
      <c r="C421" s="56"/>
      <c r="D421" s="73"/>
      <c r="E421" s="75"/>
      <c r="F421" s="75"/>
      <c r="G421" s="76"/>
      <c r="H421" s="267" t="s">
        <v>15</v>
      </c>
      <c r="I421" s="48">
        <v>0</v>
      </c>
      <c r="J421" s="68">
        <v>0</v>
      </c>
      <c r="K421" s="49">
        <f t="shared" si="82"/>
        <v>0</v>
      </c>
      <c r="L421" s="61"/>
      <c r="M421" s="61"/>
      <c r="N421" s="61"/>
    </row>
    <row r="422" spans="1:14" ht="21.75" customHeight="1" x14ac:dyDescent="0.4">
      <c r="A422" s="55"/>
      <c r="B422" s="56"/>
      <c r="C422" s="56"/>
      <c r="D422" s="73"/>
      <c r="E422" s="75"/>
      <c r="F422" s="75"/>
      <c r="G422" s="99" t="s">
        <v>177</v>
      </c>
      <c r="H422" s="267" t="s">
        <v>103</v>
      </c>
      <c r="I422" s="48">
        <v>0</v>
      </c>
      <c r="J422" s="68">
        <v>0</v>
      </c>
      <c r="K422" s="49">
        <f t="shared" si="82"/>
        <v>0</v>
      </c>
      <c r="L422" s="61"/>
      <c r="M422" s="61"/>
      <c r="N422" s="61"/>
    </row>
    <row r="423" spans="1:14" ht="21.75" customHeight="1" x14ac:dyDescent="0.4">
      <c r="A423" s="55"/>
      <c r="B423" s="56"/>
      <c r="C423" s="56"/>
      <c r="D423" s="73"/>
      <c r="E423" s="75"/>
      <c r="F423" s="75"/>
      <c r="G423" s="76"/>
      <c r="H423" s="267" t="s">
        <v>15</v>
      </c>
      <c r="I423" s="48">
        <v>0</v>
      </c>
      <c r="J423" s="68">
        <v>0</v>
      </c>
      <c r="K423" s="49">
        <f t="shared" si="82"/>
        <v>0</v>
      </c>
      <c r="L423" s="61"/>
      <c r="M423" s="61"/>
      <c r="N423" s="61"/>
    </row>
    <row r="424" spans="1:14" ht="21.75" customHeight="1" x14ac:dyDescent="0.4">
      <c r="A424" s="55"/>
      <c r="B424" s="56"/>
      <c r="C424" s="56"/>
      <c r="D424" s="73"/>
      <c r="E424" s="75"/>
      <c r="F424" s="75"/>
      <c r="G424" s="99" t="s">
        <v>181</v>
      </c>
      <c r="H424" s="267" t="s">
        <v>103</v>
      </c>
      <c r="I424" s="48">
        <v>0</v>
      </c>
      <c r="J424" s="68">
        <v>0</v>
      </c>
      <c r="K424" s="49">
        <f t="shared" si="82"/>
        <v>0</v>
      </c>
      <c r="L424" s="61"/>
      <c r="M424" s="61"/>
      <c r="N424" s="61"/>
    </row>
    <row r="425" spans="1:14" ht="21.75" customHeight="1" x14ac:dyDescent="0.4">
      <c r="A425" s="292"/>
      <c r="B425" s="293"/>
      <c r="C425" s="293"/>
      <c r="D425" s="294"/>
      <c r="E425" s="295"/>
      <c r="F425" s="295"/>
      <c r="G425" s="296"/>
      <c r="H425" s="297" t="s">
        <v>15</v>
      </c>
      <c r="I425" s="298">
        <v>0</v>
      </c>
      <c r="J425" s="299">
        <v>0</v>
      </c>
      <c r="K425" s="309">
        <f t="shared" si="82"/>
        <v>0</v>
      </c>
      <c r="L425" s="300"/>
      <c r="M425" s="300"/>
      <c r="N425" s="300"/>
    </row>
    <row r="426" spans="1:14" ht="21.75" customHeight="1" x14ac:dyDescent="0.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3">I440</f>
        <v>22</v>
      </c>
      <c r="J426" s="257">
        <f t="shared" si="93"/>
        <v>22</v>
      </c>
      <c r="K426" s="258">
        <f ca="1">IF(I426&gt;0,J426*100/I426,0)</f>
        <v>100</v>
      </c>
      <c r="L426" s="259">
        <f t="shared" ref="L426:M426" ca="1" si="94">SUM(L427:L428)</f>
        <v>34340</v>
      </c>
      <c r="M426" s="259">
        <f t="shared" si="94"/>
        <v>14540</v>
      </c>
      <c r="N426" s="259">
        <f t="shared" ref="N426:N430" ca="1" si="95">+IF(L426&gt;0,M426*100/L426,0)</f>
        <v>42.341292952824695</v>
      </c>
    </row>
    <row r="427" spans="1:14" ht="21.75" customHeight="1" x14ac:dyDescent="0.4">
      <c r="A427" s="42"/>
      <c r="B427" s="43"/>
      <c r="C427" s="43" t="s">
        <v>17</v>
      </c>
      <c r="D427" s="44" t="s">
        <v>18</v>
      </c>
      <c r="E427" s="45"/>
      <c r="F427" s="45"/>
      <c r="G427" s="46" t="s">
        <v>19</v>
      </c>
      <c r="H427" s="47" t="s">
        <v>20</v>
      </c>
      <c r="I427" s="48" t="s">
        <v>21</v>
      </c>
      <c r="J427" s="48"/>
      <c r="K427" s="49"/>
      <c r="L427" s="50">
        <v>0</v>
      </c>
      <c r="M427" s="53">
        <v>0</v>
      </c>
      <c r="N427" s="53">
        <f t="shared" si="95"/>
        <v>0</v>
      </c>
    </row>
    <row r="428" spans="1:14" ht="21.75" customHeight="1" x14ac:dyDescent="0.4">
      <c r="A428" s="42"/>
      <c r="B428" s="43"/>
      <c r="C428" s="43"/>
      <c r="D428" s="51"/>
      <c r="E428" s="45"/>
      <c r="F428" s="45" t="s">
        <v>21</v>
      </c>
      <c r="G428" s="46" t="s">
        <v>22</v>
      </c>
      <c r="H428" s="47" t="s">
        <v>20</v>
      </c>
      <c r="I428" s="48"/>
      <c r="J428" s="48"/>
      <c r="K428" s="49"/>
      <c r="L428" s="50">
        <f t="shared" ref="L428:M428" ca="1" si="96">SUM(L429:L430)</f>
        <v>34340</v>
      </c>
      <c r="M428" s="53">
        <f t="shared" si="96"/>
        <v>14540</v>
      </c>
      <c r="N428" s="53">
        <f t="shared" ca="1" si="95"/>
        <v>42.341292952824695</v>
      </c>
    </row>
    <row r="429" spans="1:14" ht="21.75" customHeight="1" x14ac:dyDescent="0.4">
      <c r="A429" s="42"/>
      <c r="B429" s="43"/>
      <c r="C429" s="43"/>
      <c r="D429" s="51"/>
      <c r="E429" s="45"/>
      <c r="F429" s="45"/>
      <c r="G429" s="52" t="s">
        <v>110</v>
      </c>
      <c r="H429" s="47" t="s">
        <v>20</v>
      </c>
      <c r="I429" s="48"/>
      <c r="J429" s="48"/>
      <c r="K429" s="49"/>
      <c r="L429" s="53">
        <f ca="1">IFERROR(__xludf.DUMMYFUNCTION("IMPORTRANGE(""https://docs.google.com/spreadsheets/d/1C3CXT74ZlgGe6_JY_1olB1XN4rF0dxEuIIF-xsYjHgg/edit?usp=sharing"",""งบกองทุน!dn23"")"),0)</f>
        <v>0</v>
      </c>
      <c r="M429" s="53">
        <v>0</v>
      </c>
      <c r="N429" s="53">
        <f t="shared" ca="1" si="95"/>
        <v>0</v>
      </c>
    </row>
    <row r="430" spans="1:14" ht="21.75" customHeight="1" x14ac:dyDescent="0.4">
      <c r="A430" s="42"/>
      <c r="B430" s="43"/>
      <c r="C430" s="43"/>
      <c r="D430" s="51"/>
      <c r="E430" s="45"/>
      <c r="F430" s="45"/>
      <c r="G430" s="52" t="s">
        <v>111</v>
      </c>
      <c r="H430" s="47" t="s">
        <v>20</v>
      </c>
      <c r="I430" s="48"/>
      <c r="J430" s="48"/>
      <c r="K430" s="49"/>
      <c r="L430" s="53">
        <f ca="1">IFERROR(__xludf.DUMMYFUNCTION("IMPORTRANGE(""https://docs.google.com/spreadsheets/d/1C3CXT74ZlgGe6_JY_1olB1XN4rF0dxEuIIF-xsYjHgg/edit?usp=sharing"",""งบกองทุน!do23"")"),34340)</f>
        <v>34340</v>
      </c>
      <c r="M430" s="53">
        <f>SUM(M431:M434)</f>
        <v>14540</v>
      </c>
      <c r="N430" s="53">
        <f t="shared" ca="1" si="95"/>
        <v>42.341292952824695</v>
      </c>
    </row>
    <row r="431" spans="1:14" ht="21.75" customHeight="1" x14ac:dyDescent="0.4">
      <c r="A431" s="230"/>
      <c r="B431" s="231"/>
      <c r="C431" s="43"/>
      <c r="D431" s="232"/>
      <c r="E431" s="45"/>
      <c r="F431" s="45"/>
      <c r="G431" s="46" t="s">
        <v>112</v>
      </c>
      <c r="H431" s="47" t="s">
        <v>20</v>
      </c>
      <c r="I431" s="67"/>
      <c r="J431" s="67"/>
      <c r="K431" s="233"/>
      <c r="L431" s="53"/>
      <c r="M431" s="54">
        <v>14540</v>
      </c>
      <c r="N431" s="53"/>
    </row>
    <row r="432" spans="1:14" ht="21.75" customHeight="1" x14ac:dyDescent="0.4">
      <c r="A432" s="230"/>
      <c r="B432" s="231"/>
      <c r="C432" s="43"/>
      <c r="D432" s="232"/>
      <c r="E432" s="45"/>
      <c r="F432" s="45"/>
      <c r="G432" s="46" t="s">
        <v>113</v>
      </c>
      <c r="H432" s="47" t="s">
        <v>20</v>
      </c>
      <c r="I432" s="67"/>
      <c r="J432" s="67"/>
      <c r="K432" s="233"/>
      <c r="L432" s="53"/>
      <c r="M432" s="54">
        <v>0</v>
      </c>
      <c r="N432" s="53"/>
    </row>
    <row r="433" spans="1:14" ht="21.75" customHeight="1" x14ac:dyDescent="0.4">
      <c r="A433" s="230"/>
      <c r="B433" s="231"/>
      <c r="C433" s="43"/>
      <c r="D433" s="232"/>
      <c r="E433" s="45"/>
      <c r="F433" s="45"/>
      <c r="G433" s="46" t="s">
        <v>114</v>
      </c>
      <c r="H433" s="47" t="s">
        <v>20</v>
      </c>
      <c r="I433" s="67"/>
      <c r="J433" s="67"/>
      <c r="K433" s="233"/>
      <c r="L433" s="53"/>
      <c r="M433" s="54">
        <v>0</v>
      </c>
      <c r="N433" s="53"/>
    </row>
    <row r="434" spans="1:14" ht="21.75" customHeight="1" x14ac:dyDescent="0.4">
      <c r="A434" s="230"/>
      <c r="B434" s="231"/>
      <c r="C434" s="43"/>
      <c r="D434" s="232"/>
      <c r="E434" s="45"/>
      <c r="F434" s="45"/>
      <c r="G434" s="46" t="s">
        <v>115</v>
      </c>
      <c r="H434" s="47" t="s">
        <v>20</v>
      </c>
      <c r="I434" s="67"/>
      <c r="J434" s="67"/>
      <c r="K434" s="233"/>
      <c r="L434" s="53"/>
      <c r="M434" s="54">
        <v>0</v>
      </c>
      <c r="N434" s="53"/>
    </row>
    <row r="435" spans="1:14" ht="21.75" customHeight="1" x14ac:dyDescent="0.4">
      <c r="A435" s="55"/>
      <c r="B435" s="56"/>
      <c r="C435" s="43" t="s">
        <v>17</v>
      </c>
      <c r="D435" s="57" t="s">
        <v>25</v>
      </c>
      <c r="E435" s="58"/>
      <c r="F435" s="58"/>
      <c r="G435" s="59"/>
      <c r="H435" s="60"/>
      <c r="I435" s="48"/>
      <c r="J435" s="48"/>
      <c r="K435" s="49"/>
      <c r="L435" s="61"/>
      <c r="M435" s="61"/>
      <c r="N435" s="61"/>
    </row>
    <row r="436" spans="1:14" ht="21.75" customHeight="1" x14ac:dyDescent="0.4">
      <c r="A436" s="55"/>
      <c r="B436" s="56"/>
      <c r="C436" s="56"/>
      <c r="D436" s="62">
        <v>1</v>
      </c>
      <c r="E436" s="63" t="s">
        <v>26</v>
      </c>
      <c r="F436" s="64"/>
      <c r="G436" s="65"/>
      <c r="H436" s="66"/>
      <c r="I436" s="67"/>
      <c r="J436" s="68">
        <v>0</v>
      </c>
      <c r="K436" s="49"/>
      <c r="L436" s="61"/>
      <c r="M436" s="61"/>
      <c r="N436" s="61"/>
    </row>
    <row r="437" spans="1:14" ht="21.75" customHeight="1" x14ac:dyDescent="0.4">
      <c r="A437" s="55"/>
      <c r="B437" s="56"/>
      <c r="C437" s="56"/>
      <c r="D437" s="69">
        <v>2</v>
      </c>
      <c r="E437" s="70" t="s">
        <v>27</v>
      </c>
      <c r="F437" s="71"/>
      <c r="G437" s="72"/>
      <c r="H437" s="66"/>
      <c r="I437" s="67"/>
      <c r="J437" s="68">
        <v>1</v>
      </c>
      <c r="K437" s="49"/>
      <c r="L437" s="61" t="s">
        <v>21</v>
      </c>
      <c r="M437" s="61" t="s">
        <v>21</v>
      </c>
      <c r="N437" s="61"/>
    </row>
    <row r="438" spans="1:14" ht="21.75" customHeight="1" x14ac:dyDescent="0.4">
      <c r="A438" s="55"/>
      <c r="B438" s="56"/>
      <c r="C438" s="56"/>
      <c r="D438" s="73"/>
      <c r="E438" s="74" t="s">
        <v>28</v>
      </c>
      <c r="F438" s="75"/>
      <c r="G438" s="76"/>
      <c r="H438" s="66"/>
      <c r="I438" s="67"/>
      <c r="J438" s="68">
        <v>1</v>
      </c>
      <c r="K438" s="49"/>
      <c r="L438" s="61"/>
      <c r="M438" s="61"/>
      <c r="N438" s="61"/>
    </row>
    <row r="439" spans="1:14" ht="21.75" customHeight="1" x14ac:dyDescent="0.4">
      <c r="A439" s="55"/>
      <c r="B439" s="56"/>
      <c r="C439" s="56"/>
      <c r="D439" s="73"/>
      <c r="E439" s="74" t="s">
        <v>29</v>
      </c>
      <c r="F439" s="75"/>
      <c r="G439" s="76"/>
      <c r="H439" s="66"/>
      <c r="I439" s="67"/>
      <c r="J439" s="68">
        <v>1</v>
      </c>
      <c r="K439" s="49"/>
      <c r="L439" s="61"/>
      <c r="M439" s="61"/>
      <c r="N439" s="61"/>
    </row>
    <row r="440" spans="1:14" ht="21.75" customHeight="1" x14ac:dyDescent="0.4">
      <c r="A440" s="55"/>
      <c r="B440" s="56"/>
      <c r="C440" s="56"/>
      <c r="D440" s="73"/>
      <c r="E440" s="77"/>
      <c r="F440" s="75"/>
      <c r="G440" s="99" t="s">
        <v>183</v>
      </c>
      <c r="H440" s="66" t="s">
        <v>16</v>
      </c>
      <c r="I440" s="200">
        <f ca="1">IFERROR(__xludf.DUMMYFUNCTION("IMPORTRANGE(""https://docs.google.com/spreadsheets/d/1C3CXT74ZlgGe6_JY_1olB1XN4rF0dxEuIIF-xsYjHgg/edit?usp=sharing"",""งบกองทุน!dq23"")"),22)</f>
        <v>22</v>
      </c>
      <c r="J440" s="68">
        <v>22</v>
      </c>
      <c r="K440" s="49">
        <f t="shared" ref="K440:K441" ca="1" si="97">IF(I440&gt;0,J440*100/I440,0)</f>
        <v>100</v>
      </c>
      <c r="L440" s="61"/>
      <c r="M440" s="61"/>
      <c r="N440" s="61"/>
    </row>
    <row r="441" spans="1:14" ht="21.75" hidden="1" customHeight="1" x14ac:dyDescent="0.4">
      <c r="A441" s="55"/>
      <c r="B441" s="56"/>
      <c r="C441" s="56"/>
      <c r="D441" s="73"/>
      <c r="E441" s="77"/>
      <c r="F441" s="75"/>
      <c r="G441" s="99" t="s">
        <v>184</v>
      </c>
      <c r="H441" s="66" t="s">
        <v>16</v>
      </c>
      <c r="I441" s="200">
        <f ca="1">IFERROR(__xludf.DUMMYFUNCTION("IMPORTRANGE(""https://docs.google.com/spreadsheets/d/1C3CXT74ZlgGe6_JY_1olB1XN4rF0dxEuIIF-xsYjHgg/edit?usp=sharing"",""งบกองทุน!dr23"")"),22)</f>
        <v>22</v>
      </c>
      <c r="J441" s="68">
        <v>0</v>
      </c>
      <c r="K441" s="49">
        <f t="shared" ca="1" si="97"/>
        <v>0</v>
      </c>
      <c r="L441" s="61"/>
      <c r="M441" s="61"/>
      <c r="N441" s="61"/>
    </row>
    <row r="442" spans="1:14" ht="21.75" customHeight="1" x14ac:dyDescent="0.4">
      <c r="A442" s="55"/>
      <c r="B442" s="56"/>
      <c r="C442" s="56"/>
      <c r="D442" s="73"/>
      <c r="E442" s="74" t="s">
        <v>35</v>
      </c>
      <c r="F442" s="75"/>
      <c r="G442" s="76"/>
      <c r="H442" s="66"/>
      <c r="I442" s="67"/>
      <c r="J442" s="68">
        <v>0</v>
      </c>
      <c r="K442" s="49"/>
      <c r="L442" s="61"/>
      <c r="M442" s="61"/>
      <c r="N442" s="61"/>
    </row>
    <row r="443" spans="1:14" ht="21.75" customHeight="1" x14ac:dyDescent="0.4">
      <c r="A443" s="292"/>
      <c r="B443" s="293"/>
      <c r="C443" s="293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309"/>
      <c r="L443" s="300"/>
      <c r="M443" s="300"/>
      <c r="N443" s="300"/>
    </row>
    <row r="444" spans="1:14" ht="21.75" customHeight="1" x14ac:dyDescent="0.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8">SUM(I453,I455)</f>
        <v>0</v>
      </c>
      <c r="J444" s="257">
        <f t="shared" si="98"/>
        <v>0</v>
      </c>
      <c r="K444" s="258">
        <f ca="1">IF(I444&gt;0,J444*100/I444,0)</f>
        <v>0</v>
      </c>
      <c r="L444" s="259">
        <f t="shared" ref="L444:M444" ca="1" si="99">SUM(L445:L446)</f>
        <v>0</v>
      </c>
      <c r="M444" s="259">
        <f t="shared" si="99"/>
        <v>0</v>
      </c>
      <c r="N444" s="259">
        <f t="shared" ref="N444:N448" ca="1" si="100">+IF(L444&gt;0,M444*100/L444,0)</f>
        <v>0</v>
      </c>
    </row>
    <row r="445" spans="1:14" ht="21.75" customHeight="1" x14ac:dyDescent="0.4">
      <c r="A445" s="42"/>
      <c r="B445" s="43"/>
      <c r="C445" s="43" t="s">
        <v>17</v>
      </c>
      <c r="D445" s="44" t="s">
        <v>18</v>
      </c>
      <c r="E445" s="45"/>
      <c r="F445" s="45"/>
      <c r="G445" s="46" t="s">
        <v>19</v>
      </c>
      <c r="H445" s="47" t="s">
        <v>20</v>
      </c>
      <c r="I445" s="48" t="s">
        <v>21</v>
      </c>
      <c r="J445" s="67"/>
      <c r="K445" s="233"/>
      <c r="L445" s="50">
        <v>0</v>
      </c>
      <c r="M445" s="53">
        <v>0</v>
      </c>
      <c r="N445" s="53">
        <f t="shared" si="100"/>
        <v>0</v>
      </c>
    </row>
    <row r="446" spans="1:14" ht="21.75" customHeight="1" x14ac:dyDescent="0.4">
      <c r="A446" s="42"/>
      <c r="B446" s="43"/>
      <c r="C446" s="43"/>
      <c r="D446" s="51"/>
      <c r="E446" s="45"/>
      <c r="F446" s="45" t="s">
        <v>21</v>
      </c>
      <c r="G446" s="46" t="s">
        <v>22</v>
      </c>
      <c r="H446" s="47" t="s">
        <v>20</v>
      </c>
      <c r="I446" s="48"/>
      <c r="J446" s="67"/>
      <c r="K446" s="233"/>
      <c r="L446" s="50">
        <f t="shared" ref="L446:M446" ca="1" si="101">SUM(L447:L448)</f>
        <v>0</v>
      </c>
      <c r="M446" s="53">
        <f t="shared" si="101"/>
        <v>0</v>
      </c>
      <c r="N446" s="53">
        <f t="shared" ca="1" si="100"/>
        <v>0</v>
      </c>
    </row>
    <row r="447" spans="1:14" ht="21.75" customHeight="1" x14ac:dyDescent="0.4">
      <c r="A447" s="42"/>
      <c r="B447" s="43"/>
      <c r="C447" s="43"/>
      <c r="D447" s="51"/>
      <c r="E447" s="45"/>
      <c r="F447" s="45"/>
      <c r="G447" s="52" t="s">
        <v>110</v>
      </c>
      <c r="H447" s="47" t="s">
        <v>20</v>
      </c>
      <c r="I447" s="48"/>
      <c r="J447" s="67"/>
      <c r="K447" s="233"/>
      <c r="L447" s="53">
        <f ca="1">IFERROR(__xludf.DUMMYFUNCTION("IMPORTRANGE(""https://docs.google.com/spreadsheets/d/1C3CXT74ZlgGe6_JY_1olB1XN4rF0dxEuIIF-xsYjHgg/edit?usp=sharing"",""งบกองทุน!dt23"")"),0)</f>
        <v>0</v>
      </c>
      <c r="M447" s="53">
        <v>0</v>
      </c>
      <c r="N447" s="53">
        <f t="shared" ca="1" si="100"/>
        <v>0</v>
      </c>
    </row>
    <row r="448" spans="1:14" ht="21.75" customHeight="1" x14ac:dyDescent="0.4">
      <c r="A448" s="42"/>
      <c r="B448" s="43"/>
      <c r="C448" s="43"/>
      <c r="D448" s="51"/>
      <c r="E448" s="45"/>
      <c r="F448" s="45"/>
      <c r="G448" s="52" t="s">
        <v>111</v>
      </c>
      <c r="H448" s="47" t="s">
        <v>20</v>
      </c>
      <c r="I448" s="48"/>
      <c r="J448" s="67"/>
      <c r="K448" s="233"/>
      <c r="L448" s="53">
        <f ca="1">IFERROR(__xludf.DUMMYFUNCTION("IMPORTRANGE(""https://docs.google.com/spreadsheets/d/1C3CXT74ZlgGe6_JY_1olB1XN4rF0dxEuIIF-xsYjHgg/edit?usp=sharing"",""งบกองทุน!du23"")"),0)</f>
        <v>0</v>
      </c>
      <c r="M448" s="53">
        <f>SUM(M449:M452)</f>
        <v>0</v>
      </c>
      <c r="N448" s="53">
        <f t="shared" ca="1" si="100"/>
        <v>0</v>
      </c>
    </row>
    <row r="449" spans="1:14" ht="21.75" customHeight="1" x14ac:dyDescent="0.4">
      <c r="A449" s="230"/>
      <c r="B449" s="231"/>
      <c r="C449" s="43"/>
      <c r="D449" s="232"/>
      <c r="E449" s="45"/>
      <c r="F449" s="45"/>
      <c r="G449" s="46" t="s">
        <v>112</v>
      </c>
      <c r="H449" s="47" t="s">
        <v>20</v>
      </c>
      <c r="I449" s="67"/>
      <c r="J449" s="67"/>
      <c r="K449" s="233"/>
      <c r="L449" s="53"/>
      <c r="M449" s="53">
        <v>0</v>
      </c>
      <c r="N449" s="53"/>
    </row>
    <row r="450" spans="1:14" ht="21.75" customHeight="1" x14ac:dyDescent="0.4">
      <c r="A450" s="230"/>
      <c r="B450" s="231"/>
      <c r="C450" s="43"/>
      <c r="D450" s="232"/>
      <c r="E450" s="45"/>
      <c r="F450" s="45"/>
      <c r="G450" s="46" t="s">
        <v>113</v>
      </c>
      <c r="H450" s="47" t="s">
        <v>20</v>
      </c>
      <c r="I450" s="67"/>
      <c r="J450" s="67"/>
      <c r="K450" s="233"/>
      <c r="L450" s="53"/>
      <c r="M450" s="53">
        <v>0</v>
      </c>
      <c r="N450" s="53"/>
    </row>
    <row r="451" spans="1:14" ht="21.75" customHeight="1" x14ac:dyDescent="0.4">
      <c r="A451" s="230"/>
      <c r="B451" s="231"/>
      <c r="C451" s="43"/>
      <c r="D451" s="232"/>
      <c r="E451" s="45"/>
      <c r="F451" s="45"/>
      <c r="G451" s="46" t="s">
        <v>114</v>
      </c>
      <c r="H451" s="47" t="s">
        <v>20</v>
      </c>
      <c r="I451" s="67"/>
      <c r="J451" s="67"/>
      <c r="K451" s="233"/>
      <c r="L451" s="53"/>
      <c r="M451" s="53">
        <v>0</v>
      </c>
      <c r="N451" s="53"/>
    </row>
    <row r="452" spans="1:14" ht="21.75" customHeight="1" x14ac:dyDescent="0.4">
      <c r="A452" s="230"/>
      <c r="B452" s="231"/>
      <c r="C452" s="43"/>
      <c r="D452" s="232"/>
      <c r="E452" s="45"/>
      <c r="F452" s="45"/>
      <c r="G452" s="46" t="s">
        <v>115</v>
      </c>
      <c r="H452" s="47" t="s">
        <v>20</v>
      </c>
      <c r="I452" s="67"/>
      <c r="J452" s="67"/>
      <c r="K452" s="233"/>
      <c r="L452" s="53"/>
      <c r="M452" s="53">
        <v>0</v>
      </c>
      <c r="N452" s="53"/>
    </row>
    <row r="453" spans="1:14" ht="21.75" customHeight="1" x14ac:dyDescent="0.4">
      <c r="A453" s="55"/>
      <c r="B453" s="56"/>
      <c r="C453" s="56"/>
      <c r="D453" s="73"/>
      <c r="E453" s="75"/>
      <c r="F453" s="75" t="s">
        <v>186</v>
      </c>
      <c r="G453" s="76"/>
      <c r="H453" s="315" t="s">
        <v>103</v>
      </c>
      <c r="I453" s="48">
        <f ca="1">IFERROR(__xludf.DUMMYFUNCTION("IMPORTRANGE(""https://docs.google.com/spreadsheets/d/1C3CXT74ZlgGe6_JY_1olB1XN4rF0dxEuIIF-xsYjHgg/edit?usp=sharing"",""งบกองทุน!dw23"")"),0)</f>
        <v>0</v>
      </c>
      <c r="J453" s="67">
        <v>0</v>
      </c>
      <c r="K453" s="233">
        <f t="shared" ref="K453:K457" ca="1" si="102">IF(I453&gt;0,J453*100/I453,0)</f>
        <v>0</v>
      </c>
      <c r="L453" s="53"/>
      <c r="M453" s="53"/>
      <c r="N453" s="61"/>
    </row>
    <row r="454" spans="1:14" ht="21.75" customHeight="1" x14ac:dyDescent="0.4">
      <c r="A454" s="55"/>
      <c r="B454" s="56"/>
      <c r="C454" s="56"/>
      <c r="D454" s="73"/>
      <c r="E454" s="75"/>
      <c r="F454" s="75"/>
      <c r="G454" s="76"/>
      <c r="H454" s="315" t="s">
        <v>15</v>
      </c>
      <c r="I454" s="48">
        <f ca="1">IFERROR(__xludf.DUMMYFUNCTION("IMPORTRANGE(""https://docs.google.com/spreadsheets/d/1C3CXT74ZlgGe6_JY_1olB1XN4rF0dxEuIIF-xsYjHgg/edit?usp=sharing"",""งบกองทุน!dx23"")"),0)</f>
        <v>0</v>
      </c>
      <c r="J454" s="67">
        <v>0</v>
      </c>
      <c r="K454" s="233">
        <f t="shared" ca="1" si="102"/>
        <v>0</v>
      </c>
      <c r="L454" s="53"/>
      <c r="M454" s="53"/>
      <c r="N454" s="61"/>
    </row>
    <row r="455" spans="1:14" ht="21.75" customHeight="1" x14ac:dyDescent="0.4">
      <c r="A455" s="55"/>
      <c r="B455" s="56"/>
      <c r="C455" s="56"/>
      <c r="D455" s="73"/>
      <c r="E455" s="75"/>
      <c r="F455" s="75" t="s">
        <v>187</v>
      </c>
      <c r="G455" s="76"/>
      <c r="H455" s="315" t="s">
        <v>103</v>
      </c>
      <c r="I455" s="48">
        <f ca="1">IFERROR(__xludf.DUMMYFUNCTION("IMPORTRANGE(""https://docs.google.com/spreadsheets/d/1C3CXT74ZlgGe6_JY_1olB1XN4rF0dxEuIIF-xsYjHgg/edit?usp=sharing"",""งบกองทุน!dy23"")"),0)</f>
        <v>0</v>
      </c>
      <c r="J455" s="67">
        <v>0</v>
      </c>
      <c r="K455" s="49">
        <f t="shared" ca="1" si="102"/>
        <v>0</v>
      </c>
      <c r="L455" s="61"/>
      <c r="M455" s="61"/>
      <c r="N455" s="61"/>
    </row>
    <row r="456" spans="1:14" ht="21.75" customHeight="1" x14ac:dyDescent="0.4">
      <c r="A456" s="55"/>
      <c r="B456" s="56"/>
      <c r="C456" s="56"/>
      <c r="D456" s="73"/>
      <c r="E456" s="75"/>
      <c r="F456" s="75"/>
      <c r="G456" s="76"/>
      <c r="H456" s="315" t="s">
        <v>15</v>
      </c>
      <c r="I456" s="48">
        <f ca="1">IFERROR(__xludf.DUMMYFUNCTION("IMPORTRANGE(""https://docs.google.com/spreadsheets/d/1C3CXT74ZlgGe6_JY_1olB1XN4rF0dxEuIIF-xsYjHgg/edit?usp=sharing"",""งบกองทุน!dz23"")"),0)</f>
        <v>0</v>
      </c>
      <c r="J456" s="67">
        <v>0</v>
      </c>
      <c r="K456" s="49">
        <f t="shared" ca="1" si="102"/>
        <v>0</v>
      </c>
      <c r="L456" s="61"/>
      <c r="M456" s="61"/>
      <c r="N456" s="61"/>
    </row>
    <row r="457" spans="1:14" ht="21.75" customHeight="1" x14ac:dyDescent="0.4">
      <c r="A457" s="222"/>
      <c r="B457" s="223">
        <v>8</v>
      </c>
      <c r="C457" s="224" t="s">
        <v>188</v>
      </c>
      <c r="D457" s="224"/>
      <c r="E457" s="224"/>
      <c r="F457" s="224"/>
      <c r="G457" s="225"/>
      <c r="H457" s="226" t="s">
        <v>16</v>
      </c>
      <c r="I457" s="227">
        <f ca="1">I466</f>
        <v>1300</v>
      </c>
      <c r="J457" s="227">
        <f>+J466</f>
        <v>151</v>
      </c>
      <c r="K457" s="228">
        <f t="shared" ca="1" si="102"/>
        <v>11.615384615384615</v>
      </c>
      <c r="L457" s="229">
        <f t="shared" ref="L457:M457" ca="1" si="103">SUM(L458:L459)</f>
        <v>128080</v>
      </c>
      <c r="M457" s="229">
        <f t="shared" si="103"/>
        <v>0</v>
      </c>
      <c r="N457" s="229">
        <f t="shared" ref="N457:N461" ca="1" si="104">+IF(L457&gt;0,M457*100/L457,0)</f>
        <v>0</v>
      </c>
    </row>
    <row r="458" spans="1:14" ht="21.75" customHeight="1" x14ac:dyDescent="0.4">
      <c r="A458" s="42"/>
      <c r="B458" s="43"/>
      <c r="C458" s="43" t="s">
        <v>17</v>
      </c>
      <c r="D458" s="44" t="s">
        <v>18</v>
      </c>
      <c r="E458" s="45"/>
      <c r="F458" s="45"/>
      <c r="G458" s="46" t="s">
        <v>19</v>
      </c>
      <c r="H458" s="47" t="s">
        <v>20</v>
      </c>
      <c r="I458" s="48" t="s">
        <v>21</v>
      </c>
      <c r="J458" s="48"/>
      <c r="K458" s="49"/>
      <c r="L458" s="50">
        <v>0</v>
      </c>
      <c r="M458" s="53">
        <v>0</v>
      </c>
      <c r="N458" s="53">
        <f t="shared" si="104"/>
        <v>0</v>
      </c>
    </row>
    <row r="459" spans="1:14" ht="21.75" customHeight="1" x14ac:dyDescent="0.4">
      <c r="A459" s="42"/>
      <c r="B459" s="43"/>
      <c r="C459" s="43"/>
      <c r="D459" s="51"/>
      <c r="E459" s="45"/>
      <c r="F459" s="45" t="s">
        <v>21</v>
      </c>
      <c r="G459" s="46" t="s">
        <v>22</v>
      </c>
      <c r="H459" s="47" t="s">
        <v>20</v>
      </c>
      <c r="I459" s="48"/>
      <c r="J459" s="48"/>
      <c r="K459" s="49"/>
      <c r="L459" s="50">
        <f t="shared" ref="L459:M459" ca="1" si="105">SUM(L460:L461)</f>
        <v>128080</v>
      </c>
      <c r="M459" s="53">
        <f t="shared" si="105"/>
        <v>0</v>
      </c>
      <c r="N459" s="53">
        <f t="shared" ca="1" si="104"/>
        <v>0</v>
      </c>
    </row>
    <row r="460" spans="1:14" ht="21.75" customHeight="1" x14ac:dyDescent="0.4">
      <c r="A460" s="42"/>
      <c r="B460" s="43"/>
      <c r="C460" s="43"/>
      <c r="D460" s="51"/>
      <c r="E460" s="45"/>
      <c r="F460" s="45"/>
      <c r="G460" s="52" t="s">
        <v>110</v>
      </c>
      <c r="H460" s="47" t="s">
        <v>20</v>
      </c>
      <c r="I460" s="48"/>
      <c r="J460" s="48"/>
      <c r="K460" s="49"/>
      <c r="L460" s="53">
        <f ca="1">IFERROR(__xludf.DUMMYFUNCTION("IMPORTRANGE(""https://docs.google.com/spreadsheets/d/1C3CXT74ZlgGe6_JY_1olB1XN4rF0dxEuIIF-xsYjHgg/edit?usp=sharing"",""งบกองทุน!Eb23"")"),0)</f>
        <v>0</v>
      </c>
      <c r="M460" s="53">
        <v>0</v>
      </c>
      <c r="N460" s="53">
        <f t="shared" ca="1" si="104"/>
        <v>0</v>
      </c>
    </row>
    <row r="461" spans="1:14" ht="21.75" customHeight="1" x14ac:dyDescent="0.4">
      <c r="A461" s="42"/>
      <c r="B461" s="43"/>
      <c r="C461" s="43"/>
      <c r="D461" s="51"/>
      <c r="E461" s="45"/>
      <c r="F461" s="45"/>
      <c r="G461" s="52" t="s">
        <v>111</v>
      </c>
      <c r="H461" s="47" t="s">
        <v>20</v>
      </c>
      <c r="I461" s="48"/>
      <c r="J461" s="48"/>
      <c r="K461" s="49"/>
      <c r="L461" s="53">
        <f ca="1">IFERROR(__xludf.DUMMYFUNCTION("IMPORTRANGE(""https://docs.google.com/spreadsheets/d/1C3CXT74ZlgGe6_JY_1olB1XN4rF0dxEuIIF-xsYjHgg/edit?usp=sharing"",""งบกองทุน!Ec23"")"),128080)</f>
        <v>128080</v>
      </c>
      <c r="M461" s="53">
        <f>SUM(M462:M465)</f>
        <v>0</v>
      </c>
      <c r="N461" s="53">
        <f t="shared" ca="1" si="104"/>
        <v>0</v>
      </c>
    </row>
    <row r="462" spans="1:14" ht="21.75" customHeight="1" x14ac:dyDescent="0.4">
      <c r="A462" s="230"/>
      <c r="B462" s="231"/>
      <c r="C462" s="43"/>
      <c r="D462" s="232"/>
      <c r="E462" s="45"/>
      <c r="F462" s="45"/>
      <c r="G462" s="46" t="s">
        <v>112</v>
      </c>
      <c r="H462" s="47" t="s">
        <v>20</v>
      </c>
      <c r="I462" s="67"/>
      <c r="J462" s="67"/>
      <c r="K462" s="233"/>
      <c r="L462" s="53"/>
      <c r="M462" s="53">
        <v>0</v>
      </c>
      <c r="N462" s="53"/>
    </row>
    <row r="463" spans="1:14" ht="21.75" customHeight="1" x14ac:dyDescent="0.4">
      <c r="A463" s="230"/>
      <c r="B463" s="231"/>
      <c r="C463" s="43"/>
      <c r="D463" s="232"/>
      <c r="E463" s="45"/>
      <c r="F463" s="45"/>
      <c r="G463" s="46" t="s">
        <v>113</v>
      </c>
      <c r="H463" s="47" t="s">
        <v>20</v>
      </c>
      <c r="I463" s="67"/>
      <c r="J463" s="67"/>
      <c r="K463" s="233"/>
      <c r="L463" s="53"/>
      <c r="M463" s="53">
        <v>0</v>
      </c>
      <c r="N463" s="53"/>
    </row>
    <row r="464" spans="1:14" ht="21.75" customHeight="1" x14ac:dyDescent="0.4">
      <c r="A464" s="230"/>
      <c r="B464" s="231"/>
      <c r="C464" s="43"/>
      <c r="D464" s="232"/>
      <c r="E464" s="45"/>
      <c r="F464" s="45"/>
      <c r="G464" s="46" t="s">
        <v>114</v>
      </c>
      <c r="H464" s="47" t="s">
        <v>20</v>
      </c>
      <c r="I464" s="67"/>
      <c r="J464" s="67"/>
      <c r="K464" s="233"/>
      <c r="L464" s="53"/>
      <c r="M464" s="54">
        <v>0</v>
      </c>
      <c r="N464" s="53"/>
    </row>
    <row r="465" spans="1:14" ht="21.75" customHeight="1" x14ac:dyDescent="0.4">
      <c r="A465" s="230"/>
      <c r="B465" s="231"/>
      <c r="C465" s="43"/>
      <c r="D465" s="232"/>
      <c r="E465" s="45"/>
      <c r="F465" s="45"/>
      <c r="G465" s="46" t="s">
        <v>115</v>
      </c>
      <c r="H465" s="47" t="s">
        <v>20</v>
      </c>
      <c r="I465" s="67"/>
      <c r="J465" s="67"/>
      <c r="K465" s="233"/>
      <c r="L465" s="53"/>
      <c r="M465" s="54">
        <v>0</v>
      </c>
      <c r="N465" s="53"/>
    </row>
    <row r="466" spans="1:14" ht="21.75" customHeight="1" x14ac:dyDescent="0.4">
      <c r="A466" s="55"/>
      <c r="B466" s="56"/>
      <c r="C466" s="56"/>
      <c r="D466" s="75"/>
      <c r="E466" s="74" t="s">
        <v>21</v>
      </c>
      <c r="F466" s="260" t="s">
        <v>189</v>
      </c>
      <c r="G466" s="240"/>
      <c r="H466" s="314" t="s">
        <v>16</v>
      </c>
      <c r="I466" s="265">
        <f ca="1">IFERROR(__xludf.DUMMYFUNCTION("IMPORTRANGE(""https://docs.google.com/spreadsheets/d/1C3CXT74ZlgGe6_JY_1olB1XN4rF0dxEuIIF-xsYjHgg/edit?usp=sharing"",""งบกองทุน!Ed23"")"),1300)</f>
        <v>1300</v>
      </c>
      <c r="J466" s="265">
        <f>+J469+J470+J471+J472</f>
        <v>151</v>
      </c>
      <c r="K466" s="80">
        <f ca="1">IF(I466&gt;0,J466*100/I466,0)</f>
        <v>11.615384615384615</v>
      </c>
      <c r="L466" s="61"/>
      <c r="M466" s="61"/>
      <c r="N466" s="61"/>
    </row>
    <row r="467" spans="1:14" ht="21.75" customHeight="1" x14ac:dyDescent="0.4">
      <c r="A467" s="55"/>
      <c r="B467" s="56"/>
      <c r="C467" s="56"/>
      <c r="D467" s="75"/>
      <c r="E467" s="75"/>
      <c r="F467" s="74" t="s">
        <v>190</v>
      </c>
      <c r="G467" s="76"/>
      <c r="H467" s="315"/>
      <c r="I467" s="48"/>
      <c r="J467" s="48"/>
      <c r="K467" s="49"/>
      <c r="L467" s="61"/>
      <c r="M467" s="61"/>
      <c r="N467" s="61"/>
    </row>
    <row r="468" spans="1:14" ht="21.75" customHeight="1" x14ac:dyDescent="0.4">
      <c r="A468" s="55"/>
      <c r="B468" s="56"/>
      <c r="C468" s="56"/>
      <c r="D468" s="75"/>
      <c r="E468" s="74" t="s">
        <v>21</v>
      </c>
      <c r="F468" s="74" t="s">
        <v>191</v>
      </c>
      <c r="G468" s="76"/>
      <c r="H468" s="315" t="s">
        <v>57</v>
      </c>
      <c r="I468" s="48">
        <v>0</v>
      </c>
      <c r="J468" s="68">
        <v>0</v>
      </c>
      <c r="K468" s="49">
        <f t="shared" ref="K468:K472" si="106">IF(I468&gt;0,J468*100/I468,0)</f>
        <v>0</v>
      </c>
      <c r="L468" s="61"/>
      <c r="M468" s="61"/>
      <c r="N468" s="61"/>
    </row>
    <row r="469" spans="1:14" ht="21.75" customHeight="1" x14ac:dyDescent="0.4">
      <c r="A469" s="55"/>
      <c r="B469" s="56"/>
      <c r="C469" s="56"/>
      <c r="D469" s="75"/>
      <c r="E469" s="75"/>
      <c r="F469" s="74" t="s">
        <v>192</v>
      </c>
      <c r="G469" s="76"/>
      <c r="H469" s="315" t="s">
        <v>16</v>
      </c>
      <c r="I469" s="48">
        <v>0</v>
      </c>
      <c r="J469" s="68">
        <v>151</v>
      </c>
      <c r="K469" s="49">
        <f t="shared" si="106"/>
        <v>0</v>
      </c>
      <c r="L469" s="61"/>
      <c r="M469" s="61"/>
      <c r="N469" s="61"/>
    </row>
    <row r="470" spans="1:14" ht="21.75" customHeight="1" x14ac:dyDescent="0.4">
      <c r="A470" s="55"/>
      <c r="B470" s="56"/>
      <c r="C470" s="56"/>
      <c r="D470" s="75"/>
      <c r="E470" s="75"/>
      <c r="F470" s="74" t="s">
        <v>193</v>
      </c>
      <c r="G470" s="76"/>
      <c r="H470" s="315" t="s">
        <v>16</v>
      </c>
      <c r="I470" s="48">
        <v>0</v>
      </c>
      <c r="J470" s="68">
        <v>0</v>
      </c>
      <c r="K470" s="49">
        <f t="shared" si="106"/>
        <v>0</v>
      </c>
      <c r="L470" s="61"/>
      <c r="M470" s="61"/>
      <c r="N470" s="61"/>
    </row>
    <row r="471" spans="1:14" ht="21.75" customHeight="1" x14ac:dyDescent="0.4">
      <c r="A471" s="55"/>
      <c r="B471" s="56"/>
      <c r="C471" s="56"/>
      <c r="D471" s="75"/>
      <c r="E471" s="75"/>
      <c r="F471" s="74" t="s">
        <v>194</v>
      </c>
      <c r="G471" s="266"/>
      <c r="H471" s="315" t="s">
        <v>16</v>
      </c>
      <c r="I471" s="48">
        <v>0</v>
      </c>
      <c r="J471" s="68">
        <v>0</v>
      </c>
      <c r="K471" s="49">
        <f t="shared" si="106"/>
        <v>0</v>
      </c>
      <c r="L471" s="61"/>
      <c r="M471" s="61"/>
      <c r="N471" s="61"/>
    </row>
    <row r="472" spans="1:14" ht="21.75" customHeight="1" x14ac:dyDescent="0.4">
      <c r="A472" s="55"/>
      <c r="B472" s="56"/>
      <c r="C472" s="56"/>
      <c r="D472" s="75"/>
      <c r="E472" s="75"/>
      <c r="F472" s="74" t="s">
        <v>195</v>
      </c>
      <c r="G472" s="266"/>
      <c r="H472" s="315" t="s">
        <v>16</v>
      </c>
      <c r="I472" s="48">
        <v>0</v>
      </c>
      <c r="J472" s="68">
        <v>0</v>
      </c>
      <c r="K472" s="49">
        <f t="shared" si="106"/>
        <v>0</v>
      </c>
      <c r="L472" s="61"/>
      <c r="M472" s="61"/>
      <c r="N472" s="61"/>
    </row>
    <row r="473" spans="1:14" ht="21.75" customHeight="1" x14ac:dyDescent="0.4">
      <c r="A473" s="222"/>
      <c r="B473" s="223">
        <v>9</v>
      </c>
      <c r="C473" s="224" t="s">
        <v>196</v>
      </c>
      <c r="D473" s="224"/>
      <c r="E473" s="224"/>
      <c r="F473" s="224"/>
      <c r="G473" s="225"/>
      <c r="H473" s="226" t="s">
        <v>16</v>
      </c>
      <c r="I473" s="227">
        <f ca="1">I484</f>
        <v>220</v>
      </c>
      <c r="J473" s="227">
        <f ca="1">J488</f>
        <v>0</v>
      </c>
      <c r="K473" s="228">
        <f ca="1">IF(I473&gt;0,J473*100/I473,0)</f>
        <v>0</v>
      </c>
      <c r="L473" s="229">
        <f ca="1">SUM(L474,L475)</f>
        <v>370020</v>
      </c>
      <c r="M473" s="229">
        <f>SUM(M474:M475)</f>
        <v>0</v>
      </c>
      <c r="N473" s="229">
        <f t="shared" ref="N473:N477" ca="1" si="107">+IF(L473&gt;0,M473*100/L473,0)</f>
        <v>0</v>
      </c>
    </row>
    <row r="474" spans="1:14" ht="21.75" customHeight="1" x14ac:dyDescent="0.4">
      <c r="A474" s="42"/>
      <c r="B474" s="43"/>
      <c r="C474" s="43" t="s">
        <v>17</v>
      </c>
      <c r="D474" s="44" t="s">
        <v>18</v>
      </c>
      <c r="E474" s="45"/>
      <c r="F474" s="45"/>
      <c r="G474" s="46" t="s">
        <v>19</v>
      </c>
      <c r="H474" s="47" t="s">
        <v>20</v>
      </c>
      <c r="I474" s="48" t="s">
        <v>21</v>
      </c>
      <c r="J474" s="48"/>
      <c r="K474" s="49"/>
      <c r="L474" s="50">
        <v>0</v>
      </c>
      <c r="M474" s="53">
        <v>0</v>
      </c>
      <c r="N474" s="53">
        <f t="shared" si="107"/>
        <v>0</v>
      </c>
    </row>
    <row r="475" spans="1:14" ht="21.75" customHeight="1" x14ac:dyDescent="0.4">
      <c r="A475" s="42"/>
      <c r="B475" s="43"/>
      <c r="C475" s="43"/>
      <c r="D475" s="51"/>
      <c r="E475" s="45"/>
      <c r="F475" s="45" t="s">
        <v>21</v>
      </c>
      <c r="G475" s="46" t="s">
        <v>22</v>
      </c>
      <c r="H475" s="47" t="s">
        <v>20</v>
      </c>
      <c r="I475" s="48"/>
      <c r="J475" s="48"/>
      <c r="K475" s="49"/>
      <c r="L475" s="50">
        <f t="shared" ref="L475:M475" ca="1" si="108">SUM(L476:L477)</f>
        <v>370020</v>
      </c>
      <c r="M475" s="53">
        <f t="shared" si="108"/>
        <v>0</v>
      </c>
      <c r="N475" s="53">
        <f t="shared" ca="1" si="107"/>
        <v>0</v>
      </c>
    </row>
    <row r="476" spans="1:14" ht="21.75" customHeight="1" x14ac:dyDescent="0.4">
      <c r="A476" s="42"/>
      <c r="B476" s="43"/>
      <c r="C476" s="43"/>
      <c r="D476" s="51"/>
      <c r="E476" s="45"/>
      <c r="F476" s="45"/>
      <c r="G476" s="52" t="s">
        <v>110</v>
      </c>
      <c r="H476" s="47" t="s">
        <v>20</v>
      </c>
      <c r="I476" s="48"/>
      <c r="J476" s="48"/>
      <c r="K476" s="49"/>
      <c r="L476" s="53">
        <f ca="1">IFERROR(__xludf.DUMMYFUNCTION("IMPORTRANGE(""https://docs.google.com/spreadsheets/d/1C3CXT74ZlgGe6_JY_1olB1XN4rF0dxEuIIF-xsYjHgg/edit?usp=sharing"",""งบกองทุน!Ek23"")"),0)</f>
        <v>0</v>
      </c>
      <c r="M476" s="53">
        <v>0</v>
      </c>
      <c r="N476" s="53">
        <f t="shared" ca="1" si="107"/>
        <v>0</v>
      </c>
    </row>
    <row r="477" spans="1:14" ht="21.75" customHeight="1" x14ac:dyDescent="0.4">
      <c r="A477" s="42"/>
      <c r="B477" s="43"/>
      <c r="C477" s="43"/>
      <c r="D477" s="51"/>
      <c r="E477" s="45"/>
      <c r="F477" s="45"/>
      <c r="G477" s="52" t="s">
        <v>111</v>
      </c>
      <c r="H477" s="47" t="s">
        <v>20</v>
      </c>
      <c r="I477" s="48"/>
      <c r="J477" s="48"/>
      <c r="K477" s="49"/>
      <c r="L477" s="53">
        <f ca="1">IFERROR(__xludf.DUMMYFUNCTION("IMPORTRANGE(""https://docs.google.com/spreadsheets/d/1C3CXT74ZlgGe6_JY_1olB1XN4rF0dxEuIIF-xsYjHgg/edit?usp=sharing"",""งบกองทุน!El23"")"),370020)</f>
        <v>370020</v>
      </c>
      <c r="M477" s="53">
        <f>SUM(M478:M481)</f>
        <v>0</v>
      </c>
      <c r="N477" s="53">
        <f t="shared" ca="1" si="107"/>
        <v>0</v>
      </c>
    </row>
    <row r="478" spans="1:14" ht="21.75" customHeight="1" x14ac:dyDescent="0.4">
      <c r="A478" s="230"/>
      <c r="B478" s="231"/>
      <c r="C478" s="43"/>
      <c r="D478" s="232"/>
      <c r="E478" s="45"/>
      <c r="F478" s="45"/>
      <c r="G478" s="46" t="s">
        <v>112</v>
      </c>
      <c r="H478" s="47" t="s">
        <v>20</v>
      </c>
      <c r="I478" s="67"/>
      <c r="J478" s="67"/>
      <c r="K478" s="233"/>
      <c r="L478" s="53"/>
      <c r="M478" s="53">
        <v>0</v>
      </c>
      <c r="N478" s="53"/>
    </row>
    <row r="479" spans="1:14" ht="21.75" customHeight="1" x14ac:dyDescent="0.4">
      <c r="A479" s="230"/>
      <c r="B479" s="231"/>
      <c r="C479" s="43"/>
      <c r="D479" s="232"/>
      <c r="E479" s="45"/>
      <c r="F479" s="45"/>
      <c r="G479" s="46" t="s">
        <v>113</v>
      </c>
      <c r="H479" s="47" t="s">
        <v>20</v>
      </c>
      <c r="I479" s="67"/>
      <c r="J479" s="67"/>
      <c r="K479" s="233"/>
      <c r="L479" s="53"/>
      <c r="M479" s="53">
        <v>0</v>
      </c>
      <c r="N479" s="53"/>
    </row>
    <row r="480" spans="1:14" ht="21.75" customHeight="1" x14ac:dyDescent="0.4">
      <c r="A480" s="230"/>
      <c r="B480" s="231"/>
      <c r="C480" s="43"/>
      <c r="D480" s="232"/>
      <c r="E480" s="45"/>
      <c r="F480" s="45"/>
      <c r="G480" s="46" t="s">
        <v>114</v>
      </c>
      <c r="H480" s="47" t="s">
        <v>20</v>
      </c>
      <c r="I480" s="67"/>
      <c r="J480" s="67"/>
      <c r="K480" s="233"/>
      <c r="L480" s="53"/>
      <c r="M480" s="54">
        <v>0</v>
      </c>
      <c r="N480" s="53"/>
    </row>
    <row r="481" spans="1:14" ht="21.75" customHeight="1" x14ac:dyDescent="0.4">
      <c r="A481" s="230"/>
      <c r="B481" s="231"/>
      <c r="C481" s="43"/>
      <c r="D481" s="232"/>
      <c r="E481" s="45"/>
      <c r="F481" s="45"/>
      <c r="G481" s="46" t="s">
        <v>115</v>
      </c>
      <c r="H481" s="47" t="s">
        <v>20</v>
      </c>
      <c r="I481" s="67"/>
      <c r="J481" s="67"/>
      <c r="K481" s="233"/>
      <c r="L481" s="53"/>
      <c r="M481" s="54">
        <v>0</v>
      </c>
      <c r="N481" s="53"/>
    </row>
    <row r="482" spans="1:14" ht="21.75" customHeight="1" x14ac:dyDescent="0.4">
      <c r="A482" s="316"/>
      <c r="B482" s="51"/>
      <c r="C482" s="43"/>
      <c r="D482" s="155"/>
      <c r="E482" s="74" t="s">
        <v>197</v>
      </c>
      <c r="F482" s="75"/>
      <c r="G482" s="76"/>
      <c r="H482" s="60" t="s">
        <v>15</v>
      </c>
      <c r="I482" s="200">
        <f ca="1">IFERROR(__xludf.DUMMYFUNCTION("IMPORTRANGE(""https://docs.google.com/spreadsheets/d/1C3CXT74ZlgGe6_JY_1olB1XN4rF0dxEuIIF-xsYjHgg/edit?usp=sharing"",""งบกองทุน!Em23"")"),220)</f>
        <v>220</v>
      </c>
      <c r="J482" s="67">
        <f ca="1">IFERROR(__xludf.DUMMYFUNCTION("IMPORTRANGE(""https://docs.google.com/spreadsheets/d/1AGHcLOeeYFL3K4b9R1dSzyJy00PE_ra89DNTVfnxSWM/edit?usp=sharing"",""รวมที่ชุมชน!G12"")"),0)</f>
        <v>0</v>
      </c>
      <c r="K482" s="49">
        <f t="shared" ref="K482:K489" ca="1" si="109">IF(I482&gt;0,J482*100/I482,0)</f>
        <v>0</v>
      </c>
      <c r="L482" s="61"/>
      <c r="M482" s="53"/>
      <c r="N482" s="61"/>
    </row>
    <row r="483" spans="1:14" ht="21.75" customHeight="1" x14ac:dyDescent="0.4">
      <c r="A483" s="316"/>
      <c r="B483" s="51"/>
      <c r="C483" s="43"/>
      <c r="D483" s="155"/>
      <c r="E483" s="75"/>
      <c r="F483" s="75"/>
      <c r="G483" s="76"/>
      <c r="H483" s="60" t="s">
        <v>103</v>
      </c>
      <c r="I483" s="200">
        <f ca="1">IFERROR(__xludf.DUMMYFUNCTION("IMPORTRANGE(""https://docs.google.com/spreadsheets/d/1C3CXT74ZlgGe6_JY_1olB1XN4rF0dxEuIIF-xsYjHgg/edit?usp=sharing"",""งบกองทุน!En23"")"),0)</f>
        <v>0</v>
      </c>
      <c r="J483" s="67">
        <f ca="1">IFERROR(__xludf.DUMMYFUNCTION("IMPORTRANGE(""https://docs.google.com/spreadsheets/d/1AGHcLOeeYFL3K4b9R1dSzyJy00PE_ra89DNTVfnxSWM/edit?usp=sharing"",""รวมที่ชุมชน!H12"")"),0)</f>
        <v>0</v>
      </c>
      <c r="K483" s="49">
        <f t="shared" ca="1" si="109"/>
        <v>0</v>
      </c>
      <c r="L483" s="61"/>
      <c r="M483" s="53"/>
      <c r="N483" s="61"/>
    </row>
    <row r="484" spans="1:14" ht="21.75" customHeight="1" x14ac:dyDescent="0.4">
      <c r="A484" s="316"/>
      <c r="B484" s="51"/>
      <c r="C484" s="43"/>
      <c r="D484" s="155"/>
      <c r="E484" s="74" t="s">
        <v>104</v>
      </c>
      <c r="F484" s="75"/>
      <c r="G484" s="76"/>
      <c r="H484" s="60" t="s">
        <v>16</v>
      </c>
      <c r="I484" s="200">
        <f ca="1">IFERROR(__xludf.DUMMYFUNCTION("IMPORTRANGE(""https://docs.google.com/spreadsheets/d/1C3CXT74ZlgGe6_JY_1olB1XN4rF0dxEuIIF-xsYjHgg/edit?usp=sharing"",""งบกองทุน!Eo23"")"),220)</f>
        <v>220</v>
      </c>
      <c r="J484" s="67">
        <f ca="1">IFERROR(__xludf.DUMMYFUNCTION("IMPORTRANGE(""https://docs.google.com/spreadsheets/d/1AGHcLOeeYFL3K4b9R1dSzyJy00PE_ra89DNTVfnxSWM/edit?usp=sharing"",""รวมที่ชุมชน!J12"")"),0)</f>
        <v>0</v>
      </c>
      <c r="K484" s="49">
        <f t="shared" ca="1" si="109"/>
        <v>0</v>
      </c>
      <c r="L484" s="61"/>
      <c r="M484" s="61"/>
      <c r="N484" s="61"/>
    </row>
    <row r="485" spans="1:14" ht="21.75" customHeight="1" x14ac:dyDescent="0.4">
      <c r="A485" s="316"/>
      <c r="B485" s="51"/>
      <c r="C485" s="43"/>
      <c r="D485" s="155"/>
      <c r="E485" s="75"/>
      <c r="F485" s="75"/>
      <c r="G485" s="76"/>
      <c r="H485" s="60" t="s">
        <v>103</v>
      </c>
      <c r="I485" s="200">
        <f ca="1">IFERROR(__xludf.DUMMYFUNCTION("IMPORTRANGE(""https://docs.google.com/spreadsheets/d/1C3CXT74ZlgGe6_JY_1olB1XN4rF0dxEuIIF-xsYjHgg/edit?usp=sharing"",""งบกองทุน!Ep23"")"),0)</f>
        <v>0</v>
      </c>
      <c r="J485" s="67">
        <f ca="1">IFERROR(__xludf.DUMMYFUNCTION("IMPORTRANGE(""https://docs.google.com/spreadsheets/d/1AGHcLOeeYFL3K4b9R1dSzyJy00PE_ra89DNTVfnxSWM/edit?usp=sharing"",""รวมที่ชุมชน!L12"")"),0)</f>
        <v>0</v>
      </c>
      <c r="K485" s="49">
        <f t="shared" ca="1" si="109"/>
        <v>0</v>
      </c>
      <c r="L485" s="61"/>
      <c r="M485" s="61"/>
      <c r="N485" s="61"/>
    </row>
    <row r="486" spans="1:14" ht="21.75" customHeight="1" x14ac:dyDescent="0.4">
      <c r="A486" s="316"/>
      <c r="B486" s="51"/>
      <c r="C486" s="43"/>
      <c r="D486" s="155"/>
      <c r="E486" s="74" t="s">
        <v>105</v>
      </c>
      <c r="F486" s="75"/>
      <c r="G486" s="76"/>
      <c r="H486" s="60" t="s">
        <v>16</v>
      </c>
      <c r="I486" s="200">
        <f ca="1">IFERROR(__xludf.DUMMYFUNCTION("IMPORTRANGE(""https://docs.google.com/spreadsheets/d/1C3CXT74ZlgGe6_JY_1olB1XN4rF0dxEuIIF-xsYjHgg/edit?usp=sharing"",""งบกองทุน!Eq23"")"),220)</f>
        <v>220</v>
      </c>
      <c r="J486" s="67">
        <f ca="1">IFERROR(__xludf.DUMMYFUNCTION("IMPORTRANGE(""https://docs.google.com/spreadsheets/d/1AGHcLOeeYFL3K4b9R1dSzyJy00PE_ra89DNTVfnxSWM/edit?usp=sharing"",""รวมที่ชุมชน!S12"")"),0)</f>
        <v>0</v>
      </c>
      <c r="K486" s="49">
        <f t="shared" ca="1" si="109"/>
        <v>0</v>
      </c>
      <c r="L486" s="61"/>
      <c r="M486" s="61"/>
      <c r="N486" s="61"/>
    </row>
    <row r="487" spans="1:14" ht="21.75" customHeight="1" x14ac:dyDescent="0.4">
      <c r="A487" s="316"/>
      <c r="B487" s="51"/>
      <c r="C487" s="43"/>
      <c r="D487" s="155"/>
      <c r="E487" s="75"/>
      <c r="F487" s="75"/>
      <c r="G487" s="76"/>
      <c r="H487" s="60" t="s">
        <v>103</v>
      </c>
      <c r="I487" s="200">
        <f ca="1">IFERROR(__xludf.DUMMYFUNCTION("IMPORTRANGE(""https://docs.google.com/spreadsheets/d/1C3CXT74ZlgGe6_JY_1olB1XN4rF0dxEuIIF-xsYjHgg/edit?usp=sharing"",""งบกองทุน!Er23"")"),0)</f>
        <v>0</v>
      </c>
      <c r="J487" s="67">
        <f ca="1">IFERROR(__xludf.DUMMYFUNCTION("IMPORTRANGE(""https://docs.google.com/spreadsheets/d/1AGHcLOeeYFL3K4b9R1dSzyJy00PE_ra89DNTVfnxSWM/edit?usp=sharing"",""รวมที่ชุมชน!U12"")"),0)</f>
        <v>0</v>
      </c>
      <c r="K487" s="49">
        <f t="shared" ca="1" si="109"/>
        <v>0</v>
      </c>
      <c r="L487" s="61"/>
      <c r="M487" s="61"/>
      <c r="N487" s="61"/>
    </row>
    <row r="488" spans="1:14" ht="21.75" customHeight="1" x14ac:dyDescent="0.4">
      <c r="A488" s="316"/>
      <c r="B488" s="51"/>
      <c r="C488" s="43"/>
      <c r="D488" s="155"/>
      <c r="E488" s="74" t="s">
        <v>106</v>
      </c>
      <c r="F488" s="75"/>
      <c r="G488" s="76"/>
      <c r="H488" s="60" t="s">
        <v>16</v>
      </c>
      <c r="I488" s="200">
        <f ca="1">IFERROR(__xludf.DUMMYFUNCTION("IMPORTRANGE(""https://docs.google.com/spreadsheets/d/1C3CXT74ZlgGe6_JY_1olB1XN4rF0dxEuIIF-xsYjHgg/edit?usp=sharing"",""งบกองทุน!Es23"")"),220)</f>
        <v>220</v>
      </c>
      <c r="J488" s="67">
        <f ca="1">IFERROR(__xludf.DUMMYFUNCTION("IMPORTRANGE(""https://docs.google.com/spreadsheets/d/1AGHcLOeeYFL3K4b9R1dSzyJy00PE_ra89DNTVfnxSWM/edit?usp=sharing"",""รวมที่ชุมชน!V12"")"),0)</f>
        <v>0</v>
      </c>
      <c r="K488" s="49">
        <f t="shared" ca="1" si="109"/>
        <v>0</v>
      </c>
      <c r="L488" s="61"/>
      <c r="M488" s="61"/>
      <c r="N488" s="61"/>
    </row>
    <row r="489" spans="1:14" ht="21.75" customHeight="1" x14ac:dyDescent="0.4">
      <c r="A489" s="317"/>
      <c r="B489" s="318"/>
      <c r="C489" s="319"/>
      <c r="D489" s="320"/>
      <c r="E489" s="295"/>
      <c r="F489" s="295"/>
      <c r="G489" s="296"/>
      <c r="H489" s="321" t="s">
        <v>103</v>
      </c>
      <c r="I489" s="322">
        <f ca="1">IFERROR(__xludf.DUMMYFUNCTION("IMPORTRANGE(""https://docs.google.com/spreadsheets/d/1C3CXT74ZlgGe6_JY_1olB1XN4rF0dxEuIIF-xsYjHgg/edit?usp=sharing"",""งบกองทุน!Et23"")"),0)</f>
        <v>0</v>
      </c>
      <c r="J489" s="112">
        <f ca="1">IFERROR(__xludf.DUMMYFUNCTION("IMPORTRANGE(""https://docs.google.com/spreadsheets/d/1AGHcLOeeYFL3K4b9R1dSzyJy00PE_ra89DNTVfnxSWM/edit?usp=sharing"",""รวมที่ชุมชน!X12"")"),0)</f>
        <v>0</v>
      </c>
      <c r="K489" s="114">
        <f t="shared" ca="1" si="109"/>
        <v>0</v>
      </c>
      <c r="L489" s="300"/>
      <c r="M489" s="300"/>
      <c r="N489" s="300"/>
    </row>
    <row r="490" spans="1:14" ht="21.75" customHeight="1" x14ac:dyDescent="0.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10">I504</f>
        <v>100</v>
      </c>
      <c r="J490" s="375">
        <f t="shared" si="110"/>
        <v>0</v>
      </c>
      <c r="K490" s="301">
        <f ca="1">IF(I490&gt;0,J490*100/I490,0)</f>
        <v>0</v>
      </c>
      <c r="L490" s="259">
        <f ca="1">SUM(L491,L492)</f>
        <v>8100</v>
      </c>
      <c r="M490" s="259">
        <f>SUM(M491:M492)</f>
        <v>0</v>
      </c>
      <c r="N490" s="259">
        <f t="shared" ref="N490:N494" ca="1" si="111">+IF(L490&gt;0,M490*100/L490,0)</f>
        <v>0</v>
      </c>
    </row>
    <row r="491" spans="1:14" ht="21.75" customHeight="1" x14ac:dyDescent="0.4">
      <c r="A491" s="42"/>
      <c r="B491" s="43"/>
      <c r="C491" s="43" t="s">
        <v>17</v>
      </c>
      <c r="D491" s="44" t="s">
        <v>18</v>
      </c>
      <c r="E491" s="45"/>
      <c r="F491" s="45"/>
      <c r="G491" s="46" t="s">
        <v>19</v>
      </c>
      <c r="H491" s="47" t="s">
        <v>20</v>
      </c>
      <c r="I491" s="48" t="s">
        <v>21</v>
      </c>
      <c r="J491" s="48"/>
      <c r="K491" s="49"/>
      <c r="L491" s="50">
        <v>0</v>
      </c>
      <c r="M491" s="53">
        <v>0</v>
      </c>
      <c r="N491" s="53">
        <f t="shared" si="111"/>
        <v>0</v>
      </c>
    </row>
    <row r="492" spans="1:14" ht="21.75" customHeight="1" x14ac:dyDescent="0.4">
      <c r="A492" s="42"/>
      <c r="B492" s="43"/>
      <c r="C492" s="43"/>
      <c r="D492" s="51"/>
      <c r="E492" s="45"/>
      <c r="F492" s="45" t="s">
        <v>21</v>
      </c>
      <c r="G492" s="46" t="s">
        <v>22</v>
      </c>
      <c r="H492" s="47" t="s">
        <v>20</v>
      </c>
      <c r="I492" s="48"/>
      <c r="J492" s="48"/>
      <c r="K492" s="49"/>
      <c r="L492" s="50">
        <f t="shared" ref="L492:M492" ca="1" si="112">SUM(L493:L494)</f>
        <v>8100</v>
      </c>
      <c r="M492" s="53">
        <f t="shared" si="112"/>
        <v>0</v>
      </c>
      <c r="N492" s="53">
        <f t="shared" ca="1" si="111"/>
        <v>0</v>
      </c>
    </row>
    <row r="493" spans="1:14" ht="21.75" customHeight="1" x14ac:dyDescent="0.4">
      <c r="A493" s="42"/>
      <c r="B493" s="43"/>
      <c r="C493" s="43"/>
      <c r="D493" s="51"/>
      <c r="E493" s="45"/>
      <c r="F493" s="45"/>
      <c r="G493" s="52" t="s">
        <v>110</v>
      </c>
      <c r="H493" s="47" t="s">
        <v>20</v>
      </c>
      <c r="I493" s="48"/>
      <c r="J493" s="48"/>
      <c r="K493" s="49"/>
      <c r="L493" s="53">
        <f ca="1">IFERROR(__xludf.DUMMYFUNCTION("IMPORTRANGE(""https://docs.google.com/spreadsheets/d/1C3CXT74ZlgGe6_JY_1olB1XN4rF0dxEuIIF-xsYjHgg/edit?usp=sharing"",""งบกองทุน!Ev23"")"),0)</f>
        <v>0</v>
      </c>
      <c r="M493" s="53">
        <v>0</v>
      </c>
      <c r="N493" s="53">
        <f t="shared" ca="1" si="111"/>
        <v>0</v>
      </c>
    </row>
    <row r="494" spans="1:14" ht="21.75" customHeight="1" x14ac:dyDescent="0.4">
      <c r="A494" s="42"/>
      <c r="B494" s="43"/>
      <c r="C494" s="43"/>
      <c r="D494" s="51"/>
      <c r="E494" s="45"/>
      <c r="F494" s="45"/>
      <c r="G494" s="52" t="s">
        <v>111</v>
      </c>
      <c r="H494" s="47" t="s">
        <v>20</v>
      </c>
      <c r="I494" s="48"/>
      <c r="J494" s="48"/>
      <c r="K494" s="49"/>
      <c r="L494" s="53">
        <f ca="1">IFERROR(__xludf.DUMMYFUNCTION("IMPORTRANGE(""https://docs.google.com/spreadsheets/d/1C3CXT74ZlgGe6_JY_1olB1XN4rF0dxEuIIF-xsYjHgg/edit?usp=sharing"",""งบกองทุน!Ew23"")"),8100)</f>
        <v>8100</v>
      </c>
      <c r="M494" s="53">
        <f>SUM(M495:M498)</f>
        <v>0</v>
      </c>
      <c r="N494" s="53">
        <f t="shared" ca="1" si="111"/>
        <v>0</v>
      </c>
    </row>
    <row r="495" spans="1:14" ht="21.75" customHeight="1" x14ac:dyDescent="0.4">
      <c r="A495" s="230"/>
      <c r="B495" s="231"/>
      <c r="C495" s="43"/>
      <c r="D495" s="232"/>
      <c r="E495" s="45"/>
      <c r="F495" s="45"/>
      <c r="G495" s="46" t="s">
        <v>112</v>
      </c>
      <c r="H495" s="47" t="s">
        <v>20</v>
      </c>
      <c r="I495" s="67"/>
      <c r="J495" s="67"/>
      <c r="K495" s="233"/>
      <c r="L495" s="53"/>
      <c r="M495" s="53">
        <v>0</v>
      </c>
      <c r="N495" s="53"/>
    </row>
    <row r="496" spans="1:14" ht="21.75" customHeight="1" x14ac:dyDescent="0.4">
      <c r="A496" s="230"/>
      <c r="B496" s="231"/>
      <c r="C496" s="43"/>
      <c r="D496" s="232"/>
      <c r="E496" s="45"/>
      <c r="F496" s="45"/>
      <c r="G496" s="46" t="s">
        <v>113</v>
      </c>
      <c r="H496" s="47" t="s">
        <v>20</v>
      </c>
      <c r="I496" s="67"/>
      <c r="J496" s="67"/>
      <c r="K496" s="233"/>
      <c r="L496" s="53"/>
      <c r="M496" s="53">
        <v>0</v>
      </c>
      <c r="N496" s="53"/>
    </row>
    <row r="497" spans="1:14" ht="21.75" customHeight="1" x14ac:dyDescent="0.4">
      <c r="A497" s="230"/>
      <c r="B497" s="231"/>
      <c r="C497" s="43"/>
      <c r="D497" s="232"/>
      <c r="E497" s="45"/>
      <c r="F497" s="45"/>
      <c r="G497" s="46" t="s">
        <v>114</v>
      </c>
      <c r="H497" s="47" t="s">
        <v>20</v>
      </c>
      <c r="I497" s="67"/>
      <c r="J497" s="67"/>
      <c r="K497" s="233"/>
      <c r="L497" s="53"/>
      <c r="M497" s="54">
        <v>0</v>
      </c>
      <c r="N497" s="53"/>
    </row>
    <row r="498" spans="1:14" ht="21.75" customHeight="1" x14ac:dyDescent="0.4">
      <c r="A498" s="230"/>
      <c r="B498" s="231"/>
      <c r="C498" s="43"/>
      <c r="D498" s="232"/>
      <c r="E498" s="45"/>
      <c r="F498" s="45"/>
      <c r="G498" s="46" t="s">
        <v>115</v>
      </c>
      <c r="H498" s="47" t="s">
        <v>20</v>
      </c>
      <c r="I498" s="67"/>
      <c r="J498" s="67"/>
      <c r="K498" s="233"/>
      <c r="L498" s="53"/>
      <c r="M498" s="54">
        <v>0</v>
      </c>
      <c r="N498" s="53"/>
    </row>
    <row r="499" spans="1:14" ht="21.75" customHeight="1" x14ac:dyDescent="0.4">
      <c r="A499" s="55"/>
      <c r="B499" s="56"/>
      <c r="C499" s="43" t="s">
        <v>17</v>
      </c>
      <c r="D499" s="57" t="s">
        <v>25</v>
      </c>
      <c r="E499" s="58"/>
      <c r="F499" s="58"/>
      <c r="G499" s="59"/>
      <c r="H499" s="60"/>
      <c r="I499" s="48"/>
      <c r="J499" s="48"/>
      <c r="K499" s="49"/>
      <c r="L499" s="61"/>
      <c r="M499" s="61"/>
      <c r="N499" s="61"/>
    </row>
    <row r="500" spans="1:14" ht="21.75" customHeight="1" x14ac:dyDescent="0.4">
      <c r="A500" s="55"/>
      <c r="B500" s="56"/>
      <c r="C500" s="56"/>
      <c r="D500" s="62">
        <v>1</v>
      </c>
      <c r="E500" s="63" t="s">
        <v>26</v>
      </c>
      <c r="F500" s="64"/>
      <c r="G500" s="65"/>
      <c r="H500" s="66"/>
      <c r="I500" s="67"/>
      <c r="J500" s="68">
        <v>0</v>
      </c>
      <c r="K500" s="49"/>
      <c r="L500" s="61"/>
      <c r="M500" s="61"/>
      <c r="N500" s="61"/>
    </row>
    <row r="501" spans="1:14" ht="21.75" customHeight="1" x14ac:dyDescent="0.4">
      <c r="A501" s="55"/>
      <c r="B501" s="56"/>
      <c r="C501" s="56"/>
      <c r="D501" s="69">
        <v>2</v>
      </c>
      <c r="E501" s="70" t="s">
        <v>27</v>
      </c>
      <c r="F501" s="71"/>
      <c r="G501" s="72"/>
      <c r="H501" s="66"/>
      <c r="I501" s="67"/>
      <c r="J501" s="68">
        <v>1</v>
      </c>
      <c r="K501" s="49"/>
      <c r="L501" s="61" t="s">
        <v>21</v>
      </c>
      <c r="M501" s="61" t="s">
        <v>21</v>
      </c>
      <c r="N501" s="61"/>
    </row>
    <row r="502" spans="1:14" ht="21.75" hidden="1" customHeight="1" x14ac:dyDescent="0.4">
      <c r="A502" s="376"/>
      <c r="B502" s="377"/>
      <c r="C502" s="377"/>
      <c r="D502" s="378"/>
      <c r="E502" s="379" t="s">
        <v>28</v>
      </c>
      <c r="F502" s="380"/>
      <c r="G502" s="381"/>
      <c r="H502" s="330"/>
      <c r="I502" s="331"/>
      <c r="J502" s="331">
        <v>0</v>
      </c>
      <c r="K502" s="382"/>
      <c r="L502" s="383"/>
      <c r="M502" s="383"/>
      <c r="N502" s="383"/>
    </row>
    <row r="503" spans="1:14" ht="21.75" hidden="1" customHeight="1" x14ac:dyDescent="0.4">
      <c r="A503" s="376"/>
      <c r="B503" s="377"/>
      <c r="C503" s="377"/>
      <c r="D503" s="378"/>
      <c r="E503" s="379" t="s">
        <v>29</v>
      </c>
      <c r="F503" s="380"/>
      <c r="G503" s="381"/>
      <c r="H503" s="330"/>
      <c r="I503" s="331"/>
      <c r="J503" s="331">
        <v>0</v>
      </c>
      <c r="K503" s="382"/>
      <c r="L503" s="383"/>
      <c r="M503" s="383"/>
      <c r="N503" s="383"/>
    </row>
    <row r="504" spans="1:14" ht="21.75" customHeight="1" x14ac:dyDescent="0.4">
      <c r="A504" s="55"/>
      <c r="B504" s="56"/>
      <c r="C504" s="56"/>
      <c r="D504" s="73"/>
      <c r="E504" s="75"/>
      <c r="F504" s="75" t="s">
        <v>199</v>
      </c>
      <c r="G504" s="76"/>
      <c r="H504" s="60" t="s">
        <v>103</v>
      </c>
      <c r="I504" s="67">
        <f ca="1">IFERROR(__xludf.DUMMYFUNCTION("IMPORTRANGE(""https://docs.google.com/spreadsheets/d/1C3CXT74ZlgGe6_JY_1olB1XN4rF0dxEuIIF-xsYjHgg/edit?usp=sharing"",""งบกองทุน!EZ23"")"),100)</f>
        <v>100</v>
      </c>
      <c r="J504" s="48">
        <f>+J510</f>
        <v>0</v>
      </c>
      <c r="K504" s="49">
        <f t="shared" ref="K504:K512" ca="1" si="113">IF(I$504&gt;0,J504*100/I$504,0)</f>
        <v>0</v>
      </c>
      <c r="L504" s="61"/>
      <c r="M504" s="61"/>
      <c r="N504" s="61"/>
    </row>
    <row r="505" spans="1:14" ht="21.75" customHeight="1" x14ac:dyDescent="0.4">
      <c r="A505" s="55"/>
      <c r="B505" s="56"/>
      <c r="C505" s="56"/>
      <c r="D505" s="73"/>
      <c r="E505" s="77"/>
      <c r="F505" s="75"/>
      <c r="G505" s="99" t="s">
        <v>200</v>
      </c>
      <c r="H505" s="60" t="s">
        <v>103</v>
      </c>
      <c r="I505" s="67">
        <v>0</v>
      </c>
      <c r="J505" s="68">
        <v>0</v>
      </c>
      <c r="K505" s="49">
        <f t="shared" ca="1" si="113"/>
        <v>0</v>
      </c>
      <c r="L505" s="61"/>
      <c r="M505" s="61"/>
      <c r="N505" s="61"/>
    </row>
    <row r="506" spans="1:14" ht="21.75" customHeight="1" x14ac:dyDescent="0.4">
      <c r="A506" s="55"/>
      <c r="B506" s="56"/>
      <c r="C506" s="56"/>
      <c r="D506" s="73"/>
      <c r="E506" s="77"/>
      <c r="F506" s="75"/>
      <c r="G506" s="99" t="s">
        <v>201</v>
      </c>
      <c r="H506" s="60" t="s">
        <v>103</v>
      </c>
      <c r="I506" s="67">
        <v>0</v>
      </c>
      <c r="J506" s="68">
        <v>0</v>
      </c>
      <c r="K506" s="49">
        <f t="shared" ca="1" si="113"/>
        <v>0</v>
      </c>
      <c r="L506" s="61"/>
      <c r="M506" s="61"/>
      <c r="N506" s="61"/>
    </row>
    <row r="507" spans="1:14" ht="21.75" customHeight="1" x14ac:dyDescent="0.4">
      <c r="A507" s="55"/>
      <c r="B507" s="56"/>
      <c r="C507" s="56"/>
      <c r="D507" s="73"/>
      <c r="E507" s="77"/>
      <c r="F507" s="75"/>
      <c r="G507" s="99" t="s">
        <v>202</v>
      </c>
      <c r="H507" s="60" t="s">
        <v>103</v>
      </c>
      <c r="I507" s="67">
        <v>0</v>
      </c>
      <c r="J507" s="68">
        <v>0</v>
      </c>
      <c r="K507" s="49">
        <f t="shared" ca="1" si="113"/>
        <v>0</v>
      </c>
      <c r="L507" s="61"/>
      <c r="M507" s="61"/>
      <c r="N507" s="61"/>
    </row>
    <row r="508" spans="1:14" ht="21.75" customHeight="1" x14ac:dyDescent="0.4">
      <c r="A508" s="55"/>
      <c r="B508" s="56"/>
      <c r="C508" s="56"/>
      <c r="D508" s="73"/>
      <c r="E508" s="77"/>
      <c r="F508" s="75"/>
      <c r="G508" s="99" t="s">
        <v>203</v>
      </c>
      <c r="H508" s="60" t="s">
        <v>103</v>
      </c>
      <c r="I508" s="67">
        <v>0</v>
      </c>
      <c r="J508" s="68">
        <v>0</v>
      </c>
      <c r="K508" s="49">
        <f t="shared" ca="1" si="113"/>
        <v>0</v>
      </c>
      <c r="L508" s="61"/>
      <c r="M508" s="61"/>
      <c r="N508" s="61"/>
    </row>
    <row r="509" spans="1:14" ht="21.75" customHeight="1" x14ac:dyDescent="0.4">
      <c r="A509" s="55"/>
      <c r="B509" s="56"/>
      <c r="C509" s="56"/>
      <c r="D509" s="73"/>
      <c r="E509" s="77"/>
      <c r="F509" s="75"/>
      <c r="G509" s="74" t="s">
        <v>204</v>
      </c>
      <c r="H509" s="60" t="s">
        <v>103</v>
      </c>
      <c r="I509" s="67">
        <v>0</v>
      </c>
      <c r="J509" s="68">
        <v>0</v>
      </c>
      <c r="K509" s="49">
        <f t="shared" ca="1" si="113"/>
        <v>0</v>
      </c>
      <c r="L509" s="61"/>
      <c r="M509" s="61"/>
      <c r="N509" s="61"/>
    </row>
    <row r="510" spans="1:14" ht="21.75" customHeight="1" x14ac:dyDescent="0.4">
      <c r="A510" s="55"/>
      <c r="B510" s="56"/>
      <c r="C510" s="56"/>
      <c r="D510" s="73"/>
      <c r="E510" s="77"/>
      <c r="F510" s="75"/>
      <c r="G510" s="74" t="s">
        <v>205</v>
      </c>
      <c r="H510" s="60" t="s">
        <v>103</v>
      </c>
      <c r="I510" s="67">
        <f t="shared" ref="I510:J510" si="114">I511+I512</f>
        <v>0</v>
      </c>
      <c r="J510" s="67">
        <f t="shared" si="114"/>
        <v>0</v>
      </c>
      <c r="K510" s="49">
        <f t="shared" ca="1" si="113"/>
        <v>0</v>
      </c>
      <c r="L510" s="61"/>
      <c r="M510" s="61"/>
      <c r="N510" s="61"/>
    </row>
    <row r="511" spans="1:14" ht="21.75" customHeight="1" x14ac:dyDescent="0.4">
      <c r="A511" s="55"/>
      <c r="B511" s="56"/>
      <c r="C511" s="56"/>
      <c r="D511" s="73"/>
      <c r="E511" s="77"/>
      <c r="F511" s="75"/>
      <c r="G511" s="334" t="s">
        <v>206</v>
      </c>
      <c r="H511" s="60" t="s">
        <v>103</v>
      </c>
      <c r="I511" s="67">
        <v>0</v>
      </c>
      <c r="J511" s="68">
        <v>0</v>
      </c>
      <c r="K511" s="49">
        <f t="shared" ca="1" si="113"/>
        <v>0</v>
      </c>
      <c r="L511" s="61"/>
      <c r="M511" s="61"/>
      <c r="N511" s="61"/>
    </row>
    <row r="512" spans="1:14" ht="21.75" customHeight="1" x14ac:dyDescent="0.4">
      <c r="A512" s="55"/>
      <c r="B512" s="56"/>
      <c r="C512" s="56"/>
      <c r="D512" s="73"/>
      <c r="E512" s="77"/>
      <c r="F512" s="75"/>
      <c r="G512" s="334" t="s">
        <v>207</v>
      </c>
      <c r="H512" s="60" t="s">
        <v>103</v>
      </c>
      <c r="I512" s="67">
        <v>0</v>
      </c>
      <c r="J512" s="68">
        <v>0</v>
      </c>
      <c r="K512" s="49">
        <f t="shared" ca="1" si="113"/>
        <v>0</v>
      </c>
      <c r="L512" s="61"/>
      <c r="M512" s="61"/>
      <c r="N512" s="61"/>
    </row>
    <row r="513" spans="1:14" ht="21.75" customHeight="1" x14ac:dyDescent="0.4">
      <c r="A513" s="55"/>
      <c r="B513" s="56"/>
      <c r="C513" s="56"/>
      <c r="D513" s="73"/>
      <c r="E513" s="75"/>
      <c r="F513" s="74" t="s">
        <v>208</v>
      </c>
      <c r="G513" s="76"/>
      <c r="H513" s="60" t="s">
        <v>103</v>
      </c>
      <c r="I513" s="67">
        <f ca="1">IFERROR(__xludf.DUMMYFUNCTION("IMPORTRANGE(""https://docs.google.com/spreadsheets/d/1C3CXT74ZlgGe6_JY_1olB1XN4rF0dxEuIIF-xsYjHgg/edit?usp=sharing"",""งบกองทุน!ff23"")"),0)</f>
        <v>0</v>
      </c>
      <c r="J513" s="48">
        <f>J514</f>
        <v>0</v>
      </c>
      <c r="K513" s="49">
        <f t="shared" ref="K513:K519" ca="1" si="115">IF(I$513&gt;0,J513*100/I$513,0)</f>
        <v>0</v>
      </c>
      <c r="L513" s="61"/>
      <c r="M513" s="61"/>
      <c r="N513" s="61"/>
    </row>
    <row r="514" spans="1:14" ht="21.75" customHeight="1" x14ac:dyDescent="0.4">
      <c r="A514" s="55"/>
      <c r="B514" s="56"/>
      <c r="C514" s="56"/>
      <c r="D514" s="73"/>
      <c r="E514" s="77"/>
      <c r="F514" s="75"/>
      <c r="G514" s="99" t="s">
        <v>205</v>
      </c>
      <c r="H514" s="60" t="s">
        <v>103</v>
      </c>
      <c r="I514" s="48">
        <f t="shared" ref="I514:J514" si="116">I515+I516</f>
        <v>0</v>
      </c>
      <c r="J514" s="48">
        <f t="shared" si="116"/>
        <v>0</v>
      </c>
      <c r="K514" s="49">
        <f t="shared" ca="1" si="115"/>
        <v>0</v>
      </c>
      <c r="L514" s="61"/>
      <c r="M514" s="61"/>
      <c r="N514" s="61"/>
    </row>
    <row r="515" spans="1:14" ht="21.75" customHeight="1" x14ac:dyDescent="0.4">
      <c r="A515" s="55"/>
      <c r="B515" s="56"/>
      <c r="C515" s="56"/>
      <c r="D515" s="73"/>
      <c r="E515" s="77"/>
      <c r="F515" s="75"/>
      <c r="G515" s="334" t="s">
        <v>206</v>
      </c>
      <c r="H515" s="60" t="s">
        <v>103</v>
      </c>
      <c r="I515" s="67">
        <v>0</v>
      </c>
      <c r="J515" s="68">
        <v>0</v>
      </c>
      <c r="K515" s="49">
        <f t="shared" ca="1" si="115"/>
        <v>0</v>
      </c>
      <c r="L515" s="61"/>
      <c r="M515" s="61"/>
      <c r="N515" s="61"/>
    </row>
    <row r="516" spans="1:14" ht="21.75" customHeight="1" x14ac:dyDescent="0.4">
      <c r="A516" s="55"/>
      <c r="B516" s="56"/>
      <c r="C516" s="56"/>
      <c r="D516" s="73"/>
      <c r="E516" s="77"/>
      <c r="F516" s="75"/>
      <c r="G516" s="334" t="s">
        <v>207</v>
      </c>
      <c r="H516" s="60" t="s">
        <v>103</v>
      </c>
      <c r="I516" s="67">
        <v>0</v>
      </c>
      <c r="J516" s="68">
        <v>0</v>
      </c>
      <c r="K516" s="49">
        <f t="shared" ca="1" si="115"/>
        <v>0</v>
      </c>
      <c r="L516" s="61"/>
      <c r="M516" s="61"/>
      <c r="N516" s="61"/>
    </row>
    <row r="517" spans="1:14" ht="21.75" customHeight="1" x14ac:dyDescent="0.4">
      <c r="A517" s="55"/>
      <c r="B517" s="56"/>
      <c r="C517" s="56"/>
      <c r="D517" s="73"/>
      <c r="E517" s="77"/>
      <c r="F517" s="75"/>
      <c r="G517" s="99" t="s">
        <v>209</v>
      </c>
      <c r="H517" s="60" t="s">
        <v>103</v>
      </c>
      <c r="I517" s="67">
        <f t="shared" ref="I517:J517" si="117">SUM(I518:I519)</f>
        <v>0</v>
      </c>
      <c r="J517" s="67">
        <f t="shared" si="117"/>
        <v>0</v>
      </c>
      <c r="K517" s="49">
        <f t="shared" ca="1" si="115"/>
        <v>0</v>
      </c>
      <c r="L517" s="61"/>
      <c r="M517" s="61"/>
      <c r="N517" s="61"/>
    </row>
    <row r="518" spans="1:14" ht="21.75" customHeight="1" x14ac:dyDescent="0.4">
      <c r="A518" s="55"/>
      <c r="B518" s="56"/>
      <c r="C518" s="56"/>
      <c r="D518" s="73"/>
      <c r="E518" s="77"/>
      <c r="F518" s="75"/>
      <c r="G518" s="334" t="s">
        <v>210</v>
      </c>
      <c r="H518" s="60" t="s">
        <v>103</v>
      </c>
      <c r="I518" s="67">
        <v>0</v>
      </c>
      <c r="J518" s="68">
        <v>0</v>
      </c>
      <c r="K518" s="49">
        <f t="shared" ca="1" si="115"/>
        <v>0</v>
      </c>
      <c r="L518" s="61"/>
      <c r="M518" s="61"/>
      <c r="N518" s="61"/>
    </row>
    <row r="519" spans="1:14" ht="21.75" customHeight="1" x14ac:dyDescent="0.4">
      <c r="A519" s="55"/>
      <c r="B519" s="56"/>
      <c r="C519" s="56"/>
      <c r="D519" s="73"/>
      <c r="E519" s="77"/>
      <c r="F519" s="75"/>
      <c r="G519" s="334" t="s">
        <v>211</v>
      </c>
      <c r="H519" s="60" t="s">
        <v>103</v>
      </c>
      <c r="I519" s="67">
        <v>0</v>
      </c>
      <c r="J519" s="68">
        <v>0</v>
      </c>
      <c r="K519" s="49">
        <f t="shared" ca="1" si="115"/>
        <v>0</v>
      </c>
      <c r="L519" s="61"/>
      <c r="M519" s="61"/>
      <c r="N519" s="61"/>
    </row>
    <row r="520" spans="1:14" ht="21.75" customHeight="1" x14ac:dyDescent="0.4">
      <c r="A520" s="335" t="s">
        <v>212</v>
      </c>
      <c r="B520" s="336"/>
      <c r="C520" s="336"/>
      <c r="D520" s="336"/>
      <c r="E520" s="336"/>
      <c r="F520" s="336"/>
      <c r="G520" s="337"/>
      <c r="H520" s="338"/>
      <c r="I520" s="339"/>
      <c r="J520" s="339"/>
      <c r="K520" s="340"/>
      <c r="L520" s="340"/>
      <c r="M520" s="340"/>
      <c r="N520" s="341"/>
    </row>
    <row r="521" spans="1:14" ht="21.75" customHeight="1" x14ac:dyDescent="0.4">
      <c r="A521" s="316"/>
      <c r="B521" s="45" t="s">
        <v>213</v>
      </c>
      <c r="C521" s="43"/>
      <c r="D521" s="51"/>
      <c r="E521" s="45"/>
      <c r="F521" s="45"/>
      <c r="G521" s="46"/>
      <c r="H521" s="342" t="s">
        <v>20</v>
      </c>
      <c r="I521" s="200">
        <f ca="1">IFERROR(__xludf.DUMMYFUNCTION("IMPORTRANGE(""https://docs.google.com/spreadsheets/d/1muirlRDkqiswvy_NRZ3Yh955hx-PF6_HhssUYiSJj8o/edit?usp=sharing"",""กองทุน!D23"")"),2024605.17)</f>
        <v>2024605.17</v>
      </c>
      <c r="J521" s="200">
        <f ca="1">IFERROR(__xludf.DUMMYFUNCTION("IMPORTRANGE(""https://docs.google.com/spreadsheets/d/1muirlRDkqiswvy_NRZ3Yh955hx-PF6_HhssUYiSJj8o/edit?usp=sharing"",""กองทุน!F23"")"),0)</f>
        <v>0</v>
      </c>
      <c r="K521" s="201">
        <f t="shared" ref="K521:K528" ca="1" si="118">IF(I521&gt;0,J521*100/I521,0)</f>
        <v>0</v>
      </c>
      <c r="L521" s="201"/>
      <c r="M521" s="201"/>
      <c r="N521" s="53"/>
    </row>
    <row r="522" spans="1:14" ht="21.75" customHeight="1" x14ac:dyDescent="0.4">
      <c r="A522" s="316"/>
      <c r="B522" s="43"/>
      <c r="C522" s="43"/>
      <c r="D522" s="51"/>
      <c r="E522" s="45"/>
      <c r="F522" s="45"/>
      <c r="G522" s="46"/>
      <c r="H522" s="342" t="s">
        <v>16</v>
      </c>
      <c r="I522" s="200">
        <f ca="1">IFERROR(__xludf.DUMMYFUNCTION("IMPORTRANGE(""https://docs.google.com/spreadsheets/d/1muirlRDkqiswvy_NRZ3Yh955hx-PF6_HhssUYiSJj8o/edit?usp=sharing"",""กองทุน!C23"")"),177)</f>
        <v>177</v>
      </c>
      <c r="J522" s="200">
        <f ca="1">IFERROR(__xludf.DUMMYFUNCTION("IMPORTRANGE(""https://docs.google.com/spreadsheets/d/1muirlRDkqiswvy_NRZ3Yh955hx-PF6_HhssUYiSJj8o/edit?usp=sharing"",""กองทุน!E23"")"),0)</f>
        <v>0</v>
      </c>
      <c r="K522" s="201">
        <f t="shared" ca="1" si="118"/>
        <v>0</v>
      </c>
      <c r="L522" s="201"/>
      <c r="M522" s="201"/>
      <c r="N522" s="53"/>
    </row>
    <row r="523" spans="1:14" ht="21.75" customHeight="1" x14ac:dyDescent="0.4">
      <c r="A523" s="316"/>
      <c r="B523" s="45" t="s">
        <v>214</v>
      </c>
      <c r="C523" s="43"/>
      <c r="D523" s="51"/>
      <c r="E523" s="45"/>
      <c r="F523" s="45"/>
      <c r="G523" s="46"/>
      <c r="H523" s="342" t="s">
        <v>20</v>
      </c>
      <c r="I523" s="200">
        <f ca="1">IFERROR(__xludf.DUMMYFUNCTION("IMPORTRANGE(""https://docs.google.com/spreadsheets/d/1muirlRDkqiswvy_NRZ3Yh955hx-PF6_HhssUYiSJj8o/edit?usp=sharing"",""กองทุน!I23"")"),7699315.18)</f>
        <v>7699315.1799999997</v>
      </c>
      <c r="J523" s="200">
        <f ca="1">IFERROR(__xludf.DUMMYFUNCTION("IMPORTRANGE(""https://docs.google.com/spreadsheets/d/1muirlRDkqiswvy_NRZ3Yh955hx-PF6_HhssUYiSJj8o/edit?usp=sharing"",""กองทุน!K23"")"),64409.78)</f>
        <v>64409.78</v>
      </c>
      <c r="K523" s="201">
        <f t="shared" ca="1" si="118"/>
        <v>0.83656505149072236</v>
      </c>
      <c r="L523" s="201"/>
      <c r="M523" s="201"/>
      <c r="N523" s="53"/>
    </row>
    <row r="524" spans="1:14" ht="21.75" customHeight="1" x14ac:dyDescent="0.4">
      <c r="A524" s="316"/>
      <c r="B524" s="43"/>
      <c r="C524" s="43"/>
      <c r="D524" s="51"/>
      <c r="E524" s="45"/>
      <c r="F524" s="45"/>
      <c r="G524" s="46"/>
      <c r="H524" s="342" t="s">
        <v>16</v>
      </c>
      <c r="I524" s="200">
        <f ca="1">IFERROR(__xludf.DUMMYFUNCTION("IMPORTRANGE(""https://docs.google.com/spreadsheets/d/1muirlRDkqiswvy_NRZ3Yh955hx-PF6_HhssUYiSJj8o/edit?usp=sharing"",""กองทุน!H23"")"),292)</f>
        <v>292</v>
      </c>
      <c r="J524" s="200">
        <f ca="1">IFERROR(__xludf.DUMMYFUNCTION("IMPORTRANGE(""https://docs.google.com/spreadsheets/d/1muirlRDkqiswvy_NRZ3Yh955hx-PF6_HhssUYiSJj8o/edit?usp=sharing"",""กองทุน!J23"")"),7)</f>
        <v>7</v>
      </c>
      <c r="K524" s="201">
        <f t="shared" ca="1" si="118"/>
        <v>2.3972602739726026</v>
      </c>
      <c r="L524" s="201"/>
      <c r="M524" s="201"/>
      <c r="N524" s="53"/>
    </row>
    <row r="525" spans="1:14" ht="21.75" customHeight="1" x14ac:dyDescent="0.4">
      <c r="A525" s="316"/>
      <c r="B525" s="45" t="s">
        <v>215</v>
      </c>
      <c r="C525" s="43"/>
      <c r="D525" s="51"/>
      <c r="E525" s="45"/>
      <c r="F525" s="45"/>
      <c r="G525" s="46"/>
      <c r="H525" s="342" t="s">
        <v>20</v>
      </c>
      <c r="I525" s="200">
        <f ca="1">IFERROR(__xludf.DUMMYFUNCTION("IMPORTRANGE(""https://docs.google.com/spreadsheets/d/1muirlRDkqiswvy_NRZ3Yh955hx-PF6_HhssUYiSJj8o/edit?usp=sharing"",""กองทุน!N23"")"),0)</f>
        <v>0</v>
      </c>
      <c r="J525" s="200">
        <f ca="1">IFERROR(__xludf.DUMMYFUNCTION("IMPORTRANGE(""https://docs.google.com/spreadsheets/d/1muirlRDkqiswvy_NRZ3Yh955hx-PF6_HhssUYiSJj8o/edit?usp=sharing"",""กองทุน!P23"")"),0)</f>
        <v>0</v>
      </c>
      <c r="K525" s="201">
        <f t="shared" ca="1" si="118"/>
        <v>0</v>
      </c>
      <c r="L525" s="201"/>
      <c r="M525" s="201"/>
      <c r="N525" s="53"/>
    </row>
    <row r="526" spans="1:14" ht="21.75" customHeight="1" x14ac:dyDescent="0.4">
      <c r="A526" s="316"/>
      <c r="B526" s="45"/>
      <c r="C526" s="43"/>
      <c r="D526" s="51"/>
      <c r="E526" s="45"/>
      <c r="F526" s="45"/>
      <c r="G526" s="46"/>
      <c r="H526" s="342" t="s">
        <v>16</v>
      </c>
      <c r="I526" s="200">
        <f ca="1">IFERROR(__xludf.DUMMYFUNCTION("IMPORTRANGE(""https://docs.google.com/spreadsheets/d/1muirlRDkqiswvy_NRZ3Yh955hx-PF6_HhssUYiSJj8o/edit?usp=sharing"",""กองทุน!M23"")"),0)</f>
        <v>0</v>
      </c>
      <c r="J526" s="200">
        <f ca="1">IFERROR(__xludf.DUMMYFUNCTION("IMPORTRANGE(""https://docs.google.com/spreadsheets/d/1muirlRDkqiswvy_NRZ3Yh955hx-PF6_HhssUYiSJj8o/edit?usp=sharing"",""กองทุน!O23"")"),0)</f>
        <v>0</v>
      </c>
      <c r="K526" s="201">
        <f t="shared" ca="1" si="118"/>
        <v>0</v>
      </c>
      <c r="L526" s="201"/>
      <c r="M526" s="201"/>
      <c r="N526" s="53"/>
    </row>
    <row r="527" spans="1:14" ht="21.75" customHeight="1" x14ac:dyDescent="0.4">
      <c r="A527" s="316"/>
      <c r="B527" s="45" t="s">
        <v>216</v>
      </c>
      <c r="C527" s="43"/>
      <c r="D527" s="51"/>
      <c r="E527" s="45"/>
      <c r="F527" s="45"/>
      <c r="G527" s="46"/>
      <c r="H527" s="342" t="s">
        <v>20</v>
      </c>
      <c r="I527" s="200">
        <f ca="1">IFERROR(__xludf.DUMMYFUNCTION("IMPORTRANGE(""https://docs.google.com/spreadsheets/d/1muirlRDkqiswvy_NRZ3Yh955hx-PF6_HhssUYiSJj8o/edit?usp=sharing"",""กองทุน!S23"")"),3000000)</f>
        <v>3000000</v>
      </c>
      <c r="J527" s="200">
        <f ca="1">IFERROR(__xludf.DUMMYFUNCTION("IMPORTRANGE(""https://docs.google.com/spreadsheets/d/1muirlRDkqiswvy_NRZ3Yh955hx-PF6_HhssUYiSJj8o/edit?usp=sharing"",""กองทุน!U23"")"),0)</f>
        <v>0</v>
      </c>
      <c r="K527" s="201">
        <f t="shared" ca="1" si="118"/>
        <v>0</v>
      </c>
      <c r="L527" s="201"/>
      <c r="M527" s="201"/>
      <c r="N527" s="53"/>
    </row>
    <row r="528" spans="1:14" ht="21.75" customHeight="1" x14ac:dyDescent="0.4">
      <c r="A528" s="317"/>
      <c r="B528" s="319"/>
      <c r="C528" s="319"/>
      <c r="D528" s="318"/>
      <c r="E528" s="343"/>
      <c r="F528" s="343"/>
      <c r="G528" s="344"/>
      <c r="H528" s="345" t="s">
        <v>16</v>
      </c>
      <c r="I528" s="322">
        <f ca="1">IFERROR(__xludf.DUMMYFUNCTION("IMPORTRANGE(""https://docs.google.com/spreadsheets/d/1muirlRDkqiswvy_NRZ3Yh955hx-PF6_HhssUYiSJj8o/edit?usp=sharing"",""กองทุน!R23"")"),100)</f>
        <v>100</v>
      </c>
      <c r="J528" s="322">
        <f ca="1">IFERROR(__xludf.DUMMYFUNCTION("IMPORTRANGE(""https://docs.google.com/spreadsheets/d/1muirlRDkqiswvy_NRZ3Yh955hx-PF6_HhssUYiSJj8o/edit?usp=sharing"",""กองทุน!T23"")"),0)</f>
        <v>0</v>
      </c>
      <c r="K528" s="323">
        <f t="shared" ca="1" si="118"/>
        <v>0</v>
      </c>
      <c r="L528" s="323"/>
      <c r="M528" s="323"/>
      <c r="N528" s="346"/>
    </row>
    <row r="529" spans="1:14" ht="21.75" customHeight="1" x14ac:dyDescent="0.4">
      <c r="A529" s="347"/>
      <c r="B529" s="347"/>
      <c r="C529" s="347"/>
      <c r="D529" s="347"/>
      <c r="E529" s="348" t="s">
        <v>217</v>
      </c>
      <c r="F529" s="348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&amp;P/&amp;N&amp;R&amp;F</oddFooter>
  </headerFooter>
  <rowBreaks count="7" manualBreakCount="7">
    <brk id="65" max="16383" man="1"/>
    <brk id="128" max="16383" man="1"/>
    <brk id="197" max="16383" man="1"/>
    <brk id="274" max="16383" man="1"/>
    <brk id="329" max="16383" man="1"/>
    <brk id="389" max="16383" man="1"/>
    <brk id="45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L18" sqref="L18"/>
      <selection pane="bottomLeft" activeCell="L18" sqref="L18"/>
    </sheetView>
  </sheetViews>
  <sheetFormatPr defaultColWidth="12.625" defaultRowHeight="15" customHeight="1" x14ac:dyDescent="0.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9" style="1" bestFit="1" customWidth="1"/>
    <col min="15" max="16384" width="12.625" style="1"/>
  </cols>
  <sheetData>
    <row r="1" spans="1:14" ht="18" customHeight="1" x14ac:dyDescent="0.4">
      <c r="A1" s="403" t="s">
        <v>0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</row>
    <row r="2" spans="1:14" ht="18" customHeight="1" x14ac:dyDescent="0.4">
      <c r="A2" s="403" t="s">
        <v>231</v>
      </c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404"/>
    </row>
    <row r="3" spans="1:14" ht="18" customHeight="1" x14ac:dyDescent="0.4">
      <c r="A3" s="403" t="s">
        <v>249</v>
      </c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04"/>
    </row>
    <row r="4" spans="1:14" ht="33.75" customHeight="1" x14ac:dyDescent="0.4">
      <c r="A4" s="2"/>
      <c r="B4" s="2"/>
      <c r="C4" s="2"/>
      <c r="D4" s="2"/>
      <c r="E4" s="2"/>
      <c r="F4" s="2"/>
      <c r="G4" s="2"/>
      <c r="H4" s="2"/>
      <c r="I4" s="2"/>
      <c r="J4" s="354" t="s">
        <v>2</v>
      </c>
      <c r="K4" s="4"/>
      <c r="L4" s="5"/>
      <c r="M4" s="355" t="s">
        <v>3</v>
      </c>
      <c r="N4" s="2"/>
    </row>
    <row r="5" spans="1:14" ht="21.75" customHeight="1" x14ac:dyDescent="0.55000000000000004">
      <c r="A5" s="405" t="s">
        <v>4</v>
      </c>
      <c r="B5" s="406"/>
      <c r="C5" s="406"/>
      <c r="D5" s="406"/>
      <c r="E5" s="406"/>
      <c r="F5" s="406"/>
      <c r="G5" s="407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2527215</v>
      </c>
      <c r="M6" s="16">
        <f t="shared" si="0"/>
        <v>43962943</v>
      </c>
      <c r="N6" s="17">
        <f ca="1">IF(L6&gt;0,M6*100/L6,0)</f>
        <v>1739.580645097469</v>
      </c>
    </row>
    <row r="7" spans="1:14" ht="21.75" customHeight="1" x14ac:dyDescent="0.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1</v>
      </c>
      <c r="J9" s="38">
        <f t="shared" si="1"/>
        <v>0</v>
      </c>
      <c r="K9" s="41">
        <f t="shared" ref="K9:K10" ca="1" si="2">IF(I9&gt;0,J9*100/I9,0)</f>
        <v>0</v>
      </c>
      <c r="L9" s="40">
        <f ca="1">L11+L12</f>
        <v>745500</v>
      </c>
      <c r="M9" s="40">
        <f>SUM(M11:M12)</f>
        <v>43761045</v>
      </c>
      <c r="N9" s="41">
        <f ca="1">IF(L9&gt;0,M9*100/L9,0)</f>
        <v>5870.0261569416498</v>
      </c>
    </row>
    <row r="10" spans="1:14" ht="21.75" customHeight="1" x14ac:dyDescent="0.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40</v>
      </c>
      <c r="J10" s="38">
        <f t="shared" si="3"/>
        <v>0</v>
      </c>
      <c r="K10" s="41">
        <f t="shared" ca="1" si="2"/>
        <v>0</v>
      </c>
      <c r="L10" s="40"/>
      <c r="M10" s="40"/>
      <c r="N10" s="41"/>
    </row>
    <row r="11" spans="1:14" ht="21.75" customHeight="1" x14ac:dyDescent="0.4">
      <c r="A11" s="42"/>
      <c r="B11" s="43"/>
      <c r="C11" s="43" t="s">
        <v>17</v>
      </c>
      <c r="D11" s="44" t="s">
        <v>18</v>
      </c>
      <c r="E11" s="45"/>
      <c r="F11" s="45"/>
      <c r="G11" s="46" t="s">
        <v>19</v>
      </c>
      <c r="H11" s="47" t="s">
        <v>20</v>
      </c>
      <c r="I11" s="48" t="s">
        <v>21</v>
      </c>
      <c r="J11" s="48"/>
      <c r="K11" s="49"/>
      <c r="L11" s="50">
        <v>0</v>
      </c>
      <c r="M11" s="50">
        <v>0</v>
      </c>
      <c r="N11" s="50">
        <f t="shared" ref="N11:N14" si="4">+IF(L11&gt;0,M11*100/L11,0)</f>
        <v>0</v>
      </c>
    </row>
    <row r="12" spans="1:14" ht="21.75" customHeight="1" x14ac:dyDescent="0.4">
      <c r="A12" s="42"/>
      <c r="B12" s="43"/>
      <c r="C12" s="43"/>
      <c r="D12" s="51"/>
      <c r="E12" s="45"/>
      <c r="F12" s="45" t="s">
        <v>21</v>
      </c>
      <c r="G12" s="46" t="s">
        <v>22</v>
      </c>
      <c r="H12" s="47" t="s">
        <v>20</v>
      </c>
      <c r="I12" s="48"/>
      <c r="J12" s="48"/>
      <c r="K12" s="49"/>
      <c r="L12" s="53">
        <f ca="1">IFERROR(__xludf.DUMMYFUNCTION("IMPORTRANGE(""https://docs.google.com/spreadsheets/d/1C3CXT74ZlgGe6_JY_1olB1XN4rF0dxEuIIF-xsYjHgg/edit?usp=sharing"",""พรบ!C24"")"),745500)</f>
        <v>745500</v>
      </c>
      <c r="M12" s="50">
        <f>SUM(M13:M14)</f>
        <v>43761045</v>
      </c>
      <c r="N12" s="50">
        <f t="shared" ca="1" si="4"/>
        <v>5870.0261569416498</v>
      </c>
    </row>
    <row r="13" spans="1:14" ht="21.75" customHeight="1" x14ac:dyDescent="0.4">
      <c r="A13" s="42"/>
      <c r="B13" s="43"/>
      <c r="C13" s="43"/>
      <c r="D13" s="51"/>
      <c r="E13" s="45"/>
      <c r="F13" s="45"/>
      <c r="G13" s="52" t="s">
        <v>23</v>
      </c>
      <c r="H13" s="47" t="s">
        <v>20</v>
      </c>
      <c r="I13" s="48"/>
      <c r="J13" s="48"/>
      <c r="K13" s="49"/>
      <c r="L13" s="53">
        <f ca="1">IFERROR(__xludf.DUMMYFUNCTION("IMPORTRANGE(""https://docs.google.com/spreadsheets/d/1C3CXT74ZlgGe6_JY_1olB1XN4rF0dxEuIIF-xsYjHgg/edit?usp=sharing"",""พรบ!D24"")"),311500)</f>
        <v>311500</v>
      </c>
      <c r="M13" s="54">
        <v>43668180</v>
      </c>
      <c r="N13" s="53">
        <f t="shared" ca="1" si="4"/>
        <v>14018.677367576243</v>
      </c>
    </row>
    <row r="14" spans="1:14" ht="21.75" customHeight="1" x14ac:dyDescent="0.4">
      <c r="A14" s="42"/>
      <c r="B14" s="43"/>
      <c r="C14" s="43"/>
      <c r="D14" s="51"/>
      <c r="E14" s="45"/>
      <c r="F14" s="45"/>
      <c r="G14" s="52" t="s">
        <v>24</v>
      </c>
      <c r="H14" s="47" t="s">
        <v>20</v>
      </c>
      <c r="I14" s="48"/>
      <c r="J14" s="48"/>
      <c r="K14" s="49"/>
      <c r="L14" s="53">
        <f ca="1">IFERROR(__xludf.DUMMYFUNCTION("IMPORTRANGE(""https://docs.google.com/spreadsheets/d/1C3CXT74ZlgGe6_JY_1olB1XN4rF0dxEuIIF-xsYjHgg/edit?usp=sharing"",""พรบ!E24"")"),434000)</f>
        <v>434000</v>
      </c>
      <c r="M14" s="54">
        <v>92865</v>
      </c>
      <c r="N14" s="53">
        <f t="shared" ca="1" si="4"/>
        <v>21.397465437788018</v>
      </c>
    </row>
    <row r="15" spans="1:14" ht="21.75" customHeight="1" x14ac:dyDescent="0.4">
      <c r="A15" s="55"/>
      <c r="B15" s="56"/>
      <c r="C15" s="43" t="s">
        <v>17</v>
      </c>
      <c r="D15" s="57" t="s">
        <v>25</v>
      </c>
      <c r="E15" s="58"/>
      <c r="F15" s="58"/>
      <c r="G15" s="59"/>
      <c r="H15" s="60"/>
      <c r="I15" s="48"/>
      <c r="J15" s="48"/>
      <c r="K15" s="49"/>
      <c r="L15" s="61"/>
      <c r="M15" s="61"/>
      <c r="N15" s="61"/>
    </row>
    <row r="16" spans="1:14" ht="21.75" customHeight="1" x14ac:dyDescent="0.4">
      <c r="A16" s="55"/>
      <c r="B16" s="56"/>
      <c r="C16" s="56"/>
      <c r="D16" s="62">
        <v>1</v>
      </c>
      <c r="E16" s="63" t="s">
        <v>26</v>
      </c>
      <c r="F16" s="64"/>
      <c r="G16" s="65"/>
      <c r="H16" s="66"/>
      <c r="I16" s="67"/>
      <c r="J16" s="68">
        <v>0</v>
      </c>
      <c r="K16" s="49"/>
      <c r="L16" s="61"/>
      <c r="M16" s="61"/>
      <c r="N16" s="61"/>
    </row>
    <row r="17" spans="1:14" ht="21.75" customHeight="1" x14ac:dyDescent="0.4">
      <c r="A17" s="55"/>
      <c r="B17" s="56"/>
      <c r="C17" s="56"/>
      <c r="D17" s="69">
        <v>2</v>
      </c>
      <c r="E17" s="70" t="s">
        <v>27</v>
      </c>
      <c r="F17" s="71"/>
      <c r="G17" s="72"/>
      <c r="H17" s="66"/>
      <c r="I17" s="67"/>
      <c r="J17" s="68">
        <v>1</v>
      </c>
      <c r="K17" s="49"/>
      <c r="L17" s="61" t="s">
        <v>21</v>
      </c>
      <c r="M17" s="61" t="s">
        <v>21</v>
      </c>
      <c r="N17" s="61"/>
    </row>
    <row r="18" spans="1:14" ht="21.75" customHeight="1" x14ac:dyDescent="0.4">
      <c r="A18" s="55"/>
      <c r="B18" s="56"/>
      <c r="C18" s="56"/>
      <c r="D18" s="73"/>
      <c r="E18" s="74" t="s">
        <v>28</v>
      </c>
      <c r="F18" s="75"/>
      <c r="G18" s="76"/>
      <c r="H18" s="66"/>
      <c r="I18" s="67"/>
      <c r="J18" s="68">
        <v>1</v>
      </c>
      <c r="K18" s="49"/>
      <c r="L18" s="61"/>
      <c r="M18" s="61"/>
      <c r="N18" s="61"/>
    </row>
    <row r="19" spans="1:14" ht="21.75" customHeight="1" x14ac:dyDescent="0.4">
      <c r="A19" s="55"/>
      <c r="B19" s="56"/>
      <c r="C19" s="56"/>
      <c r="D19" s="73"/>
      <c r="E19" s="74" t="s">
        <v>29</v>
      </c>
      <c r="F19" s="75"/>
      <c r="G19" s="76"/>
      <c r="H19" s="66"/>
      <c r="I19" s="67"/>
      <c r="J19" s="68">
        <v>1</v>
      </c>
      <c r="K19" s="49"/>
      <c r="L19" s="61"/>
      <c r="M19" s="61"/>
      <c r="N19" s="61"/>
    </row>
    <row r="20" spans="1:14" ht="21.75" customHeight="1" x14ac:dyDescent="0.4">
      <c r="A20" s="55"/>
      <c r="B20" s="56"/>
      <c r="C20" s="56"/>
      <c r="D20" s="73"/>
      <c r="E20" s="77"/>
      <c r="F20" s="74" t="s">
        <v>30</v>
      </c>
      <c r="G20" s="75"/>
      <c r="H20" s="78" t="s">
        <v>15</v>
      </c>
      <c r="I20" s="79">
        <f t="shared" ref="I20:J20" ca="1" si="5">+I22+I24+I26</f>
        <v>1</v>
      </c>
      <c r="J20" s="79">
        <f t="shared" si="5"/>
        <v>0</v>
      </c>
      <c r="K20" s="80">
        <f t="shared" ref="K20:K28" ca="1" si="6">IF(I20&gt;0,J20*100/I20,0)</f>
        <v>0</v>
      </c>
      <c r="L20" s="61"/>
      <c r="M20" s="61"/>
      <c r="N20" s="61"/>
    </row>
    <row r="21" spans="1:14" ht="21.75" customHeight="1" x14ac:dyDescent="0.4">
      <c r="A21" s="55"/>
      <c r="B21" s="56"/>
      <c r="C21" s="56"/>
      <c r="D21" s="73"/>
      <c r="E21" s="77"/>
      <c r="F21" s="75"/>
      <c r="G21" s="76"/>
      <c r="H21" s="78" t="s">
        <v>16</v>
      </c>
      <c r="I21" s="79">
        <f t="shared" ref="I21:J21" ca="1" si="7">+I23+I25+I27</f>
        <v>40</v>
      </c>
      <c r="J21" s="79">
        <f t="shared" si="7"/>
        <v>0</v>
      </c>
      <c r="K21" s="80">
        <f t="shared" ca="1" si="6"/>
        <v>0</v>
      </c>
      <c r="L21" s="61"/>
      <c r="M21" s="61"/>
      <c r="N21" s="61"/>
    </row>
    <row r="22" spans="1:14" ht="21.75" customHeight="1" x14ac:dyDescent="0.4">
      <c r="A22" s="55"/>
      <c r="B22" s="56"/>
      <c r="C22" s="56"/>
      <c r="D22" s="73"/>
      <c r="E22" s="77"/>
      <c r="F22" s="75"/>
      <c r="G22" s="75" t="s">
        <v>31</v>
      </c>
      <c r="H22" s="60" t="s">
        <v>15</v>
      </c>
      <c r="I22" s="48">
        <f ca="1">IFERROR(__xludf.DUMMYFUNCTION("IMPORTRANGE(""https://docs.google.com/spreadsheets/d/1C3CXT74ZlgGe6_JY_1olB1XN4rF0dxEuIIF-xsYjHgg/edit?usp=sharing"",""พรบ!H24"")"),0)</f>
        <v>0</v>
      </c>
      <c r="J22" s="67">
        <v>0</v>
      </c>
      <c r="K22" s="49">
        <f t="shared" ca="1" si="6"/>
        <v>0</v>
      </c>
      <c r="L22" s="61"/>
      <c r="M22" s="61"/>
      <c r="N22" s="61"/>
    </row>
    <row r="23" spans="1:14" ht="21.75" customHeight="1" x14ac:dyDescent="0.4">
      <c r="A23" s="55"/>
      <c r="B23" s="56"/>
      <c r="C23" s="56"/>
      <c r="D23" s="73"/>
      <c r="E23" s="77"/>
      <c r="F23" s="75"/>
      <c r="G23" s="76"/>
      <c r="H23" s="60" t="s">
        <v>16</v>
      </c>
      <c r="I23" s="48">
        <f ca="1">IFERROR(__xludf.DUMMYFUNCTION("IMPORTRANGE(""https://docs.google.com/spreadsheets/d/1C3CXT74ZlgGe6_JY_1olB1XN4rF0dxEuIIF-xsYjHgg/edit?usp=sharing"",""พรบ!I24"")"),0)</f>
        <v>0</v>
      </c>
      <c r="J23" s="67">
        <v>0</v>
      </c>
      <c r="K23" s="49">
        <f t="shared" ca="1" si="6"/>
        <v>0</v>
      </c>
      <c r="L23" s="61"/>
      <c r="M23" s="61"/>
      <c r="N23" s="61"/>
    </row>
    <row r="24" spans="1:14" ht="21.75" customHeight="1" x14ac:dyDescent="0.4">
      <c r="A24" s="55"/>
      <c r="B24" s="56"/>
      <c r="C24" s="56"/>
      <c r="D24" s="73"/>
      <c r="E24" s="77"/>
      <c r="F24" s="75"/>
      <c r="G24" s="75" t="s">
        <v>32</v>
      </c>
      <c r="H24" s="60" t="s">
        <v>15</v>
      </c>
      <c r="I24" s="48">
        <f ca="1">IFERROR(__xludf.DUMMYFUNCTION("IMPORTRANGE(""https://docs.google.com/spreadsheets/d/1C3CXT74ZlgGe6_JY_1olB1XN4rF0dxEuIIF-xsYjHgg/edit?usp=sharing"",""พรบ!J24"")"),1)</f>
        <v>1</v>
      </c>
      <c r="J24" s="68">
        <v>0</v>
      </c>
      <c r="K24" s="49">
        <f t="shared" ca="1" si="6"/>
        <v>0</v>
      </c>
      <c r="L24" s="61"/>
      <c r="M24" s="61"/>
      <c r="N24" s="61"/>
    </row>
    <row r="25" spans="1:14" ht="21.75" customHeight="1" x14ac:dyDescent="0.4">
      <c r="A25" s="55"/>
      <c r="B25" s="56"/>
      <c r="C25" s="56"/>
      <c r="D25" s="73"/>
      <c r="E25" s="77"/>
      <c r="F25" s="75"/>
      <c r="G25" s="76"/>
      <c r="H25" s="60" t="s">
        <v>16</v>
      </c>
      <c r="I25" s="48">
        <f ca="1">IFERROR(__xludf.DUMMYFUNCTION("IMPORTRANGE(""https://docs.google.com/spreadsheets/d/1C3CXT74ZlgGe6_JY_1olB1XN4rF0dxEuIIF-xsYjHgg/edit?usp=sharing"",""พรบ!K24"")"),40)</f>
        <v>40</v>
      </c>
      <c r="J25" s="68">
        <v>0</v>
      </c>
      <c r="K25" s="49">
        <f t="shared" ca="1" si="6"/>
        <v>0</v>
      </c>
      <c r="L25" s="61"/>
      <c r="M25" s="61"/>
      <c r="N25" s="61"/>
    </row>
    <row r="26" spans="1:14" ht="21.75" customHeight="1" x14ac:dyDescent="0.4">
      <c r="A26" s="55"/>
      <c r="B26" s="56"/>
      <c r="C26" s="56"/>
      <c r="D26" s="73"/>
      <c r="E26" s="77"/>
      <c r="F26" s="75"/>
      <c r="G26" s="75" t="s">
        <v>33</v>
      </c>
      <c r="H26" s="60" t="s">
        <v>15</v>
      </c>
      <c r="I26" s="48">
        <f ca="1">IFERROR(__xludf.DUMMYFUNCTION("IMPORTRANGE(""https://docs.google.com/spreadsheets/d/1C3CXT74ZlgGe6_JY_1olB1XN4rF0dxEuIIF-xsYjHgg/edit?usp=sharing"",""พรบ!L24"")"),0)</f>
        <v>0</v>
      </c>
      <c r="J26" s="67">
        <v>0</v>
      </c>
      <c r="K26" s="49">
        <f t="shared" ca="1" si="6"/>
        <v>0</v>
      </c>
      <c r="L26" s="61"/>
      <c r="M26" s="61"/>
      <c r="N26" s="61"/>
    </row>
    <row r="27" spans="1:14" ht="21.75" customHeight="1" x14ac:dyDescent="0.4">
      <c r="A27" s="55"/>
      <c r="B27" s="56"/>
      <c r="C27" s="56"/>
      <c r="D27" s="73"/>
      <c r="E27" s="77"/>
      <c r="F27" s="75"/>
      <c r="G27" s="76"/>
      <c r="H27" s="60" t="s">
        <v>16</v>
      </c>
      <c r="I27" s="48">
        <f ca="1">IFERROR(__xludf.DUMMYFUNCTION("IMPORTRANGE(""https://docs.google.com/spreadsheets/d/1C3CXT74ZlgGe6_JY_1olB1XN4rF0dxEuIIF-xsYjHgg/edit?usp=sharing"",""พรบ!M24"")"),0)</f>
        <v>0</v>
      </c>
      <c r="J27" s="67">
        <v>0</v>
      </c>
      <c r="K27" s="49">
        <f t="shared" ca="1" si="6"/>
        <v>0</v>
      </c>
      <c r="L27" s="61"/>
      <c r="M27" s="61"/>
      <c r="N27" s="61"/>
    </row>
    <row r="28" spans="1:14" ht="21.75" customHeight="1" x14ac:dyDescent="0.4">
      <c r="A28" s="55"/>
      <c r="B28" s="56"/>
      <c r="C28" s="56"/>
      <c r="D28" s="73"/>
      <c r="E28" s="77"/>
      <c r="F28" s="74" t="s">
        <v>34</v>
      </c>
      <c r="G28" s="75"/>
      <c r="H28" s="60" t="s">
        <v>16</v>
      </c>
      <c r="I28" s="48">
        <f ca="1">IFERROR(__xludf.DUMMYFUNCTION("IMPORTRANGE(""https://docs.google.com/spreadsheets/d/1C3CXT74ZlgGe6_JY_1olB1XN4rF0dxEuIIF-xsYjHgg/edit?usp=sharing"",""พรบ!N24"")"),0)</f>
        <v>0</v>
      </c>
      <c r="J28" s="68">
        <v>0</v>
      </c>
      <c r="K28" s="49">
        <f t="shared" ca="1" si="6"/>
        <v>0</v>
      </c>
      <c r="L28" s="61"/>
      <c r="M28" s="61"/>
      <c r="N28" s="61"/>
    </row>
    <row r="29" spans="1:14" ht="21.75" customHeight="1" x14ac:dyDescent="0.4">
      <c r="A29" s="55"/>
      <c r="B29" s="56"/>
      <c r="C29" s="56"/>
      <c r="D29" s="73"/>
      <c r="E29" s="74" t="s">
        <v>35</v>
      </c>
      <c r="F29" s="75"/>
      <c r="G29" s="76"/>
      <c r="H29" s="66"/>
      <c r="I29" s="67"/>
      <c r="J29" s="68">
        <v>0</v>
      </c>
      <c r="K29" s="49"/>
      <c r="L29" s="61"/>
      <c r="M29" s="61"/>
      <c r="N29" s="61"/>
    </row>
    <row r="30" spans="1:14" ht="21.75" customHeight="1" x14ac:dyDescent="0.4">
      <c r="A30" s="55"/>
      <c r="B30" s="56"/>
      <c r="C30" s="56"/>
      <c r="D30" s="81">
        <v>3</v>
      </c>
      <c r="E30" s="82" t="s">
        <v>36</v>
      </c>
      <c r="F30" s="83"/>
      <c r="G30" s="84"/>
      <c r="H30" s="66"/>
      <c r="I30" s="67"/>
      <c r="J30" s="85">
        <v>0</v>
      </c>
      <c r="K30" s="49"/>
      <c r="L30" s="61"/>
      <c r="M30" s="61"/>
      <c r="N30" s="61"/>
    </row>
    <row r="31" spans="1:14" ht="21.75" customHeight="1" x14ac:dyDescent="0.4">
      <c r="A31" s="86" t="s">
        <v>37</v>
      </c>
      <c r="B31" s="87"/>
      <c r="C31" s="88"/>
      <c r="D31" s="87"/>
      <c r="E31" s="89"/>
      <c r="F31" s="89"/>
      <c r="G31" s="90"/>
      <c r="H31" s="91"/>
      <c r="I31" s="92"/>
      <c r="J31" s="92"/>
      <c r="K31" s="93"/>
      <c r="L31" s="94"/>
      <c r="M31" s="94"/>
      <c r="N31" s="95"/>
    </row>
    <row r="32" spans="1:14" ht="21.75" customHeight="1" x14ac:dyDescent="0.4">
      <c r="A32" s="34"/>
      <c r="B32" s="35" t="s">
        <v>38</v>
      </c>
      <c r="C32" s="35"/>
      <c r="D32" s="36"/>
      <c r="E32" s="35"/>
      <c r="F32" s="35"/>
      <c r="G32" s="96"/>
      <c r="H32" s="37" t="s">
        <v>16</v>
      </c>
      <c r="I32" s="38">
        <f t="shared" ref="I32:J32" ca="1" si="8">+I44</f>
        <v>4</v>
      </c>
      <c r="J32" s="38">
        <f t="shared" si="8"/>
        <v>0</v>
      </c>
      <c r="K32" s="41">
        <f t="shared" ref="K32:K33" ca="1" si="9">IF(I32&gt;0,J32*100/I32,0)</f>
        <v>0</v>
      </c>
      <c r="L32" s="97">
        <f ca="1">L34+L35</f>
        <v>122100</v>
      </c>
      <c r="M32" s="97">
        <f>SUM(M34:M35)</f>
        <v>0</v>
      </c>
      <c r="N32" s="41">
        <f ca="1">IF(L32&gt;0,M32*100/L32,0)</f>
        <v>0</v>
      </c>
    </row>
    <row r="33" spans="1:14" ht="21.75" customHeight="1" x14ac:dyDescent="0.4">
      <c r="A33" s="34"/>
      <c r="B33" s="35"/>
      <c r="C33" s="35"/>
      <c r="D33" s="36" t="s">
        <v>39</v>
      </c>
      <c r="E33" s="35"/>
      <c r="F33" s="35"/>
      <c r="G33" s="96"/>
      <c r="H33" s="37" t="s">
        <v>40</v>
      </c>
      <c r="I33" s="38">
        <f ca="1">I48</f>
        <v>1</v>
      </c>
      <c r="J33" s="38">
        <f>+J48</f>
        <v>0</v>
      </c>
      <c r="K33" s="41">
        <f t="shared" ca="1" si="9"/>
        <v>0</v>
      </c>
      <c r="L33" s="97"/>
      <c r="M33" s="97"/>
      <c r="N33" s="41"/>
    </row>
    <row r="34" spans="1:14" ht="21.75" customHeight="1" x14ac:dyDescent="0.4">
      <c r="A34" s="42"/>
      <c r="B34" s="43"/>
      <c r="C34" s="43" t="s">
        <v>17</v>
      </c>
      <c r="D34" s="44" t="s">
        <v>18</v>
      </c>
      <c r="E34" s="45"/>
      <c r="F34" s="45"/>
      <c r="G34" s="46" t="s">
        <v>19</v>
      </c>
      <c r="H34" s="47" t="s">
        <v>20</v>
      </c>
      <c r="I34" s="48" t="s">
        <v>21</v>
      </c>
      <c r="J34" s="48"/>
      <c r="K34" s="49"/>
      <c r="L34" s="53">
        <v>0</v>
      </c>
      <c r="M34" s="50">
        <v>0</v>
      </c>
      <c r="N34" s="50">
        <f t="shared" ref="N34:N37" si="10">+IF(L34&gt;0,M34*100/L34,0)</f>
        <v>0</v>
      </c>
    </row>
    <row r="35" spans="1:14" ht="21.75" customHeight="1" x14ac:dyDescent="0.4">
      <c r="A35" s="42"/>
      <c r="B35" s="43"/>
      <c r="C35" s="43"/>
      <c r="D35" s="51"/>
      <c r="E35" s="45"/>
      <c r="F35" s="45" t="s">
        <v>21</v>
      </c>
      <c r="G35" s="46" t="s">
        <v>22</v>
      </c>
      <c r="H35" s="47" t="s">
        <v>20</v>
      </c>
      <c r="I35" s="48"/>
      <c r="J35" s="48"/>
      <c r="K35" s="49"/>
      <c r="L35" s="53">
        <f ca="1">IFERROR(__xludf.DUMMYFUNCTION("IMPORTRANGE(""https://docs.google.com/spreadsheets/d/1C3CXT74ZlgGe6_JY_1olB1XN4rF0dxEuIIF-xsYjHgg/edit?usp=sharing"",""พรบ!O24"")"),122100)</f>
        <v>122100</v>
      </c>
      <c r="M35" s="50">
        <f>SUM(M36:M37)</f>
        <v>0</v>
      </c>
      <c r="N35" s="50">
        <f t="shared" ca="1" si="10"/>
        <v>0</v>
      </c>
    </row>
    <row r="36" spans="1:14" ht="21.75" customHeight="1" x14ac:dyDescent="0.4">
      <c r="A36" s="42"/>
      <c r="B36" s="43"/>
      <c r="C36" s="43"/>
      <c r="D36" s="51"/>
      <c r="E36" s="45"/>
      <c r="F36" s="45"/>
      <c r="G36" s="52" t="s">
        <v>23</v>
      </c>
      <c r="H36" s="47" t="s">
        <v>20</v>
      </c>
      <c r="I36" s="48"/>
      <c r="J36" s="48"/>
      <c r="K36" s="49"/>
      <c r="L36" s="53">
        <f ca="1">IFERROR(__xludf.DUMMYFUNCTION("IMPORTRANGE(""https://docs.google.com/spreadsheets/d/1C3CXT74ZlgGe6_JY_1olB1XN4rF0dxEuIIF-xsYjHgg/edit?usp=sharing"",""พรบ!P24"")"),0)</f>
        <v>0</v>
      </c>
      <c r="M36" s="53">
        <v>0</v>
      </c>
      <c r="N36" s="53">
        <f t="shared" ca="1" si="10"/>
        <v>0</v>
      </c>
    </row>
    <row r="37" spans="1:14" ht="21.75" customHeight="1" x14ac:dyDescent="0.4">
      <c r="A37" s="42"/>
      <c r="B37" s="43"/>
      <c r="C37" s="43"/>
      <c r="D37" s="51"/>
      <c r="E37" s="45"/>
      <c r="F37" s="45"/>
      <c r="G37" s="52" t="s">
        <v>24</v>
      </c>
      <c r="H37" s="47" t="s">
        <v>20</v>
      </c>
      <c r="I37" s="48"/>
      <c r="J37" s="48"/>
      <c r="K37" s="49"/>
      <c r="L37" s="53">
        <f ca="1">IFERROR(__xludf.DUMMYFUNCTION("IMPORTRANGE(""https://docs.google.com/spreadsheets/d/1C3CXT74ZlgGe6_JY_1olB1XN4rF0dxEuIIF-xsYjHgg/edit?usp=sharing"",""พรบ!Q24"")"),122100)</f>
        <v>122100</v>
      </c>
      <c r="M37" s="54">
        <v>0</v>
      </c>
      <c r="N37" s="53">
        <f t="shared" ca="1" si="10"/>
        <v>0</v>
      </c>
    </row>
    <row r="38" spans="1:14" ht="21.75" customHeight="1" x14ac:dyDescent="0.4">
      <c r="A38" s="55"/>
      <c r="B38" s="56"/>
      <c r="C38" s="43" t="s">
        <v>17</v>
      </c>
      <c r="D38" s="57" t="s">
        <v>25</v>
      </c>
      <c r="E38" s="58"/>
      <c r="F38" s="58"/>
      <c r="G38" s="59"/>
      <c r="H38" s="60"/>
      <c r="I38" s="48"/>
      <c r="J38" s="48"/>
      <c r="K38" s="49"/>
      <c r="L38" s="61"/>
      <c r="M38" s="61"/>
      <c r="N38" s="61"/>
    </row>
    <row r="39" spans="1:14" ht="21.75" customHeight="1" x14ac:dyDescent="0.4">
      <c r="A39" s="55"/>
      <c r="B39" s="56"/>
      <c r="C39" s="56"/>
      <c r="D39" s="62">
        <v>1</v>
      </c>
      <c r="E39" s="63" t="s">
        <v>26</v>
      </c>
      <c r="F39" s="64"/>
      <c r="G39" s="65"/>
      <c r="H39" s="66"/>
      <c r="I39" s="67"/>
      <c r="J39" s="68">
        <v>0</v>
      </c>
      <c r="K39" s="49"/>
      <c r="L39" s="61"/>
      <c r="M39" s="61"/>
      <c r="N39" s="61"/>
    </row>
    <row r="40" spans="1:14" ht="21.75" customHeight="1" x14ac:dyDescent="0.4">
      <c r="A40" s="55"/>
      <c r="B40" s="56"/>
      <c r="C40" s="56"/>
      <c r="D40" s="69">
        <v>2</v>
      </c>
      <c r="E40" s="70" t="s">
        <v>27</v>
      </c>
      <c r="F40" s="71"/>
      <c r="G40" s="72"/>
      <c r="H40" s="66"/>
      <c r="I40" s="67"/>
      <c r="J40" s="68">
        <v>1</v>
      </c>
      <c r="K40" s="49"/>
      <c r="L40" s="61" t="s">
        <v>21</v>
      </c>
      <c r="M40" s="61" t="s">
        <v>21</v>
      </c>
      <c r="N40" s="61"/>
    </row>
    <row r="41" spans="1:14" ht="21.75" customHeight="1" x14ac:dyDescent="0.4">
      <c r="A41" s="55"/>
      <c r="B41" s="56"/>
      <c r="C41" s="56"/>
      <c r="D41" s="73"/>
      <c r="E41" s="74" t="s">
        <v>28</v>
      </c>
      <c r="F41" s="75"/>
      <c r="G41" s="76"/>
      <c r="H41" s="66"/>
      <c r="I41" s="67"/>
      <c r="J41" s="68">
        <v>1</v>
      </c>
      <c r="K41" s="49"/>
      <c r="L41" s="61"/>
      <c r="M41" s="61"/>
      <c r="N41" s="61"/>
    </row>
    <row r="42" spans="1:14" ht="21.75" customHeight="1" x14ac:dyDescent="0.4">
      <c r="A42" s="55"/>
      <c r="B42" s="56"/>
      <c r="C42" s="56"/>
      <c r="D42" s="73"/>
      <c r="E42" s="74" t="s">
        <v>29</v>
      </c>
      <c r="F42" s="75"/>
      <c r="G42" s="76"/>
      <c r="H42" s="66"/>
      <c r="I42" s="67"/>
      <c r="J42" s="68">
        <v>1</v>
      </c>
      <c r="K42" s="49"/>
      <c r="L42" s="61"/>
      <c r="M42" s="61"/>
      <c r="N42" s="61"/>
    </row>
    <row r="43" spans="1:14" ht="21.75" customHeight="1" x14ac:dyDescent="0.4">
      <c r="A43" s="55"/>
      <c r="B43" s="56"/>
      <c r="C43" s="56"/>
      <c r="D43" s="73"/>
      <c r="E43" s="75"/>
      <c r="F43" s="75" t="s">
        <v>41</v>
      </c>
      <c r="G43" s="75"/>
      <c r="H43" s="60" t="s">
        <v>42</v>
      </c>
      <c r="I43" s="48">
        <f ca="1">IFERROR(__xludf.DUMMYFUNCTION("IMPORTRANGE(""https://docs.google.com/spreadsheets/d/1C3CXT74ZlgGe6_JY_1olB1XN4rF0dxEuIIF-xsYjHgg/edit?usp=sharing"",""พรบ!R24"")"),1)</f>
        <v>1</v>
      </c>
      <c r="J43" s="68">
        <v>0</v>
      </c>
      <c r="K43" s="49">
        <f t="shared" ref="K43:K48" ca="1" si="11">IF(I43&gt;0,J43*100/I43,0)</f>
        <v>0</v>
      </c>
      <c r="L43" s="61"/>
      <c r="M43" s="61"/>
      <c r="N43" s="61"/>
    </row>
    <row r="44" spans="1:14" ht="21.75" customHeight="1" x14ac:dyDescent="0.4">
      <c r="A44" s="55"/>
      <c r="B44" s="56"/>
      <c r="C44" s="56"/>
      <c r="D44" s="73"/>
      <c r="E44" s="77"/>
      <c r="F44" s="74" t="s">
        <v>43</v>
      </c>
      <c r="G44" s="75"/>
      <c r="H44" s="60" t="s">
        <v>16</v>
      </c>
      <c r="I44" s="48">
        <f ca="1">IFERROR(__xludf.DUMMYFUNCTION("IMPORTRANGE(""https://docs.google.com/spreadsheets/d/1C3CXT74ZlgGe6_JY_1olB1XN4rF0dxEuIIF-xsYjHgg/edit?usp=sharing"",""พรบ!S24"")"),4)</f>
        <v>4</v>
      </c>
      <c r="J44" s="68">
        <v>0</v>
      </c>
      <c r="K44" s="49">
        <f t="shared" ca="1" si="11"/>
        <v>0</v>
      </c>
      <c r="L44" s="61"/>
      <c r="M44" s="61"/>
      <c r="N44" s="61"/>
    </row>
    <row r="45" spans="1:14" ht="21.75" customHeight="1" x14ac:dyDescent="0.4">
      <c r="A45" s="55"/>
      <c r="B45" s="56"/>
      <c r="C45" s="56"/>
      <c r="D45" s="73"/>
      <c r="E45" s="77"/>
      <c r="F45" s="75"/>
      <c r="G45" s="98" t="s">
        <v>44</v>
      </c>
      <c r="H45" s="60" t="s">
        <v>16</v>
      </c>
      <c r="I45" s="48">
        <f ca="1">IFERROR(__xludf.DUMMYFUNCTION("IMPORTRANGE(""https://docs.google.com/spreadsheets/d/1C3CXT74ZlgGe6_JY_1olB1XN4rF0dxEuIIF-xsYjHgg/edit?usp=sharing"",""พรบ!T24"")"),4)</f>
        <v>4</v>
      </c>
      <c r="J45" s="68">
        <v>0</v>
      </c>
      <c r="K45" s="49">
        <f t="shared" ca="1" si="11"/>
        <v>0</v>
      </c>
      <c r="L45" s="61"/>
      <c r="M45" s="61"/>
      <c r="N45" s="61"/>
    </row>
    <row r="46" spans="1:14" ht="21.75" customHeight="1" x14ac:dyDescent="0.4">
      <c r="A46" s="55"/>
      <c r="B46" s="56"/>
      <c r="C46" s="56"/>
      <c r="D46" s="73"/>
      <c r="E46" s="77"/>
      <c r="F46" s="75"/>
      <c r="G46" s="98" t="s">
        <v>45</v>
      </c>
      <c r="H46" s="60" t="s">
        <v>16</v>
      </c>
      <c r="I46" s="48">
        <f ca="1">IFERROR(__xludf.DUMMYFUNCTION("IMPORTRANGE(""https://docs.google.com/spreadsheets/d/1C3CXT74ZlgGe6_JY_1olB1XN4rF0dxEuIIF-xsYjHgg/edit?usp=sharing"",""พรบ!U24"")"),4)</f>
        <v>4</v>
      </c>
      <c r="J46" s="68">
        <v>0</v>
      </c>
      <c r="K46" s="49">
        <f t="shared" ca="1" si="11"/>
        <v>0</v>
      </c>
      <c r="L46" s="61"/>
      <c r="M46" s="61"/>
      <c r="N46" s="61"/>
    </row>
    <row r="47" spans="1:14" ht="21.75" customHeight="1" x14ac:dyDescent="0.4">
      <c r="A47" s="55"/>
      <c r="B47" s="56"/>
      <c r="C47" s="56"/>
      <c r="D47" s="73"/>
      <c r="E47" s="77"/>
      <c r="F47" s="75"/>
      <c r="G47" s="99" t="s">
        <v>46</v>
      </c>
      <c r="H47" s="60" t="s">
        <v>16</v>
      </c>
      <c r="I47" s="48">
        <f ca="1">IFERROR(__xludf.DUMMYFUNCTION("IMPORTRANGE(""https://docs.google.com/spreadsheets/d/1C3CXT74ZlgGe6_JY_1olB1XN4rF0dxEuIIF-xsYjHgg/edit?usp=sharing"",""พรบ!V24"")"),4)</f>
        <v>4</v>
      </c>
      <c r="J47" s="68">
        <v>0</v>
      </c>
      <c r="K47" s="49">
        <f t="shared" ca="1" si="11"/>
        <v>0</v>
      </c>
      <c r="L47" s="61"/>
      <c r="M47" s="61"/>
      <c r="N47" s="61"/>
    </row>
    <row r="48" spans="1:14" ht="21.75" customHeight="1" x14ac:dyDescent="0.4">
      <c r="A48" s="55"/>
      <c r="B48" s="56"/>
      <c r="C48" s="56"/>
      <c r="D48" s="73"/>
      <c r="E48" s="77"/>
      <c r="F48" s="75" t="s">
        <v>47</v>
      </c>
      <c r="G48" s="75"/>
      <c r="H48" s="60" t="s">
        <v>40</v>
      </c>
      <c r="I48" s="48">
        <f ca="1">IFERROR(__xludf.DUMMYFUNCTION("IMPORTRANGE(""https://docs.google.com/spreadsheets/d/1C3CXT74ZlgGe6_JY_1olB1XN4rF0dxEuIIF-xsYjHgg/edit?usp=sharing"",""พรบ!W24"")"),1)</f>
        <v>1</v>
      </c>
      <c r="J48" s="68">
        <v>0</v>
      </c>
      <c r="K48" s="49">
        <f t="shared" ca="1" si="11"/>
        <v>0</v>
      </c>
      <c r="L48" s="61"/>
      <c r="M48" s="61"/>
      <c r="N48" s="61"/>
    </row>
    <row r="49" spans="1:14" ht="21.75" customHeight="1" x14ac:dyDescent="0.4">
      <c r="A49" s="55"/>
      <c r="B49" s="56"/>
      <c r="C49" s="56"/>
      <c r="D49" s="73"/>
      <c r="E49" s="74" t="s">
        <v>35</v>
      </c>
      <c r="F49" s="75"/>
      <c r="G49" s="76"/>
      <c r="H49" s="66"/>
      <c r="I49" s="67"/>
      <c r="J49" s="68">
        <v>0</v>
      </c>
      <c r="K49" s="49"/>
      <c r="L49" s="61"/>
      <c r="M49" s="61"/>
      <c r="N49" s="61"/>
    </row>
    <row r="50" spans="1:14" ht="21.75" customHeight="1" x14ac:dyDescent="0.4">
      <c r="A50" s="55"/>
      <c r="B50" s="56"/>
      <c r="C50" s="56"/>
      <c r="D50" s="81">
        <v>3</v>
      </c>
      <c r="E50" s="82" t="s">
        <v>36</v>
      </c>
      <c r="F50" s="83"/>
      <c r="G50" s="84"/>
      <c r="H50" s="66"/>
      <c r="I50" s="67"/>
      <c r="J50" s="85">
        <v>0</v>
      </c>
      <c r="K50" s="49"/>
      <c r="L50" s="61"/>
      <c r="M50" s="61"/>
      <c r="N50" s="61"/>
    </row>
    <row r="51" spans="1:14" ht="21.75" customHeight="1" x14ac:dyDescent="0.4">
      <c r="A51" s="86" t="s">
        <v>48</v>
      </c>
      <c r="B51" s="100"/>
      <c r="C51" s="101"/>
      <c r="D51" s="100"/>
      <c r="E51" s="102"/>
      <c r="F51" s="102"/>
      <c r="G51" s="103"/>
      <c r="H51" s="91"/>
      <c r="I51" s="92"/>
      <c r="J51" s="92"/>
      <c r="K51" s="93"/>
      <c r="L51" s="94"/>
      <c r="M51" s="94"/>
      <c r="N51" s="95"/>
    </row>
    <row r="52" spans="1:14" ht="21.75" customHeight="1" x14ac:dyDescent="0.4">
      <c r="A52" s="34"/>
      <c r="B52" s="35" t="s">
        <v>49</v>
      </c>
      <c r="C52" s="104"/>
      <c r="D52" s="36"/>
      <c r="E52" s="35"/>
      <c r="F52" s="35"/>
      <c r="G52" s="96"/>
      <c r="H52" s="37" t="s">
        <v>16</v>
      </c>
      <c r="I52" s="38">
        <f ca="1">I62</f>
        <v>20</v>
      </c>
      <c r="J52" s="38">
        <f>+J62</f>
        <v>20</v>
      </c>
      <c r="K52" s="41">
        <f ca="1">IF(I52&gt;0,J52*100/I52,0)</f>
        <v>100</v>
      </c>
      <c r="L52" s="40">
        <f ca="1">L53+L54</f>
        <v>82440</v>
      </c>
      <c r="M52" s="40">
        <f>SUM(M53:M54)</f>
        <v>38430</v>
      </c>
      <c r="N52" s="41">
        <f ca="1">IF(L52&gt;0,M52*100/L52,0)</f>
        <v>46.615720524017469</v>
      </c>
    </row>
    <row r="53" spans="1:14" ht="21.75" customHeight="1" x14ac:dyDescent="0.4">
      <c r="A53" s="42"/>
      <c r="B53" s="43"/>
      <c r="C53" s="43" t="s">
        <v>17</v>
      </c>
      <c r="D53" s="44" t="s">
        <v>18</v>
      </c>
      <c r="E53" s="45"/>
      <c r="F53" s="45"/>
      <c r="G53" s="46" t="s">
        <v>19</v>
      </c>
      <c r="H53" s="47" t="s">
        <v>20</v>
      </c>
      <c r="I53" s="48" t="s">
        <v>21</v>
      </c>
      <c r="J53" s="48"/>
      <c r="K53" s="49"/>
      <c r="L53" s="50">
        <v>0</v>
      </c>
      <c r="M53" s="50">
        <v>0</v>
      </c>
      <c r="N53" s="50">
        <f t="shared" ref="N53:N56" si="12">+IF(L53&gt;0,M53*100/L53,0)</f>
        <v>0</v>
      </c>
    </row>
    <row r="54" spans="1:14" ht="21.75" customHeight="1" x14ac:dyDescent="0.4">
      <c r="A54" s="42"/>
      <c r="B54" s="43"/>
      <c r="C54" s="43"/>
      <c r="D54" s="51"/>
      <c r="E54" s="45"/>
      <c r="F54" s="45" t="s">
        <v>21</v>
      </c>
      <c r="G54" s="46" t="s">
        <v>22</v>
      </c>
      <c r="H54" s="47" t="s">
        <v>20</v>
      </c>
      <c r="I54" s="48"/>
      <c r="J54" s="48"/>
      <c r="K54" s="49"/>
      <c r="L54" s="50">
        <f t="shared" ref="L54:M54" ca="1" si="13">SUM(L55:L56)</f>
        <v>82440</v>
      </c>
      <c r="M54" s="50">
        <f t="shared" si="13"/>
        <v>38430</v>
      </c>
      <c r="N54" s="50">
        <f t="shared" ca="1" si="12"/>
        <v>46.615720524017469</v>
      </c>
    </row>
    <row r="55" spans="1:14" ht="21.75" customHeight="1" x14ac:dyDescent="0.4">
      <c r="A55" s="42"/>
      <c r="B55" s="43"/>
      <c r="C55" s="43"/>
      <c r="D55" s="51"/>
      <c r="E55" s="45"/>
      <c r="F55" s="45"/>
      <c r="G55" s="52" t="s">
        <v>23</v>
      </c>
      <c r="H55" s="47" t="s">
        <v>20</v>
      </c>
      <c r="I55" s="48"/>
      <c r="J55" s="48"/>
      <c r="K55" s="49"/>
      <c r="L55" s="53">
        <f ca="1">IFERROR(__xludf.DUMMYFUNCTION("IMPORTRANGE(""https://docs.google.com/spreadsheets/d/1C3CXT74ZlgGe6_JY_1olB1XN4rF0dxEuIIF-xsYjHgg/edit?usp=sharing"",""พรบ!Y24"")"),0)</f>
        <v>0</v>
      </c>
      <c r="M55" s="53">
        <v>0</v>
      </c>
      <c r="N55" s="53">
        <f t="shared" ca="1" si="12"/>
        <v>0</v>
      </c>
    </row>
    <row r="56" spans="1:14" ht="21.75" customHeight="1" x14ac:dyDescent="0.4">
      <c r="A56" s="42"/>
      <c r="B56" s="43"/>
      <c r="C56" s="43"/>
      <c r="D56" s="51"/>
      <c r="E56" s="45"/>
      <c r="F56" s="45"/>
      <c r="G56" s="52" t="s">
        <v>24</v>
      </c>
      <c r="H56" s="47" t="s">
        <v>20</v>
      </c>
      <c r="I56" s="48"/>
      <c r="J56" s="48"/>
      <c r="K56" s="49"/>
      <c r="L56" s="53">
        <f ca="1">IFERROR(__xludf.DUMMYFUNCTION("IMPORTRANGE(""https://docs.google.com/spreadsheets/d/1C3CXT74ZlgGe6_JY_1olB1XN4rF0dxEuIIF-xsYjHgg/edit?usp=sharing"",""พรบ!Z24"")"),82440)</f>
        <v>82440</v>
      </c>
      <c r="M56" s="54">
        <v>38430</v>
      </c>
      <c r="N56" s="53">
        <f t="shared" ca="1" si="12"/>
        <v>46.615720524017469</v>
      </c>
    </row>
    <row r="57" spans="1:14" ht="21.75" customHeight="1" x14ac:dyDescent="0.4">
      <c r="A57" s="55"/>
      <c r="B57" s="56"/>
      <c r="C57" s="43" t="s">
        <v>17</v>
      </c>
      <c r="D57" s="57" t="s">
        <v>250</v>
      </c>
      <c r="E57" s="58"/>
      <c r="F57" s="58"/>
      <c r="G57" s="59"/>
      <c r="H57" s="60"/>
      <c r="I57" s="48"/>
      <c r="J57" s="48"/>
      <c r="K57" s="49"/>
      <c r="L57" s="61"/>
      <c r="M57" s="61"/>
      <c r="N57" s="61"/>
    </row>
    <row r="58" spans="1:14" ht="21.75" customHeight="1" x14ac:dyDescent="0.4">
      <c r="A58" s="55"/>
      <c r="B58" s="56"/>
      <c r="C58" s="56"/>
      <c r="D58" s="62">
        <v>1</v>
      </c>
      <c r="E58" s="63" t="s">
        <v>26</v>
      </c>
      <c r="F58" s="64"/>
      <c r="G58" s="65"/>
      <c r="H58" s="66"/>
      <c r="I58" s="67"/>
      <c r="J58" s="68">
        <v>0</v>
      </c>
      <c r="K58" s="49"/>
      <c r="L58" s="61"/>
      <c r="M58" s="61"/>
      <c r="N58" s="61"/>
    </row>
    <row r="59" spans="1:14" ht="21.75" customHeight="1" x14ac:dyDescent="0.4">
      <c r="A59" s="55"/>
      <c r="B59" s="56"/>
      <c r="C59" s="56"/>
      <c r="D59" s="69">
        <v>2</v>
      </c>
      <c r="E59" s="70" t="s">
        <v>27</v>
      </c>
      <c r="F59" s="71"/>
      <c r="G59" s="72"/>
      <c r="H59" s="66"/>
      <c r="I59" s="67"/>
      <c r="J59" s="68">
        <v>1</v>
      </c>
      <c r="K59" s="49"/>
      <c r="L59" s="61" t="s">
        <v>21</v>
      </c>
      <c r="M59" s="61" t="s">
        <v>21</v>
      </c>
      <c r="N59" s="61"/>
    </row>
    <row r="60" spans="1:14" ht="21.75" customHeight="1" x14ac:dyDescent="0.4">
      <c r="A60" s="55"/>
      <c r="B60" s="56"/>
      <c r="C60" s="56"/>
      <c r="D60" s="73"/>
      <c r="E60" s="74" t="s">
        <v>28</v>
      </c>
      <c r="F60" s="75"/>
      <c r="G60" s="76"/>
      <c r="H60" s="66"/>
      <c r="I60" s="67"/>
      <c r="J60" s="68">
        <v>1</v>
      </c>
      <c r="K60" s="49"/>
      <c r="L60" s="61"/>
      <c r="M60" s="61"/>
      <c r="N60" s="61"/>
    </row>
    <row r="61" spans="1:14" ht="21.75" customHeight="1" x14ac:dyDescent="0.4">
      <c r="A61" s="55"/>
      <c r="B61" s="56"/>
      <c r="C61" s="56"/>
      <c r="D61" s="73"/>
      <c r="E61" s="74" t="s">
        <v>29</v>
      </c>
      <c r="F61" s="75"/>
      <c r="G61" s="76"/>
      <c r="H61" s="66"/>
      <c r="I61" s="67"/>
      <c r="J61" s="68">
        <v>1</v>
      </c>
      <c r="K61" s="49"/>
      <c r="L61" s="61"/>
      <c r="M61" s="61"/>
      <c r="N61" s="61"/>
    </row>
    <row r="62" spans="1:14" ht="21.75" customHeight="1" x14ac:dyDescent="0.4">
      <c r="A62" s="55"/>
      <c r="B62" s="56"/>
      <c r="C62" s="56"/>
      <c r="D62" s="73"/>
      <c r="E62" s="77"/>
      <c r="F62" s="74" t="s">
        <v>50</v>
      </c>
      <c r="G62" s="76"/>
      <c r="H62" s="60" t="s">
        <v>16</v>
      </c>
      <c r="I62" s="67">
        <f ca="1">IFERROR(__xludf.DUMMYFUNCTION("IMPORTRANGE(""https://docs.google.com/spreadsheets/d/1C3CXT74ZlgGe6_JY_1olB1XN4rF0dxEuIIF-xsYjHgg/edit?usp=sharing"",""พรบ!AA24"")"),20)</f>
        <v>20</v>
      </c>
      <c r="J62" s="68">
        <v>20</v>
      </c>
      <c r="K62" s="49">
        <f t="shared" ref="K62:K63" ca="1" si="14">IF(I62&gt;0,J62*100/I62,0)</f>
        <v>100</v>
      </c>
      <c r="L62" s="61"/>
      <c r="M62" s="61"/>
      <c r="N62" s="61"/>
    </row>
    <row r="63" spans="1:14" ht="21.75" customHeight="1" x14ac:dyDescent="0.4">
      <c r="A63" s="55"/>
      <c r="B63" s="56"/>
      <c r="C63" s="56"/>
      <c r="D63" s="73"/>
      <c r="E63" s="77"/>
      <c r="F63" s="74" t="s">
        <v>51</v>
      </c>
      <c r="G63" s="76"/>
      <c r="H63" s="60" t="s">
        <v>16</v>
      </c>
      <c r="I63" s="67">
        <f ca="1">I62</f>
        <v>20</v>
      </c>
      <c r="J63" s="68">
        <v>0</v>
      </c>
      <c r="K63" s="49">
        <f t="shared" ca="1" si="14"/>
        <v>0</v>
      </c>
      <c r="L63" s="61"/>
      <c r="M63" s="61"/>
      <c r="N63" s="61"/>
    </row>
    <row r="64" spans="1:14" ht="21.75" customHeight="1" x14ac:dyDescent="0.4">
      <c r="A64" s="55"/>
      <c r="B64" s="56"/>
      <c r="C64" s="56"/>
      <c r="D64" s="73"/>
      <c r="E64" s="74" t="s">
        <v>35</v>
      </c>
      <c r="F64" s="75"/>
      <c r="G64" s="76"/>
      <c r="H64" s="66"/>
      <c r="I64" s="67"/>
      <c r="J64" s="68">
        <v>0</v>
      </c>
      <c r="K64" s="49"/>
      <c r="L64" s="61"/>
      <c r="M64" s="61"/>
      <c r="N64" s="61"/>
    </row>
    <row r="65" spans="1:14" ht="21.75" customHeight="1" x14ac:dyDescent="0.4">
      <c r="A65" s="105"/>
      <c r="B65" s="106"/>
      <c r="C65" s="106"/>
      <c r="D65" s="107">
        <v>3</v>
      </c>
      <c r="E65" s="108" t="s">
        <v>36</v>
      </c>
      <c r="F65" s="109"/>
      <c r="G65" s="110"/>
      <c r="H65" s="111"/>
      <c r="I65" s="112"/>
      <c r="J65" s="113">
        <v>0</v>
      </c>
      <c r="K65" s="114"/>
      <c r="L65" s="115"/>
      <c r="M65" s="115"/>
      <c r="N65" s="115"/>
    </row>
    <row r="66" spans="1:14" ht="21.75" customHeight="1" x14ac:dyDescent="0.4">
      <c r="A66" s="116" t="s">
        <v>52</v>
      </c>
      <c r="B66" s="117"/>
      <c r="C66" s="117"/>
      <c r="D66" s="117"/>
      <c r="E66" s="118"/>
      <c r="F66" s="118"/>
      <c r="G66" s="119"/>
      <c r="H66" s="120"/>
      <c r="I66" s="121"/>
      <c r="J66" s="121"/>
      <c r="K66" s="122"/>
      <c r="L66" s="123"/>
      <c r="M66" s="123"/>
      <c r="N66" s="123"/>
    </row>
    <row r="67" spans="1:14" ht="21.75" customHeight="1" x14ac:dyDescent="0.4">
      <c r="A67" s="124" t="s">
        <v>53</v>
      </c>
      <c r="B67" s="125"/>
      <c r="C67" s="125"/>
      <c r="D67" s="126"/>
      <c r="E67" s="126"/>
      <c r="F67" s="126"/>
      <c r="G67" s="127"/>
      <c r="H67" s="128"/>
      <c r="I67" s="129"/>
      <c r="J67" s="129"/>
      <c r="K67" s="130"/>
      <c r="L67" s="130"/>
      <c r="M67" s="130"/>
      <c r="N67" s="131"/>
    </row>
    <row r="68" spans="1:14" ht="21.75" customHeight="1" x14ac:dyDescent="0.4">
      <c r="A68" s="132"/>
      <c r="B68" s="133" t="s">
        <v>54</v>
      </c>
      <c r="C68" s="134"/>
      <c r="D68" s="133"/>
      <c r="E68" s="133"/>
      <c r="F68" s="133"/>
      <c r="G68" s="135"/>
      <c r="H68" s="136" t="s">
        <v>16</v>
      </c>
      <c r="I68" s="137">
        <f t="shared" ref="I68:J68" ca="1" si="15">I126+I129</f>
        <v>0</v>
      </c>
      <c r="J68" s="137">
        <f t="shared" si="15"/>
        <v>0</v>
      </c>
      <c r="K68" s="138">
        <f ca="1">IF(I68&gt;0,J68*100/I68,0)</f>
        <v>0</v>
      </c>
      <c r="L68" s="139">
        <f t="shared" ref="L68:M68" ca="1" si="16">SUM(L70:L71)</f>
        <v>163500</v>
      </c>
      <c r="M68" s="139">
        <f t="shared" si="16"/>
        <v>0</v>
      </c>
      <c r="N68" s="138">
        <f ca="1">IF(L68&gt;0,M68*100/L68,0)</f>
        <v>0</v>
      </c>
    </row>
    <row r="69" spans="1:14" ht="21.75" customHeight="1" x14ac:dyDescent="0.4">
      <c r="A69" s="132"/>
      <c r="B69" s="133" t="s">
        <v>55</v>
      </c>
      <c r="C69" s="134"/>
      <c r="D69" s="133"/>
      <c r="E69" s="133"/>
      <c r="F69" s="133"/>
      <c r="G69" s="135"/>
      <c r="H69" s="136"/>
      <c r="I69" s="137"/>
      <c r="J69" s="137"/>
      <c r="K69" s="138"/>
      <c r="L69" s="139"/>
      <c r="M69" s="139"/>
      <c r="N69" s="138"/>
    </row>
    <row r="70" spans="1:14" ht="21.75" customHeight="1" x14ac:dyDescent="0.4">
      <c r="A70" s="42"/>
      <c r="B70" s="43"/>
      <c r="C70" s="43" t="s">
        <v>17</v>
      </c>
      <c r="D70" s="44" t="s">
        <v>18</v>
      </c>
      <c r="E70" s="45"/>
      <c r="F70" s="45"/>
      <c r="G70" s="46" t="s">
        <v>19</v>
      </c>
      <c r="H70" s="47" t="s">
        <v>20</v>
      </c>
      <c r="I70" s="48" t="s">
        <v>21</v>
      </c>
      <c r="J70" s="48"/>
      <c r="K70" s="49"/>
      <c r="L70" s="50">
        <v>0</v>
      </c>
      <c r="M70" s="50">
        <v>0</v>
      </c>
      <c r="N70" s="50">
        <f t="shared" ref="N70:N77" si="17">+IF(L70&gt;0,M70*100/L70,0)</f>
        <v>0</v>
      </c>
    </row>
    <row r="71" spans="1:14" ht="21.75" customHeight="1" x14ac:dyDescent="0.4">
      <c r="A71" s="42"/>
      <c r="B71" s="43"/>
      <c r="C71" s="43"/>
      <c r="D71" s="51"/>
      <c r="E71" s="45"/>
      <c r="F71" s="45" t="s">
        <v>21</v>
      </c>
      <c r="G71" s="46" t="s">
        <v>22</v>
      </c>
      <c r="H71" s="47" t="s">
        <v>20</v>
      </c>
      <c r="I71" s="48"/>
      <c r="J71" s="48"/>
      <c r="K71" s="49"/>
      <c r="L71" s="50">
        <f ca="1">L72+L73</f>
        <v>163500</v>
      </c>
      <c r="M71" s="140">
        <f>SUM(M72:M73)</f>
        <v>0</v>
      </c>
      <c r="N71" s="50">
        <f t="shared" ca="1" si="17"/>
        <v>0</v>
      </c>
    </row>
    <row r="72" spans="1:14" ht="21.75" customHeight="1" x14ac:dyDescent="0.4">
      <c r="A72" s="42"/>
      <c r="B72" s="43"/>
      <c r="C72" s="43"/>
      <c r="D72" s="51"/>
      <c r="E72" s="45"/>
      <c r="F72" s="45"/>
      <c r="G72" s="52" t="s">
        <v>23</v>
      </c>
      <c r="H72" s="47" t="s">
        <v>20</v>
      </c>
      <c r="I72" s="48"/>
      <c r="J72" s="48"/>
      <c r="K72" s="49"/>
      <c r="L72" s="53">
        <f ca="1">IFERROR(__xludf.DUMMYFUNCTION("IMPORTRANGE(""https://docs.google.com/spreadsheets/d/1C3CXT74ZlgGe6_JY_1olB1XN4rF0dxEuIIF-xsYjHgg/edit?usp=sharing"",""พรบ!AD24"")"),0)</f>
        <v>0</v>
      </c>
      <c r="M72" s="53">
        <v>0</v>
      </c>
      <c r="N72" s="53">
        <f t="shared" ca="1" si="17"/>
        <v>0</v>
      </c>
    </row>
    <row r="73" spans="1:14" ht="21.75" customHeight="1" x14ac:dyDescent="0.4">
      <c r="A73" s="42"/>
      <c r="B73" s="43"/>
      <c r="C73" s="43"/>
      <c r="D73" s="51"/>
      <c r="E73" s="45"/>
      <c r="F73" s="45"/>
      <c r="G73" s="52" t="s">
        <v>24</v>
      </c>
      <c r="H73" s="47" t="s">
        <v>20</v>
      </c>
      <c r="I73" s="48"/>
      <c r="J73" s="48"/>
      <c r="K73" s="49"/>
      <c r="L73" s="53">
        <f t="shared" ref="L73:M73" ca="1" si="18">L77+L92+L104+L117+L132</f>
        <v>163500</v>
      </c>
      <c r="M73" s="53">
        <f t="shared" si="18"/>
        <v>0</v>
      </c>
      <c r="N73" s="53">
        <f t="shared" ca="1" si="17"/>
        <v>0</v>
      </c>
    </row>
    <row r="74" spans="1:14" ht="21.75" customHeight="1" x14ac:dyDescent="0.4">
      <c r="A74" s="141"/>
      <c r="B74" s="142"/>
      <c r="C74" s="143" t="s">
        <v>56</v>
      </c>
      <c r="D74" s="143"/>
      <c r="E74" s="143"/>
      <c r="F74" s="143"/>
      <c r="G74" s="144"/>
      <c r="H74" s="145" t="s">
        <v>57</v>
      </c>
      <c r="I74" s="146">
        <f t="shared" ref="I74:J74" ca="1" si="19">I83</f>
        <v>4</v>
      </c>
      <c r="J74" s="146">
        <f t="shared" si="19"/>
        <v>0</v>
      </c>
      <c r="K74" s="147">
        <f ca="1">IF(I74&gt;0,J74*100/I74,0)</f>
        <v>0</v>
      </c>
      <c r="L74" s="148">
        <f ca="1">L75+L76</f>
        <v>7500</v>
      </c>
      <c r="M74" s="148">
        <f>SUM(M75:M76)</f>
        <v>0</v>
      </c>
      <c r="N74" s="148">
        <f t="shared" ca="1" si="17"/>
        <v>0</v>
      </c>
    </row>
    <row r="75" spans="1:14" ht="21.75" customHeight="1" x14ac:dyDescent="0.4">
      <c r="A75" s="42"/>
      <c r="B75" s="43"/>
      <c r="C75" s="43" t="s">
        <v>17</v>
      </c>
      <c r="D75" s="44" t="s">
        <v>18</v>
      </c>
      <c r="E75" s="45"/>
      <c r="F75" s="45"/>
      <c r="G75" s="46" t="s">
        <v>19</v>
      </c>
      <c r="H75" s="47" t="s">
        <v>20</v>
      </c>
      <c r="I75" s="48" t="s">
        <v>21</v>
      </c>
      <c r="J75" s="48"/>
      <c r="K75" s="49"/>
      <c r="L75" s="50">
        <v>0</v>
      </c>
      <c r="M75" s="50">
        <v>0</v>
      </c>
      <c r="N75" s="50">
        <f t="shared" si="17"/>
        <v>0</v>
      </c>
    </row>
    <row r="76" spans="1:14" ht="21.75" customHeight="1" x14ac:dyDescent="0.4">
      <c r="A76" s="42"/>
      <c r="B76" s="43"/>
      <c r="C76" s="43"/>
      <c r="D76" s="51"/>
      <c r="E76" s="45"/>
      <c r="F76" s="45" t="s">
        <v>21</v>
      </c>
      <c r="G76" s="46" t="s">
        <v>22</v>
      </c>
      <c r="H76" s="47" t="s">
        <v>20</v>
      </c>
      <c r="I76" s="48"/>
      <c r="J76" s="48"/>
      <c r="K76" s="49"/>
      <c r="L76" s="50">
        <f t="shared" ref="L76:M76" ca="1" si="20">L77</f>
        <v>7500</v>
      </c>
      <c r="M76" s="50">
        <f t="shared" si="20"/>
        <v>0</v>
      </c>
      <c r="N76" s="50">
        <f t="shared" ca="1" si="17"/>
        <v>0</v>
      </c>
    </row>
    <row r="77" spans="1:14" ht="21.75" customHeight="1" x14ac:dyDescent="0.4">
      <c r="A77" s="42"/>
      <c r="B77" s="43"/>
      <c r="C77" s="43"/>
      <c r="D77" s="51"/>
      <c r="E77" s="45"/>
      <c r="F77" s="45"/>
      <c r="G77" s="52" t="s">
        <v>24</v>
      </c>
      <c r="H77" s="47" t="s">
        <v>20</v>
      </c>
      <c r="I77" s="48"/>
      <c r="J77" s="48"/>
      <c r="K77" s="49"/>
      <c r="L77" s="53">
        <f ca="1">IFERROR(__xludf.DUMMYFUNCTION("IMPORTRANGE(""https://docs.google.com/spreadsheets/d/1C3CXT74ZlgGe6_JY_1olB1XN4rF0dxEuIIF-xsYjHgg/edit?usp=sharing"",""พรบ!AF24"")"),7500)</f>
        <v>7500</v>
      </c>
      <c r="M77" s="54">
        <v>0</v>
      </c>
      <c r="N77" s="53">
        <f t="shared" ca="1" si="17"/>
        <v>0</v>
      </c>
    </row>
    <row r="78" spans="1:14" ht="21.75" customHeight="1" x14ac:dyDescent="0.4">
      <c r="A78" s="55"/>
      <c r="B78" s="56"/>
      <c r="C78" s="43" t="s">
        <v>17</v>
      </c>
      <c r="D78" s="57" t="s">
        <v>25</v>
      </c>
      <c r="E78" s="58"/>
      <c r="F78" s="58"/>
      <c r="G78" s="59"/>
      <c r="H78" s="60"/>
      <c r="I78" s="48"/>
      <c r="J78" s="48"/>
      <c r="K78" s="49"/>
      <c r="L78" s="61"/>
      <c r="M78" s="61"/>
      <c r="N78" s="61"/>
    </row>
    <row r="79" spans="1:14" ht="21.75" customHeight="1" x14ac:dyDescent="0.4">
      <c r="A79" s="55"/>
      <c r="B79" s="56"/>
      <c r="C79" s="56"/>
      <c r="D79" s="62">
        <v>1</v>
      </c>
      <c r="E79" s="63" t="s">
        <v>26</v>
      </c>
      <c r="F79" s="64"/>
      <c r="G79" s="65"/>
      <c r="H79" s="66"/>
      <c r="I79" s="67"/>
      <c r="J79" s="68">
        <v>0</v>
      </c>
      <c r="K79" s="49"/>
      <c r="L79" s="61"/>
      <c r="M79" s="61"/>
      <c r="N79" s="61"/>
    </row>
    <row r="80" spans="1:14" ht="21.75" customHeight="1" x14ac:dyDescent="0.4">
      <c r="A80" s="55"/>
      <c r="B80" s="56"/>
      <c r="C80" s="56"/>
      <c r="D80" s="69">
        <v>2</v>
      </c>
      <c r="E80" s="70" t="s">
        <v>27</v>
      </c>
      <c r="F80" s="71"/>
      <c r="G80" s="72"/>
      <c r="H80" s="66"/>
      <c r="I80" s="67"/>
      <c r="J80" s="68">
        <v>1</v>
      </c>
      <c r="K80" s="49"/>
      <c r="L80" s="61" t="s">
        <v>21</v>
      </c>
      <c r="M80" s="61" t="s">
        <v>21</v>
      </c>
      <c r="N80" s="61"/>
    </row>
    <row r="81" spans="1:14" ht="21.75" customHeight="1" x14ac:dyDescent="0.4">
      <c r="A81" s="55"/>
      <c r="B81" s="56"/>
      <c r="C81" s="56"/>
      <c r="D81" s="73"/>
      <c r="E81" s="74" t="s">
        <v>28</v>
      </c>
      <c r="F81" s="75"/>
      <c r="G81" s="76"/>
      <c r="H81" s="66"/>
      <c r="I81" s="67"/>
      <c r="J81" s="68">
        <v>1</v>
      </c>
      <c r="K81" s="49"/>
      <c r="L81" s="61"/>
      <c r="M81" s="61"/>
      <c r="N81" s="61"/>
    </row>
    <row r="82" spans="1:14" ht="21.75" customHeight="1" x14ac:dyDescent="0.4">
      <c r="A82" s="55"/>
      <c r="B82" s="56"/>
      <c r="C82" s="56"/>
      <c r="D82" s="73"/>
      <c r="E82" s="74" t="s">
        <v>29</v>
      </c>
      <c r="F82" s="75"/>
      <c r="G82" s="76"/>
      <c r="H82" s="66"/>
      <c r="I82" s="67"/>
      <c r="J82" s="68">
        <v>1</v>
      </c>
      <c r="K82" s="49"/>
      <c r="L82" s="61"/>
      <c r="M82" s="61"/>
      <c r="N82" s="61"/>
    </row>
    <row r="83" spans="1:14" ht="21.75" customHeight="1" x14ac:dyDescent="0.4">
      <c r="A83" s="55"/>
      <c r="B83" s="56"/>
      <c r="C83" s="56"/>
      <c r="D83" s="73"/>
      <c r="E83" s="77"/>
      <c r="F83" s="74" t="s">
        <v>58</v>
      </c>
      <c r="G83" s="76"/>
      <c r="H83" s="60" t="s">
        <v>57</v>
      </c>
      <c r="I83" s="67">
        <f ca="1">IFERROR(__xludf.DUMMYFUNCTION("IMPORTRANGE(""https://docs.google.com/spreadsheets/d/1C3CXT74ZlgGe6_JY_1olB1XN4rF0dxEuIIF-xsYjHgg/edit?usp=sharing"",""พรบ!AG24"")"),4)</f>
        <v>4</v>
      </c>
      <c r="J83" s="68">
        <v>0</v>
      </c>
      <c r="K83" s="49">
        <f ca="1">IF(I83&gt;0,J83*100/I83,0)</f>
        <v>0</v>
      </c>
      <c r="L83" s="61"/>
      <c r="M83" s="61"/>
      <c r="N83" s="61"/>
    </row>
    <row r="84" spans="1:14" ht="21.75" customHeight="1" x14ac:dyDescent="0.4">
      <c r="A84" s="55"/>
      <c r="B84" s="56"/>
      <c r="C84" s="56"/>
      <c r="D84" s="73"/>
      <c r="E84" s="75"/>
      <c r="F84" s="75" t="s">
        <v>59</v>
      </c>
      <c r="G84" s="76"/>
      <c r="H84" s="66" t="s">
        <v>16</v>
      </c>
      <c r="I84" s="67"/>
      <c r="J84" s="67">
        <f>J85+J86</f>
        <v>0</v>
      </c>
      <c r="K84" s="49"/>
      <c r="L84" s="61"/>
      <c r="M84" s="61"/>
      <c r="N84" s="61"/>
    </row>
    <row r="85" spans="1:14" ht="21.75" customHeight="1" x14ac:dyDescent="0.4">
      <c r="A85" s="55"/>
      <c r="B85" s="56"/>
      <c r="C85" s="56"/>
      <c r="D85" s="73"/>
      <c r="E85" s="75"/>
      <c r="F85" s="75"/>
      <c r="G85" s="76" t="s">
        <v>60</v>
      </c>
      <c r="H85" s="66" t="s">
        <v>16</v>
      </c>
      <c r="I85" s="67"/>
      <c r="J85" s="68">
        <v>0</v>
      </c>
      <c r="K85" s="49"/>
      <c r="L85" s="61"/>
      <c r="M85" s="61"/>
      <c r="N85" s="61"/>
    </row>
    <row r="86" spans="1:14" ht="21.75" customHeight="1" x14ac:dyDescent="0.4">
      <c r="A86" s="55"/>
      <c r="B86" s="56"/>
      <c r="C86" s="56"/>
      <c r="D86" s="73"/>
      <c r="E86" s="75"/>
      <c r="F86" s="75"/>
      <c r="G86" s="76" t="s">
        <v>61</v>
      </c>
      <c r="H86" s="66" t="s">
        <v>16</v>
      </c>
      <c r="I86" s="67"/>
      <c r="J86" s="68">
        <v>0</v>
      </c>
      <c r="K86" s="49"/>
      <c r="L86" s="61"/>
      <c r="M86" s="61"/>
      <c r="N86" s="61"/>
    </row>
    <row r="87" spans="1:14" ht="21.75" customHeight="1" x14ac:dyDescent="0.4">
      <c r="A87" s="55"/>
      <c r="B87" s="56"/>
      <c r="C87" s="56"/>
      <c r="D87" s="73"/>
      <c r="E87" s="74" t="s">
        <v>35</v>
      </c>
      <c r="F87" s="75"/>
      <c r="G87" s="76"/>
      <c r="H87" s="66"/>
      <c r="I87" s="67"/>
      <c r="J87" s="68">
        <v>0</v>
      </c>
      <c r="K87" s="49"/>
      <c r="L87" s="61"/>
      <c r="M87" s="61"/>
      <c r="N87" s="61"/>
    </row>
    <row r="88" spans="1:14" ht="21.75" customHeight="1" x14ac:dyDescent="0.4">
      <c r="A88" s="55"/>
      <c r="B88" s="56"/>
      <c r="C88" s="56"/>
      <c r="D88" s="81">
        <v>3</v>
      </c>
      <c r="E88" s="82" t="s">
        <v>36</v>
      </c>
      <c r="F88" s="83"/>
      <c r="G88" s="84"/>
      <c r="H88" s="66"/>
      <c r="I88" s="67"/>
      <c r="J88" s="85">
        <v>0</v>
      </c>
      <c r="K88" s="49"/>
      <c r="L88" s="61"/>
      <c r="M88" s="61"/>
      <c r="N88" s="61"/>
    </row>
    <row r="89" spans="1:14" ht="21.75" customHeight="1" x14ac:dyDescent="0.4">
      <c r="A89" s="141"/>
      <c r="B89" s="142"/>
      <c r="C89" s="143" t="s">
        <v>62</v>
      </c>
      <c r="D89" s="143"/>
      <c r="E89" s="143"/>
      <c r="F89" s="143"/>
      <c r="G89" s="144"/>
      <c r="H89" s="149" t="s">
        <v>63</v>
      </c>
      <c r="I89" s="150">
        <f t="shared" ref="I89:J89" ca="1" si="21">I98</f>
        <v>5</v>
      </c>
      <c r="J89" s="150">
        <f t="shared" si="21"/>
        <v>0</v>
      </c>
      <c r="K89" s="151">
        <f ca="1">IF(I89&gt;0,J89*100/I89,0)</f>
        <v>0</v>
      </c>
      <c r="L89" s="148">
        <f ca="1">L90+L91</f>
        <v>70000</v>
      </c>
      <c r="M89" s="148">
        <f>SUM(M90:M91)</f>
        <v>0</v>
      </c>
      <c r="N89" s="148">
        <f t="shared" ref="N89:N92" ca="1" si="22">+IF(L89&gt;0,M89*100/L89,0)</f>
        <v>0</v>
      </c>
    </row>
    <row r="90" spans="1:14" ht="21.75" customHeight="1" x14ac:dyDescent="0.4">
      <c r="A90" s="42"/>
      <c r="B90" s="43"/>
      <c r="C90" s="43" t="s">
        <v>17</v>
      </c>
      <c r="D90" s="44" t="s">
        <v>18</v>
      </c>
      <c r="E90" s="45"/>
      <c r="F90" s="45"/>
      <c r="G90" s="46" t="s">
        <v>19</v>
      </c>
      <c r="H90" s="47" t="s">
        <v>20</v>
      </c>
      <c r="I90" s="48" t="s">
        <v>21</v>
      </c>
      <c r="J90" s="48"/>
      <c r="K90" s="49"/>
      <c r="L90" s="50">
        <v>0</v>
      </c>
      <c r="M90" s="50">
        <v>0</v>
      </c>
      <c r="N90" s="50">
        <f t="shared" si="22"/>
        <v>0</v>
      </c>
    </row>
    <row r="91" spans="1:14" ht="21.75" customHeight="1" x14ac:dyDescent="0.4">
      <c r="A91" s="42"/>
      <c r="B91" s="43"/>
      <c r="C91" s="43"/>
      <c r="D91" s="51"/>
      <c r="E91" s="45"/>
      <c r="F91" s="45" t="s">
        <v>21</v>
      </c>
      <c r="G91" s="46" t="s">
        <v>22</v>
      </c>
      <c r="H91" s="47" t="s">
        <v>20</v>
      </c>
      <c r="I91" s="48"/>
      <c r="J91" s="48"/>
      <c r="K91" s="49"/>
      <c r="L91" s="50">
        <f t="shared" ref="L91:M91" ca="1" si="23">L92</f>
        <v>70000</v>
      </c>
      <c r="M91" s="50">
        <f t="shared" si="23"/>
        <v>0</v>
      </c>
      <c r="N91" s="50">
        <f t="shared" ca="1" si="22"/>
        <v>0</v>
      </c>
    </row>
    <row r="92" spans="1:14" ht="21.75" customHeight="1" x14ac:dyDescent="0.4">
      <c r="A92" s="42"/>
      <c r="B92" s="43"/>
      <c r="C92" s="43"/>
      <c r="D92" s="51"/>
      <c r="E92" s="45"/>
      <c r="F92" s="45"/>
      <c r="G92" s="52" t="s">
        <v>24</v>
      </c>
      <c r="H92" s="47" t="s">
        <v>20</v>
      </c>
      <c r="I92" s="48"/>
      <c r="J92" s="48"/>
      <c r="K92" s="49"/>
      <c r="L92" s="53">
        <f ca="1">IFERROR(__xludf.DUMMYFUNCTION("IMPORTRANGE(""https://docs.google.com/spreadsheets/d/1C3CXT74ZlgGe6_JY_1olB1XN4rF0dxEuIIF-xsYjHgg/edit?usp=sharing"",""พรบ!AH24"")"),70000)</f>
        <v>70000</v>
      </c>
      <c r="M92" s="54">
        <v>0</v>
      </c>
      <c r="N92" s="53">
        <f t="shared" ca="1" si="22"/>
        <v>0</v>
      </c>
    </row>
    <row r="93" spans="1:14" ht="21.75" customHeight="1" x14ac:dyDescent="0.4">
      <c r="A93" s="55"/>
      <c r="B93" s="56"/>
      <c r="C93" s="43" t="s">
        <v>17</v>
      </c>
      <c r="D93" s="57" t="s">
        <v>25</v>
      </c>
      <c r="E93" s="58"/>
      <c r="F93" s="58"/>
      <c r="G93" s="59"/>
      <c r="H93" s="60"/>
      <c r="I93" s="48"/>
      <c r="J93" s="48"/>
      <c r="K93" s="49"/>
      <c r="L93" s="61"/>
      <c r="M93" s="61"/>
      <c r="N93" s="61"/>
    </row>
    <row r="94" spans="1:14" ht="21.75" customHeight="1" x14ac:dyDescent="0.4">
      <c r="A94" s="55"/>
      <c r="B94" s="56"/>
      <c r="C94" s="56"/>
      <c r="D94" s="62">
        <v>1</v>
      </c>
      <c r="E94" s="63" t="s">
        <v>26</v>
      </c>
      <c r="F94" s="64"/>
      <c r="G94" s="65"/>
      <c r="H94" s="66"/>
      <c r="I94" s="67"/>
      <c r="J94" s="68"/>
      <c r="K94" s="49"/>
      <c r="L94" s="61"/>
      <c r="M94" s="61"/>
      <c r="N94" s="61"/>
    </row>
    <row r="95" spans="1:14" ht="21.75" customHeight="1" x14ac:dyDescent="0.4">
      <c r="A95" s="55"/>
      <c r="B95" s="56"/>
      <c r="C95" s="56"/>
      <c r="D95" s="69">
        <v>2</v>
      </c>
      <c r="E95" s="70" t="s">
        <v>27</v>
      </c>
      <c r="F95" s="71"/>
      <c r="G95" s="72"/>
      <c r="H95" s="66"/>
      <c r="I95" s="67"/>
      <c r="J95" s="68">
        <v>1</v>
      </c>
      <c r="K95" s="49"/>
      <c r="L95" s="61" t="s">
        <v>21</v>
      </c>
      <c r="M95" s="61" t="s">
        <v>21</v>
      </c>
      <c r="N95" s="61"/>
    </row>
    <row r="96" spans="1:14" ht="21.75" customHeight="1" x14ac:dyDescent="0.4">
      <c r="A96" s="55"/>
      <c r="B96" s="56"/>
      <c r="C96" s="56"/>
      <c r="D96" s="73"/>
      <c r="E96" s="74" t="s">
        <v>28</v>
      </c>
      <c r="F96" s="75"/>
      <c r="G96" s="76"/>
      <c r="H96" s="66"/>
      <c r="I96" s="67"/>
      <c r="J96" s="68">
        <v>1</v>
      </c>
      <c r="K96" s="49"/>
      <c r="L96" s="61"/>
      <c r="M96" s="61"/>
      <c r="N96" s="61"/>
    </row>
    <row r="97" spans="1:14" ht="21.75" customHeight="1" x14ac:dyDescent="0.4">
      <c r="A97" s="55"/>
      <c r="B97" s="56"/>
      <c r="C97" s="56"/>
      <c r="D97" s="73"/>
      <c r="E97" s="74" t="s">
        <v>29</v>
      </c>
      <c r="F97" s="75"/>
      <c r="G97" s="76"/>
      <c r="H97" s="66"/>
      <c r="I97" s="67"/>
      <c r="J97" s="68">
        <v>1</v>
      </c>
      <c r="K97" s="49"/>
      <c r="L97" s="61"/>
      <c r="M97" s="61"/>
      <c r="N97" s="61"/>
    </row>
    <row r="98" spans="1:14" ht="21.75" customHeight="1" x14ac:dyDescent="0.4">
      <c r="A98" s="55"/>
      <c r="B98" s="56"/>
      <c r="C98" s="56"/>
      <c r="D98" s="73"/>
      <c r="E98" s="77"/>
      <c r="F98" s="74" t="s">
        <v>64</v>
      </c>
      <c r="G98" s="76"/>
      <c r="H98" s="60" t="s">
        <v>63</v>
      </c>
      <c r="I98" s="67">
        <f ca="1">IFERROR(__xludf.DUMMYFUNCTION("IMPORTRANGE(""https://docs.google.com/spreadsheets/d/1C3CXT74ZlgGe6_JY_1olB1XN4rF0dxEuIIF-xsYjHgg/edit?usp=sharing"",""พรบ!AI24"")"),5)</f>
        <v>5</v>
      </c>
      <c r="J98" s="68">
        <v>0</v>
      </c>
      <c r="K98" s="49">
        <f ca="1">IF(I98&gt;0,J98*100/I98,0)</f>
        <v>0</v>
      </c>
      <c r="L98" s="53">
        <f ca="1">IFERROR(__xludf.DUMMYFUNCTION("IMPORTRANGE(""https://docs.google.com/spreadsheets/d/1C3CXT74ZlgGe6_JY_1olB1XN4rF0dxEuIIF-xsYjHgg/edit?usp=sharing"",""กปร!C24"")"),60000)</f>
        <v>60000</v>
      </c>
      <c r="M98" s="359">
        <v>0</v>
      </c>
      <c r="N98" s="53">
        <f ca="1">+IF(L98&gt;0,M98*100/L98,0)</f>
        <v>0</v>
      </c>
    </row>
    <row r="99" spans="1:14" ht="21.75" customHeight="1" x14ac:dyDescent="0.4">
      <c r="A99" s="55"/>
      <c r="B99" s="56"/>
      <c r="C99" s="56"/>
      <c r="D99" s="73"/>
      <c r="E99" s="74" t="s">
        <v>35</v>
      </c>
      <c r="F99" s="75"/>
      <c r="G99" s="76"/>
      <c r="H99" s="66"/>
      <c r="I99" s="67"/>
      <c r="J99" s="68">
        <v>0</v>
      </c>
      <c r="K99" s="49"/>
      <c r="L99" s="61"/>
      <c r="M99" s="61"/>
      <c r="N99" s="61"/>
    </row>
    <row r="100" spans="1:14" ht="21.75" customHeight="1" x14ac:dyDescent="0.4">
      <c r="A100" s="55"/>
      <c r="B100" s="56"/>
      <c r="C100" s="56"/>
      <c r="D100" s="81">
        <v>3</v>
      </c>
      <c r="E100" s="82" t="s">
        <v>36</v>
      </c>
      <c r="F100" s="83"/>
      <c r="G100" s="84"/>
      <c r="H100" s="66"/>
      <c r="I100" s="67"/>
      <c r="J100" s="85">
        <v>0</v>
      </c>
      <c r="K100" s="49"/>
      <c r="L100" s="61"/>
      <c r="M100" s="61"/>
      <c r="N100" s="61"/>
    </row>
    <row r="101" spans="1:14" ht="21.75" customHeight="1" x14ac:dyDescent="0.4">
      <c r="A101" s="141"/>
      <c r="B101" s="142"/>
      <c r="C101" s="143" t="s">
        <v>65</v>
      </c>
      <c r="D101" s="143"/>
      <c r="E101" s="143"/>
      <c r="F101" s="143"/>
      <c r="G101" s="144"/>
      <c r="H101" s="149" t="s">
        <v>63</v>
      </c>
      <c r="I101" s="150">
        <f t="shared" ref="I101:J101" ca="1" si="24">I111</f>
        <v>0</v>
      </c>
      <c r="J101" s="150">
        <f t="shared" si="24"/>
        <v>0</v>
      </c>
      <c r="K101" s="151">
        <f ca="1">IF(I101&gt;0,J101*100/I101,0)</f>
        <v>0</v>
      </c>
      <c r="L101" s="148">
        <f ca="1">L102+L103</f>
        <v>0</v>
      </c>
      <c r="M101" s="148">
        <f>SUM(M102:M103)</f>
        <v>0</v>
      </c>
      <c r="N101" s="148">
        <f t="shared" ref="N101:N104" ca="1" si="25">+IF(L101&gt;0,M101*100/L101,0)</f>
        <v>0</v>
      </c>
    </row>
    <row r="102" spans="1:14" ht="21.75" customHeight="1" x14ac:dyDescent="0.4">
      <c r="A102" s="42"/>
      <c r="B102" s="43"/>
      <c r="C102" s="43" t="s">
        <v>17</v>
      </c>
      <c r="D102" s="44" t="s">
        <v>18</v>
      </c>
      <c r="E102" s="45"/>
      <c r="F102" s="45"/>
      <c r="G102" s="46" t="s">
        <v>19</v>
      </c>
      <c r="H102" s="47" t="s">
        <v>20</v>
      </c>
      <c r="I102" s="48" t="s">
        <v>21</v>
      </c>
      <c r="J102" s="48"/>
      <c r="K102" s="49"/>
      <c r="L102" s="50">
        <v>0</v>
      </c>
      <c r="M102" s="50">
        <v>0</v>
      </c>
      <c r="N102" s="50">
        <f t="shared" si="25"/>
        <v>0</v>
      </c>
    </row>
    <row r="103" spans="1:14" ht="21.75" customHeight="1" x14ac:dyDescent="0.4">
      <c r="A103" s="42"/>
      <c r="B103" s="43"/>
      <c r="C103" s="43"/>
      <c r="D103" s="51"/>
      <c r="E103" s="45"/>
      <c r="F103" s="45" t="s">
        <v>21</v>
      </c>
      <c r="G103" s="46" t="s">
        <v>22</v>
      </c>
      <c r="H103" s="47" t="s">
        <v>20</v>
      </c>
      <c r="I103" s="48"/>
      <c r="J103" s="48"/>
      <c r="K103" s="49"/>
      <c r="L103" s="50">
        <f ca="1">SUM(L104)</f>
        <v>0</v>
      </c>
      <c r="M103" s="50">
        <f>M104</f>
        <v>0</v>
      </c>
      <c r="N103" s="50">
        <f t="shared" ca="1" si="25"/>
        <v>0</v>
      </c>
    </row>
    <row r="104" spans="1:14" ht="21.75" customHeight="1" x14ac:dyDescent="0.4">
      <c r="A104" s="42"/>
      <c r="B104" s="43"/>
      <c r="C104" s="43"/>
      <c r="D104" s="51"/>
      <c r="E104" s="45"/>
      <c r="F104" s="45"/>
      <c r="G104" s="52" t="s">
        <v>24</v>
      </c>
      <c r="H104" s="47" t="s">
        <v>20</v>
      </c>
      <c r="I104" s="48"/>
      <c r="J104" s="67"/>
      <c r="K104" s="233"/>
      <c r="L104" s="53">
        <f ca="1">IFERROR(__xludf.DUMMYFUNCTION("IMPORTRANGE(""https://docs.google.com/spreadsheets/d/1C3CXT74ZlgGe6_JY_1olB1XN4rF0dxEuIIF-xsYjHgg/edit?usp=sharing"",""พรบ!AJ24"")"),0)</f>
        <v>0</v>
      </c>
      <c r="M104" s="53">
        <v>0</v>
      </c>
      <c r="N104" s="53">
        <f t="shared" ca="1" si="25"/>
        <v>0</v>
      </c>
    </row>
    <row r="105" spans="1:14" ht="21.75" customHeight="1" x14ac:dyDescent="0.4">
      <c r="A105" s="55"/>
      <c r="B105" s="56"/>
      <c r="C105" s="43" t="s">
        <v>17</v>
      </c>
      <c r="D105" s="57" t="s">
        <v>25</v>
      </c>
      <c r="E105" s="58"/>
      <c r="F105" s="58"/>
      <c r="G105" s="59"/>
      <c r="H105" s="60"/>
      <c r="I105" s="48"/>
      <c r="J105" s="67"/>
      <c r="K105" s="233"/>
      <c r="L105" s="53"/>
      <c r="M105" s="53"/>
      <c r="N105" s="61"/>
    </row>
    <row r="106" spans="1:14" ht="21.75" customHeight="1" x14ac:dyDescent="0.4">
      <c r="A106" s="55"/>
      <c r="B106" s="56"/>
      <c r="C106" s="56"/>
      <c r="D106" s="62">
        <v>1</v>
      </c>
      <c r="E106" s="63" t="s">
        <v>26</v>
      </c>
      <c r="F106" s="64"/>
      <c r="G106" s="65"/>
      <c r="H106" s="66"/>
      <c r="I106" s="67"/>
      <c r="J106" s="67">
        <v>0</v>
      </c>
      <c r="K106" s="233"/>
      <c r="L106" s="53"/>
      <c r="M106" s="53"/>
      <c r="N106" s="61"/>
    </row>
    <row r="107" spans="1:14" ht="21.75" customHeight="1" x14ac:dyDescent="0.4">
      <c r="A107" s="55"/>
      <c r="B107" s="56"/>
      <c r="C107" s="56"/>
      <c r="D107" s="69">
        <v>2</v>
      </c>
      <c r="E107" s="70" t="s">
        <v>27</v>
      </c>
      <c r="F107" s="71"/>
      <c r="G107" s="72"/>
      <c r="H107" s="66"/>
      <c r="I107" s="67"/>
      <c r="J107" s="67">
        <v>0</v>
      </c>
      <c r="K107" s="233"/>
      <c r="L107" s="53" t="s">
        <v>21</v>
      </c>
      <c r="M107" s="53" t="s">
        <v>21</v>
      </c>
      <c r="N107" s="61"/>
    </row>
    <row r="108" spans="1:14" ht="21.75" customHeight="1" x14ac:dyDescent="0.4">
      <c r="A108" s="55"/>
      <c r="B108" s="56"/>
      <c r="C108" s="56"/>
      <c r="D108" s="73"/>
      <c r="E108" s="74" t="s">
        <v>28</v>
      </c>
      <c r="F108" s="75"/>
      <c r="G108" s="76"/>
      <c r="H108" s="66"/>
      <c r="I108" s="67"/>
      <c r="J108" s="67">
        <v>0</v>
      </c>
      <c r="K108" s="233"/>
      <c r="L108" s="53"/>
      <c r="M108" s="53"/>
      <c r="N108" s="61"/>
    </row>
    <row r="109" spans="1:14" ht="21.75" customHeight="1" x14ac:dyDescent="0.4">
      <c r="A109" s="55"/>
      <c r="B109" s="56"/>
      <c r="C109" s="56"/>
      <c r="D109" s="73"/>
      <c r="E109" s="74" t="s">
        <v>29</v>
      </c>
      <c r="F109" s="75"/>
      <c r="G109" s="76"/>
      <c r="H109" s="66"/>
      <c r="I109" s="67"/>
      <c r="J109" s="67">
        <v>0</v>
      </c>
      <c r="K109" s="233"/>
      <c r="L109" s="53"/>
      <c r="M109" s="53"/>
      <c r="N109" s="61"/>
    </row>
    <row r="110" spans="1:14" ht="21.75" customHeight="1" x14ac:dyDescent="0.4">
      <c r="A110" s="55"/>
      <c r="B110" s="56"/>
      <c r="C110" s="56"/>
      <c r="D110" s="73"/>
      <c r="E110" s="77"/>
      <c r="F110" s="74" t="s">
        <v>66</v>
      </c>
      <c r="G110" s="76"/>
      <c r="H110" s="60" t="s">
        <v>63</v>
      </c>
      <c r="I110" s="67">
        <f ca="1">IFERROR(__xludf.DUMMYFUNCTION("IMPORTRANGE(""https://docs.google.com/spreadsheets/d/1C3CXT74ZlgGe6_JY_1olB1XN4rF0dxEuIIF-xsYjHgg/edit?usp=sharing"",""พรบ!AK24"")"),0)</f>
        <v>0</v>
      </c>
      <c r="J110" s="67">
        <v>0</v>
      </c>
      <c r="K110" s="233">
        <f t="shared" ref="K110:K111" ca="1" si="26">IF(I110&gt;0,J110*100/I110,0)</f>
        <v>0</v>
      </c>
      <c r="L110" s="53">
        <f ca="1">IFERROR(__xludf.DUMMYFUNCTION("IMPORTRANGE(""https://docs.google.com/spreadsheets/d/1C3CXT74ZlgGe6_JY_1olB1XN4rF0dxEuIIF-xsYjHgg/edit?usp=sharing"",""กปร!D24"")"),0)</f>
        <v>0</v>
      </c>
      <c r="M110" s="53">
        <v>0</v>
      </c>
      <c r="N110" s="53">
        <f t="shared" ref="N110:N111" ca="1" si="27">+IF(L110&gt;0,M110*100/L110,0)</f>
        <v>0</v>
      </c>
    </row>
    <row r="111" spans="1:14" ht="21.75" customHeight="1" x14ac:dyDescent="0.4">
      <c r="A111" s="55"/>
      <c r="B111" s="56"/>
      <c r="C111" s="56"/>
      <c r="D111" s="73"/>
      <c r="E111" s="77"/>
      <c r="F111" s="74" t="s">
        <v>67</v>
      </c>
      <c r="G111" s="76"/>
      <c r="H111" s="60" t="s">
        <v>63</v>
      </c>
      <c r="I111" s="67">
        <f ca="1">IFERROR(__xludf.DUMMYFUNCTION("IMPORTRANGE(""https://docs.google.com/spreadsheets/d/1C3CXT74ZlgGe6_JY_1olB1XN4rF0dxEuIIF-xsYjHgg/edit?usp=sharing"",""พรบ!AL24"")"),0)</f>
        <v>0</v>
      </c>
      <c r="J111" s="67">
        <v>0</v>
      </c>
      <c r="K111" s="233">
        <f t="shared" ca="1" si="26"/>
        <v>0</v>
      </c>
      <c r="L111" s="53">
        <f ca="1">IFERROR(__xludf.DUMMYFUNCTION("IMPORTRANGE(""https://docs.google.com/spreadsheets/d/1C3CXT74ZlgGe6_JY_1olB1XN4rF0dxEuIIF-xsYjHgg/edit?usp=sharing"",""กปร!E24"")"),0)</f>
        <v>0</v>
      </c>
      <c r="M111" s="53">
        <v>0</v>
      </c>
      <c r="N111" s="53">
        <f t="shared" ca="1" si="27"/>
        <v>0</v>
      </c>
    </row>
    <row r="112" spans="1:14" ht="21.75" customHeight="1" x14ac:dyDescent="0.4">
      <c r="A112" s="55"/>
      <c r="B112" s="56"/>
      <c r="C112" s="56"/>
      <c r="D112" s="73"/>
      <c r="E112" s="74" t="s">
        <v>35</v>
      </c>
      <c r="F112" s="75"/>
      <c r="G112" s="76"/>
      <c r="H112" s="66"/>
      <c r="I112" s="67"/>
      <c r="J112" s="67">
        <v>0</v>
      </c>
      <c r="K112" s="233"/>
      <c r="L112" s="53"/>
      <c r="M112" s="53"/>
      <c r="N112" s="61"/>
    </row>
    <row r="113" spans="1:14" ht="21.75" customHeight="1" x14ac:dyDescent="0.4">
      <c r="A113" s="55"/>
      <c r="B113" s="56"/>
      <c r="C113" s="56"/>
      <c r="D113" s="81">
        <v>3</v>
      </c>
      <c r="E113" s="82" t="s">
        <v>36</v>
      </c>
      <c r="F113" s="83"/>
      <c r="G113" s="84"/>
      <c r="H113" s="66"/>
      <c r="I113" s="67"/>
      <c r="J113" s="360">
        <v>0</v>
      </c>
      <c r="K113" s="233"/>
      <c r="L113" s="53"/>
      <c r="M113" s="53"/>
      <c r="N113" s="61"/>
    </row>
    <row r="114" spans="1:14" ht="21.75" customHeight="1" x14ac:dyDescent="0.4">
      <c r="A114" s="141"/>
      <c r="B114" s="142"/>
      <c r="C114" s="143" t="s">
        <v>68</v>
      </c>
      <c r="D114" s="143"/>
      <c r="E114" s="143"/>
      <c r="F114" s="143"/>
      <c r="G114" s="144"/>
      <c r="H114" s="152" t="s">
        <v>69</v>
      </c>
      <c r="I114" s="150">
        <f t="shared" ref="I114:J114" ca="1" si="28">I125</f>
        <v>300000</v>
      </c>
      <c r="J114" s="150">
        <f t="shared" si="28"/>
        <v>0</v>
      </c>
      <c r="K114" s="151">
        <f ca="1">IF(I114&gt;0,J114*100/I114,0)</f>
        <v>0</v>
      </c>
      <c r="L114" s="148">
        <f ca="1">L115+L116</f>
        <v>86000</v>
      </c>
      <c r="M114" s="148">
        <f>SUM(M115:M116)</f>
        <v>0</v>
      </c>
      <c r="N114" s="148">
        <f t="shared" ref="N114:N117" ca="1" si="29">+IF(L114&gt;0,M114*100/L114,0)</f>
        <v>0</v>
      </c>
    </row>
    <row r="115" spans="1:14" ht="21.75" customHeight="1" x14ac:dyDescent="0.4">
      <c r="A115" s="42"/>
      <c r="B115" s="43"/>
      <c r="C115" s="43" t="s">
        <v>17</v>
      </c>
      <c r="D115" s="44" t="s">
        <v>18</v>
      </c>
      <c r="E115" s="45"/>
      <c r="F115" s="45"/>
      <c r="G115" s="46" t="s">
        <v>19</v>
      </c>
      <c r="H115" s="47" t="s">
        <v>20</v>
      </c>
      <c r="I115" s="48" t="s">
        <v>21</v>
      </c>
      <c r="J115" s="48"/>
      <c r="K115" s="49"/>
      <c r="L115" s="50">
        <v>0</v>
      </c>
      <c r="M115" s="50">
        <v>0</v>
      </c>
      <c r="N115" s="50">
        <f t="shared" si="29"/>
        <v>0</v>
      </c>
    </row>
    <row r="116" spans="1:14" ht="21.75" customHeight="1" x14ac:dyDescent="0.4">
      <c r="A116" s="42"/>
      <c r="B116" s="43"/>
      <c r="C116" s="43"/>
      <c r="D116" s="51"/>
      <c r="E116" s="45"/>
      <c r="F116" s="45" t="s">
        <v>21</v>
      </c>
      <c r="G116" s="46" t="s">
        <v>22</v>
      </c>
      <c r="H116" s="47" t="s">
        <v>20</v>
      </c>
      <c r="I116" s="48"/>
      <c r="J116" s="48"/>
      <c r="K116" s="49"/>
      <c r="L116" s="50">
        <f ca="1">SUM(L117)</f>
        <v>86000</v>
      </c>
      <c r="M116" s="50">
        <f>M117</f>
        <v>0</v>
      </c>
      <c r="N116" s="50">
        <f t="shared" ca="1" si="29"/>
        <v>0</v>
      </c>
    </row>
    <row r="117" spans="1:14" ht="21.75" customHeight="1" x14ac:dyDescent="0.4">
      <c r="A117" s="42"/>
      <c r="B117" s="43"/>
      <c r="C117" s="43"/>
      <c r="D117" s="51"/>
      <c r="E117" s="45"/>
      <c r="F117" s="45"/>
      <c r="G117" s="52" t="s">
        <v>24</v>
      </c>
      <c r="H117" s="47" t="s">
        <v>20</v>
      </c>
      <c r="I117" s="48"/>
      <c r="J117" s="48"/>
      <c r="K117" s="49"/>
      <c r="L117" s="53">
        <f ca="1">IFERROR(__xludf.DUMMYFUNCTION("IMPORTRANGE(""https://docs.google.com/spreadsheets/d/1C3CXT74ZlgGe6_JY_1olB1XN4rF0dxEuIIF-xsYjHgg/edit?usp=sharing"",""พรบ!AM24"")"),86000)</f>
        <v>86000</v>
      </c>
      <c r="M117" s="54">
        <v>0</v>
      </c>
      <c r="N117" s="53">
        <f t="shared" ca="1" si="29"/>
        <v>0</v>
      </c>
    </row>
    <row r="118" spans="1:14" ht="21.75" customHeight="1" x14ac:dyDescent="0.4">
      <c r="A118" s="55"/>
      <c r="B118" s="56"/>
      <c r="C118" s="43" t="s">
        <v>17</v>
      </c>
      <c r="D118" s="57" t="s">
        <v>25</v>
      </c>
      <c r="E118" s="58"/>
      <c r="F118" s="58"/>
      <c r="G118" s="59"/>
      <c r="H118" s="60"/>
      <c r="I118" s="48"/>
      <c r="J118" s="48"/>
      <c r="K118" s="49"/>
      <c r="L118" s="61"/>
      <c r="M118" s="61"/>
      <c r="N118" s="61"/>
    </row>
    <row r="119" spans="1:14" ht="21.75" customHeight="1" x14ac:dyDescent="0.4">
      <c r="A119" s="55"/>
      <c r="B119" s="56"/>
      <c r="C119" s="56"/>
      <c r="D119" s="62">
        <v>1</v>
      </c>
      <c r="E119" s="63" t="s">
        <v>26</v>
      </c>
      <c r="F119" s="64"/>
      <c r="G119" s="65"/>
      <c r="H119" s="66"/>
      <c r="I119" s="67"/>
      <c r="J119" s="68"/>
      <c r="K119" s="49"/>
      <c r="L119" s="61"/>
      <c r="M119" s="61"/>
      <c r="N119" s="61"/>
    </row>
    <row r="120" spans="1:14" ht="21.75" customHeight="1" x14ac:dyDescent="0.4">
      <c r="A120" s="55"/>
      <c r="B120" s="56"/>
      <c r="C120" s="56"/>
      <c r="D120" s="69">
        <v>2</v>
      </c>
      <c r="E120" s="70" t="s">
        <v>27</v>
      </c>
      <c r="F120" s="71"/>
      <c r="G120" s="72"/>
      <c r="H120" s="66"/>
      <c r="I120" s="67"/>
      <c r="J120" s="68">
        <v>1</v>
      </c>
      <c r="K120" s="49"/>
      <c r="L120" s="61" t="s">
        <v>21</v>
      </c>
      <c r="M120" s="61" t="s">
        <v>21</v>
      </c>
      <c r="N120" s="61"/>
    </row>
    <row r="121" spans="1:14" ht="21.75" customHeight="1" x14ac:dyDescent="0.4">
      <c r="A121" s="55"/>
      <c r="B121" s="56"/>
      <c r="C121" s="56"/>
      <c r="D121" s="73"/>
      <c r="E121" s="74" t="s">
        <v>28</v>
      </c>
      <c r="F121" s="75"/>
      <c r="G121" s="76"/>
      <c r="H121" s="66"/>
      <c r="I121" s="67"/>
      <c r="J121" s="68">
        <v>1</v>
      </c>
      <c r="K121" s="49"/>
      <c r="L121" s="61"/>
      <c r="M121" s="61"/>
      <c r="N121" s="61"/>
    </row>
    <row r="122" spans="1:14" ht="21.75" customHeight="1" x14ac:dyDescent="0.4">
      <c r="A122" s="55"/>
      <c r="B122" s="56"/>
      <c r="C122" s="56"/>
      <c r="D122" s="73"/>
      <c r="E122" s="74" t="s">
        <v>29</v>
      </c>
      <c r="F122" s="75"/>
      <c r="G122" s="76"/>
      <c r="H122" s="66"/>
      <c r="I122" s="67"/>
      <c r="J122" s="68">
        <v>1</v>
      </c>
      <c r="K122" s="49"/>
      <c r="L122" s="61"/>
      <c r="M122" s="61"/>
      <c r="N122" s="61"/>
    </row>
    <row r="123" spans="1:14" ht="21.75" customHeight="1" x14ac:dyDescent="0.4">
      <c r="A123" s="55"/>
      <c r="B123" s="56"/>
      <c r="C123" s="56"/>
      <c r="D123" s="73"/>
      <c r="E123" s="75"/>
      <c r="F123" s="75" t="s">
        <v>70</v>
      </c>
      <c r="G123" s="76"/>
      <c r="H123" s="60"/>
      <c r="I123" s="67"/>
      <c r="J123" s="67"/>
      <c r="K123" s="49"/>
      <c r="L123" s="61"/>
      <c r="M123" s="61"/>
      <c r="N123" s="61"/>
    </row>
    <row r="124" spans="1:14" ht="21.75" customHeight="1" x14ac:dyDescent="0.4">
      <c r="A124" s="55"/>
      <c r="B124" s="56"/>
      <c r="C124" s="56"/>
      <c r="D124" s="73"/>
      <c r="E124" s="77"/>
      <c r="F124" s="75"/>
      <c r="G124" s="74" t="s">
        <v>71</v>
      </c>
      <c r="H124" s="60" t="s">
        <v>69</v>
      </c>
      <c r="I124" s="67">
        <f ca="1">IFERROR(__xludf.DUMMYFUNCTION("IMPORTRANGE(""https://docs.google.com/spreadsheets/d/1C3CXT74ZlgGe6_JY_1olB1XN4rF0dxEuIIF-xsYjHgg/edit?usp=sharing"",""พรบ!AO24"")"),300000)</f>
        <v>300000</v>
      </c>
      <c r="J124" s="68">
        <v>0</v>
      </c>
      <c r="K124" s="49">
        <f t="shared" ref="K124:K126" ca="1" si="30">IF(I124&gt;0,J124*100/I124,0)</f>
        <v>0</v>
      </c>
      <c r="L124" s="61"/>
      <c r="M124" s="61"/>
      <c r="N124" s="61"/>
    </row>
    <row r="125" spans="1:14" ht="21.75" customHeight="1" x14ac:dyDescent="0.4">
      <c r="A125" s="55"/>
      <c r="B125" s="56"/>
      <c r="C125" s="56"/>
      <c r="D125" s="73"/>
      <c r="E125" s="77"/>
      <c r="F125" s="75"/>
      <c r="G125" s="74" t="s">
        <v>72</v>
      </c>
      <c r="H125" s="60" t="s">
        <v>69</v>
      </c>
      <c r="I125" s="67">
        <f ca="1">IFERROR(__xludf.DUMMYFUNCTION("IMPORTRANGE(""https://docs.google.com/spreadsheets/d/1C3CXT74ZlgGe6_JY_1olB1XN4rF0dxEuIIF-xsYjHgg/edit?usp=sharing"",""พรบ!AP24"")"),300000)</f>
        <v>300000</v>
      </c>
      <c r="J125" s="68">
        <v>0</v>
      </c>
      <c r="K125" s="49">
        <f t="shared" ca="1" si="30"/>
        <v>0</v>
      </c>
      <c r="L125" s="53">
        <f ca="1">IFERROR(__xludf.DUMMYFUNCTION("IMPORTRANGE(""https://docs.google.com/spreadsheets/d/1C3CXT74ZlgGe6_JY_1olB1XN4rF0dxEuIIF-xsYjHgg/edit?usp=sharing"",""กปร!F24"")"),75000)</f>
        <v>75000</v>
      </c>
      <c r="M125" s="359">
        <v>0</v>
      </c>
      <c r="N125" s="53">
        <f t="shared" ref="N125:N126" ca="1" si="31">+IF(L125&gt;0,M125*100/L125,0)</f>
        <v>0</v>
      </c>
    </row>
    <row r="126" spans="1:14" ht="21.75" customHeight="1" x14ac:dyDescent="0.4">
      <c r="A126" s="55"/>
      <c r="B126" s="56"/>
      <c r="C126" s="56"/>
      <c r="D126" s="73"/>
      <c r="E126" s="77"/>
      <c r="F126" s="75" t="s">
        <v>73</v>
      </c>
      <c r="G126" s="76"/>
      <c r="H126" s="60" t="s">
        <v>16</v>
      </c>
      <c r="I126" s="67">
        <f ca="1">IFERROR(__xludf.DUMMYFUNCTION("IMPORTRANGE(""https://docs.google.com/spreadsheets/d/1C3CXT74ZlgGe6_JY_1olB1XN4rF0dxEuIIF-xsYjHgg/edit?usp=sharing"",""พรบ!AQ24"")"),0)</f>
        <v>0</v>
      </c>
      <c r="J126" s="67">
        <v>0</v>
      </c>
      <c r="K126" s="49">
        <f t="shared" ca="1" si="30"/>
        <v>0</v>
      </c>
      <c r="L126" s="53">
        <f ca="1">IFERROR(__xludf.DUMMYFUNCTION("IMPORTRANGE(""https://docs.google.com/spreadsheets/d/1C3CXT74ZlgGe6_JY_1olB1XN4rF0dxEuIIF-xsYjHgg/edit?usp=sharing"",""กปร!G24"")"),0)</f>
        <v>0</v>
      </c>
      <c r="M126" s="53">
        <v>0</v>
      </c>
      <c r="N126" s="53">
        <f t="shared" ca="1" si="31"/>
        <v>0</v>
      </c>
    </row>
    <row r="127" spans="1:14" ht="21.75" customHeight="1" x14ac:dyDescent="0.4">
      <c r="A127" s="55"/>
      <c r="B127" s="56"/>
      <c r="C127" s="56"/>
      <c r="D127" s="73"/>
      <c r="E127" s="74" t="s">
        <v>35</v>
      </c>
      <c r="F127" s="75"/>
      <c r="G127" s="76"/>
      <c r="H127" s="66"/>
      <c r="I127" s="67"/>
      <c r="J127" s="68">
        <v>0</v>
      </c>
      <c r="K127" s="49"/>
      <c r="L127" s="61"/>
      <c r="M127" s="61"/>
      <c r="N127" s="61"/>
    </row>
    <row r="128" spans="1:14" ht="21.75" customHeight="1" x14ac:dyDescent="0.4">
      <c r="A128" s="105"/>
      <c r="B128" s="106"/>
      <c r="C128" s="106"/>
      <c r="D128" s="107">
        <v>3</v>
      </c>
      <c r="E128" s="108" t="s">
        <v>36</v>
      </c>
      <c r="F128" s="109"/>
      <c r="G128" s="110"/>
      <c r="H128" s="111"/>
      <c r="I128" s="112"/>
      <c r="J128" s="113">
        <v>0</v>
      </c>
      <c r="K128" s="114"/>
      <c r="L128" s="115"/>
      <c r="M128" s="115"/>
      <c r="N128" s="115"/>
    </row>
    <row r="129" spans="1:14" ht="21.75" customHeight="1" x14ac:dyDescent="0.4">
      <c r="A129" s="141"/>
      <c r="B129" s="142"/>
      <c r="C129" s="153" t="s">
        <v>74</v>
      </c>
      <c r="D129" s="143"/>
      <c r="E129" s="143"/>
      <c r="F129" s="143"/>
      <c r="G129" s="144"/>
      <c r="H129" s="152" t="s">
        <v>16</v>
      </c>
      <c r="I129" s="150">
        <f t="shared" ref="I129:J129" ca="1" si="32">I138</f>
        <v>0</v>
      </c>
      <c r="J129" s="150">
        <f t="shared" si="32"/>
        <v>0</v>
      </c>
      <c r="K129" s="151">
        <f ca="1">IF(I129&gt;0,J129*100/I129,0)</f>
        <v>0</v>
      </c>
      <c r="L129" s="148">
        <f ca="1">L130+L131</f>
        <v>0</v>
      </c>
      <c r="M129" s="148">
        <f>SUM(M130:M131)</f>
        <v>0</v>
      </c>
      <c r="N129" s="148">
        <f t="shared" ref="N129:N132" ca="1" si="33">+IF(L129&gt;0,M129*100/L129,0)</f>
        <v>0</v>
      </c>
    </row>
    <row r="130" spans="1:14" ht="21.75" customHeight="1" x14ac:dyDescent="0.4">
      <c r="A130" s="42"/>
      <c r="B130" s="43"/>
      <c r="C130" s="43" t="s">
        <v>17</v>
      </c>
      <c r="D130" s="44" t="s">
        <v>18</v>
      </c>
      <c r="E130" s="45"/>
      <c r="F130" s="45"/>
      <c r="G130" s="46" t="s">
        <v>19</v>
      </c>
      <c r="H130" s="47" t="s">
        <v>20</v>
      </c>
      <c r="I130" s="48" t="s">
        <v>21</v>
      </c>
      <c r="J130" s="48"/>
      <c r="K130" s="49"/>
      <c r="L130" s="50">
        <v>0</v>
      </c>
      <c r="M130" s="50">
        <v>0</v>
      </c>
      <c r="N130" s="50">
        <f t="shared" si="33"/>
        <v>0</v>
      </c>
    </row>
    <row r="131" spans="1:14" ht="21.75" customHeight="1" x14ac:dyDescent="0.4">
      <c r="A131" s="42"/>
      <c r="B131" s="43"/>
      <c r="C131" s="43"/>
      <c r="D131" s="51"/>
      <c r="E131" s="45"/>
      <c r="F131" s="45" t="s">
        <v>21</v>
      </c>
      <c r="G131" s="46" t="s">
        <v>22</v>
      </c>
      <c r="H131" s="47" t="s">
        <v>20</v>
      </c>
      <c r="I131" s="48"/>
      <c r="J131" s="48"/>
      <c r="K131" s="49"/>
      <c r="L131" s="50">
        <f ca="1">SUM(L132)</f>
        <v>0</v>
      </c>
      <c r="M131" s="50">
        <f>M132</f>
        <v>0</v>
      </c>
      <c r="N131" s="50">
        <f t="shared" ca="1" si="33"/>
        <v>0</v>
      </c>
    </row>
    <row r="132" spans="1:14" ht="21.75" customHeight="1" x14ac:dyDescent="0.4">
      <c r="A132" s="42"/>
      <c r="B132" s="43"/>
      <c r="C132" s="43"/>
      <c r="D132" s="51"/>
      <c r="E132" s="45"/>
      <c r="F132" s="45"/>
      <c r="G132" s="52" t="s">
        <v>24</v>
      </c>
      <c r="H132" s="47" t="s">
        <v>20</v>
      </c>
      <c r="I132" s="48"/>
      <c r="J132" s="67"/>
      <c r="K132" s="233"/>
      <c r="L132" s="53">
        <f ca="1">IFERROR(__xludf.DUMMYFUNCTION("IMPORTRANGE(""https://docs.google.com/spreadsheets/d/1C3CXT74ZlgGe6_JY_1olB1XN4rF0dxEuIIF-xsYjHgg/edit?usp=sharing"",""พรบ!AR24"")"),0)</f>
        <v>0</v>
      </c>
      <c r="M132" s="53">
        <v>0</v>
      </c>
      <c r="N132" s="53">
        <f t="shared" ca="1" si="33"/>
        <v>0</v>
      </c>
    </row>
    <row r="133" spans="1:14" ht="21.75" customHeight="1" x14ac:dyDescent="0.4">
      <c r="A133" s="55"/>
      <c r="B133" s="56"/>
      <c r="C133" s="43" t="s">
        <v>17</v>
      </c>
      <c r="D133" s="57" t="s">
        <v>25</v>
      </c>
      <c r="E133" s="58"/>
      <c r="F133" s="58"/>
      <c r="G133" s="59"/>
      <c r="H133" s="60"/>
      <c r="I133" s="48"/>
      <c r="J133" s="67"/>
      <c r="K133" s="233"/>
      <c r="L133" s="53"/>
      <c r="M133" s="53"/>
      <c r="N133" s="61"/>
    </row>
    <row r="134" spans="1:14" ht="21.75" customHeight="1" x14ac:dyDescent="0.4">
      <c r="A134" s="55"/>
      <c r="B134" s="56"/>
      <c r="C134" s="56"/>
      <c r="D134" s="62">
        <v>1</v>
      </c>
      <c r="E134" s="63" t="s">
        <v>26</v>
      </c>
      <c r="F134" s="64"/>
      <c r="G134" s="65"/>
      <c r="H134" s="66"/>
      <c r="I134" s="67"/>
      <c r="J134" s="67">
        <v>0</v>
      </c>
      <c r="K134" s="233"/>
      <c r="L134" s="53"/>
      <c r="M134" s="53"/>
      <c r="N134" s="61"/>
    </row>
    <row r="135" spans="1:14" ht="21.75" customHeight="1" x14ac:dyDescent="0.4">
      <c r="A135" s="55"/>
      <c r="B135" s="56"/>
      <c r="C135" s="56"/>
      <c r="D135" s="69">
        <v>2</v>
      </c>
      <c r="E135" s="70" t="s">
        <v>27</v>
      </c>
      <c r="F135" s="71"/>
      <c r="G135" s="72"/>
      <c r="H135" s="66"/>
      <c r="I135" s="67"/>
      <c r="J135" s="67">
        <v>0</v>
      </c>
      <c r="K135" s="233"/>
      <c r="L135" s="53" t="s">
        <v>21</v>
      </c>
      <c r="M135" s="53" t="s">
        <v>21</v>
      </c>
      <c r="N135" s="61"/>
    </row>
    <row r="136" spans="1:14" ht="21.75" customHeight="1" x14ac:dyDescent="0.4">
      <c r="A136" s="55"/>
      <c r="B136" s="56"/>
      <c r="C136" s="56"/>
      <c r="D136" s="73"/>
      <c r="E136" s="74" t="s">
        <v>28</v>
      </c>
      <c r="F136" s="75"/>
      <c r="G136" s="76"/>
      <c r="H136" s="66"/>
      <c r="I136" s="67"/>
      <c r="J136" s="67">
        <v>0</v>
      </c>
      <c r="K136" s="233"/>
      <c r="L136" s="53"/>
      <c r="M136" s="53"/>
      <c r="N136" s="61"/>
    </row>
    <row r="137" spans="1:14" ht="21.75" customHeight="1" x14ac:dyDescent="0.4">
      <c r="A137" s="55"/>
      <c r="B137" s="56"/>
      <c r="C137" s="56"/>
      <c r="D137" s="73"/>
      <c r="E137" s="74" t="s">
        <v>29</v>
      </c>
      <c r="F137" s="75"/>
      <c r="G137" s="76"/>
      <c r="H137" s="66"/>
      <c r="I137" s="67"/>
      <c r="J137" s="67">
        <v>0</v>
      </c>
      <c r="K137" s="233"/>
      <c r="L137" s="53"/>
      <c r="M137" s="53"/>
      <c r="N137" s="61"/>
    </row>
    <row r="138" spans="1:14" ht="21.75" customHeight="1" x14ac:dyDescent="0.4">
      <c r="A138" s="55"/>
      <c r="B138" s="56"/>
      <c r="C138" s="56"/>
      <c r="D138" s="73"/>
      <c r="E138" s="77"/>
      <c r="F138" s="75" t="s">
        <v>75</v>
      </c>
      <c r="G138" s="76"/>
      <c r="H138" s="60" t="s">
        <v>16</v>
      </c>
      <c r="I138" s="67">
        <f ca="1">IFERROR(__xludf.DUMMYFUNCTION("IMPORTRANGE(""https://docs.google.com/spreadsheets/d/1C3CXT74ZlgGe6_JY_1olB1XN4rF0dxEuIIF-xsYjHgg/edit?usp=sharing"",""พรบ!AS24"")"),0)</f>
        <v>0</v>
      </c>
      <c r="J138" s="67">
        <v>0</v>
      </c>
      <c r="K138" s="233">
        <f ca="1">IF(I138&gt;0,J138*100/I138,0)</f>
        <v>0</v>
      </c>
      <c r="L138" s="53">
        <f ca="1">IFERROR(__xludf.DUMMYFUNCTION("IMPORTRANGE(""https://docs.google.com/spreadsheets/d/1C3CXT74ZlgGe6_JY_1olB1XN4rF0dxEuIIF-xsYjHgg/edit?usp=sharing"",""กปร!H24"")"),0)</f>
        <v>0</v>
      </c>
      <c r="M138" s="53">
        <v>0</v>
      </c>
      <c r="N138" s="53">
        <f ca="1">+IF(L138&gt;0,M138*100/L138,0)</f>
        <v>0</v>
      </c>
    </row>
    <row r="139" spans="1:14" ht="21.75" customHeight="1" x14ac:dyDescent="0.4">
      <c r="A139" s="55"/>
      <c r="B139" s="56"/>
      <c r="C139" s="56"/>
      <c r="D139" s="73"/>
      <c r="E139" s="77"/>
      <c r="F139" s="74" t="s">
        <v>34</v>
      </c>
      <c r="G139" s="76"/>
      <c r="H139" s="60"/>
      <c r="I139" s="67"/>
      <c r="J139" s="67"/>
      <c r="K139" s="233"/>
      <c r="L139" s="53"/>
      <c r="M139" s="53"/>
      <c r="N139" s="53"/>
    </row>
    <row r="140" spans="1:14" ht="21.75" customHeight="1" x14ac:dyDescent="0.4">
      <c r="A140" s="55"/>
      <c r="B140" s="56"/>
      <c r="C140" s="56"/>
      <c r="D140" s="73"/>
      <c r="E140" s="77"/>
      <c r="F140" s="75"/>
      <c r="G140" s="99" t="s">
        <v>76</v>
      </c>
      <c r="H140" s="60" t="s">
        <v>16</v>
      </c>
      <c r="I140" s="67">
        <f ca="1">IFERROR(__xludf.DUMMYFUNCTION("IMPORTRANGE(""https://docs.google.com/spreadsheets/d/1C3CXT74ZlgGe6_JY_1olB1XN4rF0dxEuIIF-xsYjHgg/edit?usp=sharing"",""พรบ!AT24"")"),0)</f>
        <v>0</v>
      </c>
      <c r="J140" s="67">
        <v>0</v>
      </c>
      <c r="K140" s="233">
        <f t="shared" ref="K140:K141" ca="1" si="34">IF(I140&gt;0,J140*100/I140,0)</f>
        <v>0</v>
      </c>
      <c r="L140" s="53">
        <f ca="1">IFERROR(__xludf.DUMMYFUNCTION("IMPORTRANGE(""https://docs.google.com/spreadsheets/d/1C3CXT74ZlgGe6_JY_1olB1XN4rF0dxEuIIF-xsYjHgg/edit?usp=sharing"",""กปร!I24"")"),0)</f>
        <v>0</v>
      </c>
      <c r="M140" s="53">
        <v>0</v>
      </c>
      <c r="N140" s="53">
        <f t="shared" ref="N140:N141" ca="1" si="35">+IF(L140&gt;0,M140*100/L140,0)</f>
        <v>0</v>
      </c>
    </row>
    <row r="141" spans="1:14" ht="21.75" customHeight="1" x14ac:dyDescent="0.4">
      <c r="A141" s="55"/>
      <c r="B141" s="56"/>
      <c r="C141" s="56"/>
      <c r="D141" s="73"/>
      <c r="E141" s="77"/>
      <c r="F141" s="75"/>
      <c r="G141" s="99" t="s">
        <v>77</v>
      </c>
      <c r="H141" s="60" t="s">
        <v>40</v>
      </c>
      <c r="I141" s="67">
        <f ca="1">IFERROR(__xludf.DUMMYFUNCTION("IMPORTRANGE(""https://docs.google.com/spreadsheets/d/1C3CXT74ZlgGe6_JY_1olB1XN4rF0dxEuIIF-xsYjHgg/edit?usp=sharing"",""พรบ!AU24"")"),0)</f>
        <v>0</v>
      </c>
      <c r="J141" s="67">
        <v>0</v>
      </c>
      <c r="K141" s="233">
        <f t="shared" ca="1" si="34"/>
        <v>0</v>
      </c>
      <c r="L141" s="53">
        <f ca="1">IFERROR(__xludf.DUMMYFUNCTION("IMPORTRANGE(""https://docs.google.com/spreadsheets/d/1C3CXT74ZlgGe6_JY_1olB1XN4rF0dxEuIIF-xsYjHgg/edit?usp=sharing"",""กปร!J24"")"),0)</f>
        <v>0</v>
      </c>
      <c r="M141" s="53">
        <v>0</v>
      </c>
      <c r="N141" s="53">
        <f t="shared" ca="1" si="35"/>
        <v>0</v>
      </c>
    </row>
    <row r="142" spans="1:14" ht="21.75" customHeight="1" x14ac:dyDescent="0.4">
      <c r="A142" s="55"/>
      <c r="B142" s="56"/>
      <c r="C142" s="56"/>
      <c r="D142" s="73"/>
      <c r="E142" s="74" t="s">
        <v>35</v>
      </c>
      <c r="F142" s="75"/>
      <c r="G142" s="76"/>
      <c r="H142" s="66"/>
      <c r="I142" s="67"/>
      <c r="J142" s="67">
        <v>0</v>
      </c>
      <c r="K142" s="233"/>
      <c r="L142" s="53"/>
      <c r="M142" s="53"/>
      <c r="N142" s="61"/>
    </row>
    <row r="143" spans="1:14" ht="21.75" customHeight="1" x14ac:dyDescent="0.4">
      <c r="A143" s="105"/>
      <c r="B143" s="106"/>
      <c r="C143" s="106"/>
      <c r="D143" s="107">
        <v>3</v>
      </c>
      <c r="E143" s="108" t="s">
        <v>36</v>
      </c>
      <c r="F143" s="109"/>
      <c r="G143" s="110"/>
      <c r="H143" s="111"/>
      <c r="I143" s="112"/>
      <c r="J143" s="356">
        <v>0</v>
      </c>
      <c r="K143" s="357"/>
      <c r="L143" s="358"/>
      <c r="M143" s="358"/>
      <c r="N143" s="115"/>
    </row>
    <row r="144" spans="1:14" ht="21.75" customHeight="1" x14ac:dyDescent="0.4">
      <c r="A144" s="132"/>
      <c r="B144" s="133" t="s">
        <v>78</v>
      </c>
      <c r="C144" s="134"/>
      <c r="D144" s="133"/>
      <c r="E144" s="133"/>
      <c r="F144" s="133"/>
      <c r="G144" s="135"/>
      <c r="H144" s="136" t="s">
        <v>16</v>
      </c>
      <c r="I144" s="137">
        <f t="shared" ref="I144:J144" ca="1" si="36">+I149+I158</f>
        <v>15</v>
      </c>
      <c r="J144" s="137">
        <f t="shared" si="36"/>
        <v>15</v>
      </c>
      <c r="K144" s="138">
        <f ca="1">IF(I144&gt;0,J144*100/I144,0)</f>
        <v>100</v>
      </c>
      <c r="L144" s="139">
        <f ca="1">L145+L146</f>
        <v>21125</v>
      </c>
      <c r="M144" s="139">
        <f>SUM(M145:M146)</f>
        <v>17715</v>
      </c>
      <c r="N144" s="138">
        <f ca="1">IF(L144&gt;0,M144*100/L144,0)</f>
        <v>83.857988165680467</v>
      </c>
    </row>
    <row r="145" spans="1:14" ht="21.75" customHeight="1" x14ac:dyDescent="0.4">
      <c r="A145" s="42"/>
      <c r="B145" s="43"/>
      <c r="C145" s="43" t="s">
        <v>17</v>
      </c>
      <c r="D145" s="44" t="s">
        <v>18</v>
      </c>
      <c r="E145" s="45"/>
      <c r="F145" s="45"/>
      <c r="G145" s="46" t="s">
        <v>19</v>
      </c>
      <c r="H145" s="47" t="s">
        <v>20</v>
      </c>
      <c r="I145" s="48" t="s">
        <v>21</v>
      </c>
      <c r="J145" s="48"/>
      <c r="K145" s="49"/>
      <c r="L145" s="50">
        <v>0</v>
      </c>
      <c r="M145" s="50">
        <v>0</v>
      </c>
      <c r="N145" s="50">
        <f t="shared" ref="N145:N148" si="37">+IF(L145&gt;0,M145*100/L145,0)</f>
        <v>0</v>
      </c>
    </row>
    <row r="146" spans="1:14" ht="21.75" customHeight="1" x14ac:dyDescent="0.4">
      <c r="A146" s="42"/>
      <c r="B146" s="43"/>
      <c r="C146" s="43"/>
      <c r="D146" s="51"/>
      <c r="E146" s="45"/>
      <c r="F146" s="45" t="s">
        <v>21</v>
      </c>
      <c r="G146" s="46" t="s">
        <v>22</v>
      </c>
      <c r="H146" s="47" t="s">
        <v>20</v>
      </c>
      <c r="I146" s="48"/>
      <c r="J146" s="48"/>
      <c r="K146" s="49"/>
      <c r="L146" s="50">
        <f t="shared" ref="L146:M146" ca="1" si="38">SUM(L147:L148)</f>
        <v>21125</v>
      </c>
      <c r="M146" s="50">
        <f t="shared" si="38"/>
        <v>17715</v>
      </c>
      <c r="N146" s="50">
        <f t="shared" ca="1" si="37"/>
        <v>83.857988165680467</v>
      </c>
    </row>
    <row r="147" spans="1:14" ht="21.75" customHeight="1" x14ac:dyDescent="0.4">
      <c r="A147" s="42"/>
      <c r="B147" s="43"/>
      <c r="C147" s="43"/>
      <c r="D147" s="51"/>
      <c r="E147" s="45"/>
      <c r="F147" s="45"/>
      <c r="G147" s="52" t="s">
        <v>23</v>
      </c>
      <c r="H147" s="47" t="s">
        <v>20</v>
      </c>
      <c r="I147" s="48"/>
      <c r="J147" s="48"/>
      <c r="K147" s="49"/>
      <c r="L147" s="53">
        <v>0</v>
      </c>
      <c r="M147" s="53">
        <v>0</v>
      </c>
      <c r="N147" s="53">
        <f t="shared" si="37"/>
        <v>0</v>
      </c>
    </row>
    <row r="148" spans="1:14" ht="21.75" customHeight="1" x14ac:dyDescent="0.4">
      <c r="A148" s="42"/>
      <c r="B148" s="43"/>
      <c r="C148" s="43"/>
      <c r="D148" s="51"/>
      <c r="E148" s="45"/>
      <c r="F148" s="45"/>
      <c r="G148" s="52" t="s">
        <v>24</v>
      </c>
      <c r="H148" s="47" t="s">
        <v>20</v>
      </c>
      <c r="I148" s="48"/>
      <c r="J148" s="48"/>
      <c r="K148" s="49"/>
      <c r="L148" s="53">
        <f ca="1">IFERROR(__xludf.DUMMYFUNCTION("IMPORTRANGE(""https://docs.google.com/spreadsheets/d/1C3CXT74ZlgGe6_JY_1olB1XN4rF0dxEuIIF-xsYjHgg/edit?usp=sharing"",""พรบ!AY24"")"),21125)</f>
        <v>21125</v>
      </c>
      <c r="M148" s="54">
        <v>17715</v>
      </c>
      <c r="N148" s="53">
        <f t="shared" ca="1" si="37"/>
        <v>83.857988165680467</v>
      </c>
    </row>
    <row r="149" spans="1:14" ht="21.75" customHeight="1" x14ac:dyDescent="0.4">
      <c r="A149" s="55"/>
      <c r="B149" s="155"/>
      <c r="C149" s="134" t="s">
        <v>79</v>
      </c>
      <c r="D149" s="133"/>
      <c r="E149" s="133"/>
      <c r="F149" s="133"/>
      <c r="G149" s="135"/>
      <c r="H149" s="136" t="s">
        <v>16</v>
      </c>
      <c r="I149" s="137">
        <f ca="1">I155</f>
        <v>15</v>
      </c>
      <c r="J149" s="137">
        <f>+J155</f>
        <v>15</v>
      </c>
      <c r="K149" s="138">
        <f ca="1">IF(I149&gt;0,J149*100/I149,0)</f>
        <v>100</v>
      </c>
      <c r="L149" s="140"/>
      <c r="M149" s="140"/>
      <c r="N149" s="140"/>
    </row>
    <row r="150" spans="1:14" ht="21.75" customHeight="1" x14ac:dyDescent="0.4">
      <c r="A150" s="55"/>
      <c r="B150" s="56"/>
      <c r="C150" s="43" t="s">
        <v>17</v>
      </c>
      <c r="D150" s="57" t="s">
        <v>25</v>
      </c>
      <c r="E150" s="58"/>
      <c r="F150" s="58"/>
      <c r="G150" s="59"/>
      <c r="H150" s="60"/>
      <c r="I150" s="48"/>
      <c r="J150" s="48"/>
      <c r="K150" s="49"/>
      <c r="L150" s="61"/>
      <c r="M150" s="61"/>
      <c r="N150" s="61"/>
    </row>
    <row r="151" spans="1:14" ht="21.75" customHeight="1" x14ac:dyDescent="0.4">
      <c r="A151" s="55"/>
      <c r="B151" s="56"/>
      <c r="C151" s="56"/>
      <c r="D151" s="62">
        <v>1</v>
      </c>
      <c r="E151" s="63" t="s">
        <v>26</v>
      </c>
      <c r="F151" s="64"/>
      <c r="G151" s="65"/>
      <c r="H151" s="66"/>
      <c r="I151" s="67"/>
      <c r="J151" s="68">
        <v>0</v>
      </c>
      <c r="K151" s="49"/>
      <c r="L151" s="61"/>
      <c r="M151" s="61"/>
      <c r="N151" s="61"/>
    </row>
    <row r="152" spans="1:14" ht="21.75" customHeight="1" x14ac:dyDescent="0.4">
      <c r="A152" s="55"/>
      <c r="B152" s="56"/>
      <c r="C152" s="56"/>
      <c r="D152" s="69">
        <v>2</v>
      </c>
      <c r="E152" s="70" t="s">
        <v>27</v>
      </c>
      <c r="F152" s="71"/>
      <c r="G152" s="72"/>
      <c r="H152" s="66"/>
      <c r="I152" s="67"/>
      <c r="J152" s="68">
        <v>1</v>
      </c>
      <c r="K152" s="49"/>
      <c r="L152" s="61" t="s">
        <v>21</v>
      </c>
      <c r="M152" s="61" t="s">
        <v>21</v>
      </c>
      <c r="N152" s="61"/>
    </row>
    <row r="153" spans="1:14" ht="21.75" customHeight="1" x14ac:dyDescent="0.4">
      <c r="A153" s="55"/>
      <c r="B153" s="56"/>
      <c r="C153" s="56"/>
      <c r="D153" s="73"/>
      <c r="E153" s="74" t="s">
        <v>28</v>
      </c>
      <c r="F153" s="75"/>
      <c r="G153" s="76"/>
      <c r="H153" s="66"/>
      <c r="I153" s="67"/>
      <c r="J153" s="68">
        <v>1</v>
      </c>
      <c r="K153" s="49"/>
      <c r="L153" s="61"/>
      <c r="M153" s="61"/>
      <c r="N153" s="61"/>
    </row>
    <row r="154" spans="1:14" ht="21.75" customHeight="1" x14ac:dyDescent="0.4">
      <c r="A154" s="55"/>
      <c r="B154" s="56"/>
      <c r="C154" s="56"/>
      <c r="D154" s="73"/>
      <c r="E154" s="74" t="s">
        <v>29</v>
      </c>
      <c r="F154" s="75"/>
      <c r="G154" s="76"/>
      <c r="H154" s="66"/>
      <c r="I154" s="67"/>
      <c r="J154" s="68">
        <v>1</v>
      </c>
      <c r="K154" s="49"/>
      <c r="L154" s="61"/>
      <c r="M154" s="61"/>
      <c r="N154" s="61"/>
    </row>
    <row r="155" spans="1:14" ht="21.75" customHeight="1" x14ac:dyDescent="0.4">
      <c r="A155" s="55"/>
      <c r="B155" s="56"/>
      <c r="C155" s="56"/>
      <c r="D155" s="73"/>
      <c r="E155" s="77"/>
      <c r="F155" s="75"/>
      <c r="G155" s="99" t="s">
        <v>50</v>
      </c>
      <c r="H155" s="66" t="s">
        <v>16</v>
      </c>
      <c r="I155" s="67">
        <f ca="1">IFERROR(__xludf.DUMMYFUNCTION("IMPORTRANGE(""https://docs.google.com/spreadsheets/d/1C3CXT74ZlgGe6_JY_1olB1XN4rF0dxEuIIF-xsYjHgg/edit?usp=sharing"",""พรบ!BA24"")"),15)</f>
        <v>15</v>
      </c>
      <c r="J155" s="68">
        <v>15</v>
      </c>
      <c r="K155" s="49">
        <f ca="1">IF(I155&gt;0,J155*100/I155,0)</f>
        <v>100</v>
      </c>
      <c r="L155" s="61"/>
      <c r="M155" s="61"/>
      <c r="N155" s="61"/>
    </row>
    <row r="156" spans="1:14" ht="21.75" customHeight="1" x14ac:dyDescent="0.4">
      <c r="A156" s="55"/>
      <c r="B156" s="56"/>
      <c r="C156" s="56"/>
      <c r="D156" s="73"/>
      <c r="E156" s="74" t="s">
        <v>35</v>
      </c>
      <c r="F156" s="75"/>
      <c r="G156" s="76"/>
      <c r="H156" s="66"/>
      <c r="I156" s="67"/>
      <c r="J156" s="68">
        <v>0</v>
      </c>
      <c r="K156" s="49"/>
      <c r="L156" s="61"/>
      <c r="M156" s="61"/>
      <c r="N156" s="61"/>
    </row>
    <row r="157" spans="1:14" ht="21.75" customHeight="1" x14ac:dyDescent="0.4">
      <c r="A157" s="55"/>
      <c r="B157" s="56"/>
      <c r="C157" s="56"/>
      <c r="D157" s="81">
        <v>3</v>
      </c>
      <c r="E157" s="82" t="s">
        <v>36</v>
      </c>
      <c r="F157" s="83"/>
      <c r="G157" s="84"/>
      <c r="H157" s="66"/>
      <c r="I157" s="67"/>
      <c r="J157" s="85">
        <v>0</v>
      </c>
      <c r="K157" s="49"/>
      <c r="L157" s="61"/>
      <c r="M157" s="61"/>
      <c r="N157" s="61"/>
    </row>
    <row r="158" spans="1:14" ht="21.75" customHeight="1" x14ac:dyDescent="0.4">
      <c r="A158" s="55"/>
      <c r="B158" s="56"/>
      <c r="C158" s="134" t="s">
        <v>81</v>
      </c>
      <c r="D158" s="156"/>
      <c r="E158" s="133"/>
      <c r="F158" s="133"/>
      <c r="G158" s="135"/>
      <c r="H158" s="136" t="s">
        <v>16</v>
      </c>
      <c r="I158" s="137">
        <f>I164</f>
        <v>0</v>
      </c>
      <c r="J158" s="137">
        <f>+J164</f>
        <v>0</v>
      </c>
      <c r="K158" s="138">
        <f>IF(I158&gt;0,J158*100/I158,0)</f>
        <v>0</v>
      </c>
      <c r="L158" s="61"/>
      <c r="M158" s="61"/>
      <c r="N158" s="61"/>
    </row>
    <row r="159" spans="1:14" ht="21.75" customHeight="1" x14ac:dyDescent="0.4">
      <c r="A159" s="55"/>
      <c r="B159" s="56"/>
      <c r="C159" s="43" t="s">
        <v>17</v>
      </c>
      <c r="D159" s="57" t="s">
        <v>25</v>
      </c>
      <c r="E159" s="58"/>
      <c r="F159" s="58"/>
      <c r="G159" s="59"/>
      <c r="H159" s="60"/>
      <c r="I159" s="48"/>
      <c r="J159" s="48"/>
      <c r="K159" s="49"/>
      <c r="L159" s="61"/>
      <c r="M159" s="61"/>
      <c r="N159" s="61"/>
    </row>
    <row r="160" spans="1:14" ht="21.75" customHeight="1" x14ac:dyDescent="0.4">
      <c r="A160" s="55"/>
      <c r="B160" s="56"/>
      <c r="C160" s="56"/>
      <c r="D160" s="62">
        <v>1</v>
      </c>
      <c r="E160" s="63" t="s">
        <v>26</v>
      </c>
      <c r="F160" s="64"/>
      <c r="G160" s="65"/>
      <c r="H160" s="66"/>
      <c r="I160" s="67"/>
      <c r="J160" s="67">
        <v>0</v>
      </c>
      <c r="K160" s="49"/>
      <c r="L160" s="61"/>
      <c r="M160" s="61"/>
      <c r="N160" s="61"/>
    </row>
    <row r="161" spans="1:14" ht="21.75" customHeight="1" x14ac:dyDescent="0.4">
      <c r="A161" s="55"/>
      <c r="B161" s="56"/>
      <c r="C161" s="56"/>
      <c r="D161" s="69">
        <v>2</v>
      </c>
      <c r="E161" s="70" t="s">
        <v>27</v>
      </c>
      <c r="F161" s="71"/>
      <c r="G161" s="72"/>
      <c r="H161" s="66"/>
      <c r="I161" s="67"/>
      <c r="J161" s="67">
        <v>0</v>
      </c>
      <c r="K161" s="49"/>
      <c r="L161" s="61" t="s">
        <v>21</v>
      </c>
      <c r="M161" s="61" t="s">
        <v>21</v>
      </c>
      <c r="N161" s="61"/>
    </row>
    <row r="162" spans="1:14" ht="21.75" customHeight="1" x14ac:dyDescent="0.4">
      <c r="A162" s="55"/>
      <c r="B162" s="56"/>
      <c r="C162" s="56"/>
      <c r="D162" s="73"/>
      <c r="E162" s="74" t="s">
        <v>28</v>
      </c>
      <c r="F162" s="75"/>
      <c r="G162" s="76"/>
      <c r="H162" s="66"/>
      <c r="I162" s="67"/>
      <c r="J162" s="67">
        <v>0</v>
      </c>
      <c r="K162" s="49"/>
      <c r="L162" s="61"/>
      <c r="M162" s="61"/>
      <c r="N162" s="61"/>
    </row>
    <row r="163" spans="1:14" ht="21.75" customHeight="1" x14ac:dyDescent="0.4">
      <c r="A163" s="55"/>
      <c r="B163" s="56"/>
      <c r="C163" s="56"/>
      <c r="D163" s="73"/>
      <c r="E163" s="74" t="s">
        <v>29</v>
      </c>
      <c r="F163" s="75"/>
      <c r="G163" s="76"/>
      <c r="H163" s="66"/>
      <c r="I163" s="67"/>
      <c r="J163" s="67">
        <v>0</v>
      </c>
      <c r="K163" s="49"/>
      <c r="L163" s="61"/>
      <c r="M163" s="61"/>
      <c r="N163" s="61"/>
    </row>
    <row r="164" spans="1:14" ht="21.75" customHeight="1" x14ac:dyDescent="0.4">
      <c r="A164" s="55"/>
      <c r="B164" s="56"/>
      <c r="C164" s="56"/>
      <c r="D164" s="73"/>
      <c r="E164" s="75"/>
      <c r="F164" s="74" t="s">
        <v>82</v>
      </c>
      <c r="G164" s="75"/>
      <c r="H164" s="66" t="s">
        <v>16</v>
      </c>
      <c r="I164" s="67">
        <v>0</v>
      </c>
      <c r="J164" s="67">
        <v>0</v>
      </c>
      <c r="K164" s="49">
        <f>IF(I164&gt;0,J164*100/I164,0)</f>
        <v>0</v>
      </c>
      <c r="L164" s="61"/>
      <c r="M164" s="61"/>
      <c r="N164" s="61"/>
    </row>
    <row r="165" spans="1:14" ht="21.75" customHeight="1" x14ac:dyDescent="0.4">
      <c r="A165" s="55"/>
      <c r="B165" s="56"/>
      <c r="C165" s="56"/>
      <c r="D165" s="73"/>
      <c r="E165" s="74" t="s">
        <v>35</v>
      </c>
      <c r="F165" s="75"/>
      <c r="G165" s="76"/>
      <c r="H165" s="66"/>
      <c r="I165" s="67"/>
      <c r="J165" s="67">
        <v>0</v>
      </c>
      <c r="K165" s="49"/>
      <c r="L165" s="61"/>
      <c r="M165" s="61"/>
      <c r="N165" s="61"/>
    </row>
    <row r="166" spans="1:14" ht="21.75" customHeight="1" x14ac:dyDescent="0.4">
      <c r="A166" s="105"/>
      <c r="B166" s="106"/>
      <c r="C166" s="106"/>
      <c r="D166" s="107">
        <v>3</v>
      </c>
      <c r="E166" s="108" t="s">
        <v>36</v>
      </c>
      <c r="F166" s="109"/>
      <c r="G166" s="110"/>
      <c r="H166" s="111"/>
      <c r="I166" s="112"/>
      <c r="J166" s="356">
        <v>0</v>
      </c>
      <c r="K166" s="114"/>
      <c r="L166" s="115"/>
      <c r="M166" s="115"/>
      <c r="N166" s="115"/>
    </row>
    <row r="167" spans="1:14" ht="21.75" customHeight="1" x14ac:dyDescent="0.4">
      <c r="A167" s="157" t="s">
        <v>83</v>
      </c>
      <c r="B167" s="158"/>
      <c r="C167" s="158"/>
      <c r="D167" s="158"/>
      <c r="E167" s="159"/>
      <c r="F167" s="159"/>
      <c r="G167" s="160"/>
      <c r="H167" s="161"/>
      <c r="I167" s="162"/>
      <c r="J167" s="162"/>
      <c r="K167" s="163"/>
      <c r="L167" s="164"/>
      <c r="M167" s="164"/>
      <c r="N167" s="165"/>
    </row>
    <row r="168" spans="1:14" ht="21.75" customHeight="1" x14ac:dyDescent="0.4">
      <c r="A168" s="166" t="s">
        <v>84</v>
      </c>
      <c r="B168" s="167"/>
      <c r="C168" s="167"/>
      <c r="D168" s="168"/>
      <c r="E168" s="168"/>
      <c r="F168" s="168"/>
      <c r="G168" s="169"/>
      <c r="H168" s="170"/>
      <c r="I168" s="171"/>
      <c r="J168" s="171"/>
      <c r="K168" s="172"/>
      <c r="L168" s="172"/>
      <c r="M168" s="172"/>
      <c r="N168" s="173"/>
    </row>
    <row r="169" spans="1:14" ht="21.75" customHeight="1" x14ac:dyDescent="0.4">
      <c r="A169" s="174"/>
      <c r="B169" s="175" t="s">
        <v>85</v>
      </c>
      <c r="C169" s="175"/>
      <c r="D169" s="175"/>
      <c r="E169" s="175"/>
      <c r="F169" s="175"/>
      <c r="G169" s="176"/>
      <c r="H169" s="177" t="s">
        <v>16</v>
      </c>
      <c r="I169" s="178">
        <f ca="1">I180</f>
        <v>25</v>
      </c>
      <c r="J169" s="178">
        <f>+J180</f>
        <v>0</v>
      </c>
      <c r="K169" s="179">
        <f ca="1">IF(I169&gt;0,J169*100/I169,0)</f>
        <v>0</v>
      </c>
      <c r="L169" s="180">
        <f ca="1">L170+L171</f>
        <v>89000</v>
      </c>
      <c r="M169" s="180">
        <f>SUM(M170:M171)</f>
        <v>0</v>
      </c>
      <c r="N169" s="179">
        <f ca="1">IF(L169&gt;0,M169*100/L169,0)</f>
        <v>0</v>
      </c>
    </row>
    <row r="170" spans="1:14" ht="21.75" customHeight="1" x14ac:dyDescent="0.4">
      <c r="A170" s="42"/>
      <c r="B170" s="43"/>
      <c r="C170" s="43" t="s">
        <v>17</v>
      </c>
      <c r="D170" s="44" t="s">
        <v>18</v>
      </c>
      <c r="E170" s="45"/>
      <c r="F170" s="45"/>
      <c r="G170" s="46" t="s">
        <v>19</v>
      </c>
      <c r="H170" s="47" t="s">
        <v>20</v>
      </c>
      <c r="I170" s="48" t="s">
        <v>21</v>
      </c>
      <c r="J170" s="48"/>
      <c r="K170" s="49"/>
      <c r="L170" s="50">
        <v>0</v>
      </c>
      <c r="M170" s="50">
        <v>0</v>
      </c>
      <c r="N170" s="50">
        <f t="shared" ref="N170:N173" si="39">+IF(L170&gt;0,M170*100/L170,0)</f>
        <v>0</v>
      </c>
    </row>
    <row r="171" spans="1:14" ht="21.75" customHeight="1" x14ac:dyDescent="0.4">
      <c r="A171" s="42"/>
      <c r="B171" s="43"/>
      <c r="C171" s="43"/>
      <c r="D171" s="51"/>
      <c r="E171" s="45"/>
      <c r="F171" s="45" t="s">
        <v>21</v>
      </c>
      <c r="G171" s="46" t="s">
        <v>22</v>
      </c>
      <c r="H171" s="47" t="s">
        <v>20</v>
      </c>
      <c r="I171" s="48"/>
      <c r="J171" s="48"/>
      <c r="K171" s="49"/>
      <c r="L171" s="50">
        <f t="shared" ref="L171:M171" ca="1" si="40">SUM(L172:L173)</f>
        <v>89000</v>
      </c>
      <c r="M171" s="50">
        <f t="shared" si="40"/>
        <v>0</v>
      </c>
      <c r="N171" s="50">
        <f t="shared" ca="1" si="39"/>
        <v>0</v>
      </c>
    </row>
    <row r="172" spans="1:14" ht="21.75" customHeight="1" x14ac:dyDescent="0.4">
      <c r="A172" s="42"/>
      <c r="B172" s="43"/>
      <c r="C172" s="43"/>
      <c r="D172" s="51"/>
      <c r="E172" s="45"/>
      <c r="F172" s="45"/>
      <c r="G172" s="52" t="s">
        <v>23</v>
      </c>
      <c r="H172" s="47" t="s">
        <v>20</v>
      </c>
      <c r="I172" s="48"/>
      <c r="J172" s="48"/>
      <c r="K172" s="49"/>
      <c r="L172" s="53">
        <f ca="1">IFERROR(__xludf.DUMMYFUNCTION("IMPORTRANGE(""https://docs.google.com/spreadsheets/d/1C3CXT74ZlgGe6_JY_1olB1XN4rF0dxEuIIF-xsYjHgg/edit?usp=sharing"",""พรบ!BD24"")"),0)</f>
        <v>0</v>
      </c>
      <c r="M172" s="53">
        <v>0</v>
      </c>
      <c r="N172" s="53">
        <f t="shared" ca="1" si="39"/>
        <v>0</v>
      </c>
    </row>
    <row r="173" spans="1:14" ht="21.75" customHeight="1" x14ac:dyDescent="0.4">
      <c r="A173" s="42"/>
      <c r="B173" s="43"/>
      <c r="C173" s="43"/>
      <c r="D173" s="51"/>
      <c r="E173" s="45"/>
      <c r="F173" s="45"/>
      <c r="G173" s="52" t="s">
        <v>24</v>
      </c>
      <c r="H173" s="47" t="s">
        <v>20</v>
      </c>
      <c r="I173" s="48"/>
      <c r="J173" s="48"/>
      <c r="K173" s="49"/>
      <c r="L173" s="53">
        <f ca="1">IFERROR(__xludf.DUMMYFUNCTION("IMPORTRANGE(""https://docs.google.com/spreadsheets/d/1C3CXT74ZlgGe6_JY_1olB1XN4rF0dxEuIIF-xsYjHgg/edit?usp=sharing"",""พรบ!BE24"")"),89000)</f>
        <v>89000</v>
      </c>
      <c r="M173" s="54">
        <v>0</v>
      </c>
      <c r="N173" s="53">
        <f t="shared" ca="1" si="39"/>
        <v>0</v>
      </c>
    </row>
    <row r="174" spans="1:14" ht="21.75" customHeight="1" x14ac:dyDescent="0.4">
      <c r="A174" s="55"/>
      <c r="B174" s="56"/>
      <c r="C174" s="43" t="s">
        <v>17</v>
      </c>
      <c r="D174" s="57" t="s">
        <v>25</v>
      </c>
      <c r="E174" s="58"/>
      <c r="F174" s="58"/>
      <c r="G174" s="59"/>
      <c r="H174" s="60"/>
      <c r="I174" s="48"/>
      <c r="J174" s="48"/>
      <c r="K174" s="49"/>
      <c r="L174" s="61"/>
      <c r="M174" s="61"/>
      <c r="N174" s="61"/>
    </row>
    <row r="175" spans="1:14" ht="21.75" customHeight="1" x14ac:dyDescent="0.4">
      <c r="A175" s="55"/>
      <c r="B175" s="56"/>
      <c r="C175" s="56"/>
      <c r="D175" s="62">
        <v>1</v>
      </c>
      <c r="E175" s="63" t="s">
        <v>26</v>
      </c>
      <c r="F175" s="64"/>
      <c r="G175" s="65"/>
      <c r="H175" s="66"/>
      <c r="I175" s="67"/>
      <c r="J175" s="68">
        <v>0</v>
      </c>
      <c r="K175" s="49"/>
      <c r="L175" s="61"/>
      <c r="M175" s="61"/>
      <c r="N175" s="61"/>
    </row>
    <row r="176" spans="1:14" ht="21.75" customHeight="1" x14ac:dyDescent="0.4">
      <c r="A176" s="55"/>
      <c r="B176" s="56"/>
      <c r="C176" s="56"/>
      <c r="D176" s="69">
        <v>2</v>
      </c>
      <c r="E176" s="70" t="s">
        <v>27</v>
      </c>
      <c r="F176" s="71"/>
      <c r="G176" s="72"/>
      <c r="H176" s="66"/>
      <c r="I176" s="67"/>
      <c r="J176" s="68">
        <v>1</v>
      </c>
      <c r="K176" s="49"/>
      <c r="L176" s="61" t="s">
        <v>21</v>
      </c>
      <c r="M176" s="61" t="s">
        <v>21</v>
      </c>
      <c r="N176" s="61"/>
    </row>
    <row r="177" spans="1:14" ht="21.75" customHeight="1" x14ac:dyDescent="0.4">
      <c r="A177" s="55"/>
      <c r="B177" s="56"/>
      <c r="C177" s="56"/>
      <c r="D177" s="73"/>
      <c r="E177" s="74" t="s">
        <v>28</v>
      </c>
      <c r="F177" s="75"/>
      <c r="G177" s="76"/>
      <c r="H177" s="66"/>
      <c r="I177" s="67"/>
      <c r="J177" s="68">
        <v>1</v>
      </c>
      <c r="K177" s="49"/>
      <c r="L177" s="61"/>
      <c r="M177" s="61"/>
      <c r="N177" s="61"/>
    </row>
    <row r="178" spans="1:14" ht="21.75" customHeight="1" x14ac:dyDescent="0.4">
      <c r="A178" s="55"/>
      <c r="B178" s="56"/>
      <c r="C178" s="56"/>
      <c r="D178" s="73"/>
      <c r="E178" s="74" t="s">
        <v>29</v>
      </c>
      <c r="F178" s="75"/>
      <c r="G178" s="76"/>
      <c r="H178" s="66"/>
      <c r="I178" s="67"/>
      <c r="J178" s="68">
        <v>1</v>
      </c>
      <c r="K178" s="49"/>
      <c r="L178" s="61"/>
      <c r="M178" s="61"/>
      <c r="N178" s="61"/>
    </row>
    <row r="179" spans="1:14" ht="21.75" customHeight="1" x14ac:dyDescent="0.4">
      <c r="A179" s="55"/>
      <c r="B179" s="56"/>
      <c r="C179" s="56"/>
      <c r="D179" s="73"/>
      <c r="E179" s="77"/>
      <c r="F179" s="74" t="s">
        <v>86</v>
      </c>
      <c r="G179" s="76"/>
      <c r="H179" s="60" t="s">
        <v>40</v>
      </c>
      <c r="I179" s="67">
        <f ca="1">IFERROR(__xludf.DUMMYFUNCTION("IMPORTRANGE(""https://docs.google.com/spreadsheets/d/1C3CXT74ZlgGe6_JY_1olB1XN4rF0dxEuIIF-xsYjHgg/edit?usp=sharing"",""พรบ!BF24"")"),1)</f>
        <v>1</v>
      </c>
      <c r="J179" s="68">
        <v>0</v>
      </c>
      <c r="K179" s="49">
        <f t="shared" ref="K179:K182" ca="1" si="41">IF(I179&gt;0,J179*100/I179,0)</f>
        <v>0</v>
      </c>
      <c r="L179" s="61"/>
      <c r="M179" s="61"/>
      <c r="N179" s="61"/>
    </row>
    <row r="180" spans="1:14" ht="21.75" customHeight="1" x14ac:dyDescent="0.4">
      <c r="A180" s="55"/>
      <c r="B180" s="56"/>
      <c r="C180" s="56"/>
      <c r="D180" s="73"/>
      <c r="E180" s="77"/>
      <c r="F180" s="74" t="s">
        <v>87</v>
      </c>
      <c r="G180" s="76"/>
      <c r="H180" s="60" t="s">
        <v>16</v>
      </c>
      <c r="I180" s="67">
        <f ca="1">IFERROR(__xludf.DUMMYFUNCTION("IMPORTRANGE(""https://docs.google.com/spreadsheets/d/1C3CXT74ZlgGe6_JY_1olB1XN4rF0dxEuIIF-xsYjHgg/edit?usp=sharing"",""พรบ!BG24"")"),25)</f>
        <v>25</v>
      </c>
      <c r="J180" s="68">
        <v>0</v>
      </c>
      <c r="K180" s="49">
        <f t="shared" ca="1" si="41"/>
        <v>0</v>
      </c>
      <c r="L180" s="61"/>
      <c r="M180" s="61"/>
      <c r="N180" s="61"/>
    </row>
    <row r="181" spans="1:14" ht="21.75" customHeight="1" x14ac:dyDescent="0.4">
      <c r="A181" s="55"/>
      <c r="B181" s="56"/>
      <c r="C181" s="56"/>
      <c r="D181" s="73"/>
      <c r="E181" s="77"/>
      <c r="F181" s="74" t="s">
        <v>88</v>
      </c>
      <c r="G181" s="76"/>
      <c r="H181" s="60" t="s">
        <v>16</v>
      </c>
      <c r="I181" s="67">
        <f ca="1">IFERROR(__xludf.DUMMYFUNCTION("IMPORTRANGE(""https://docs.google.com/spreadsheets/d/1C3CXT74ZlgGe6_JY_1olB1XN4rF0dxEuIIF-xsYjHgg/edit?usp=sharing"",""พรบ!BH24"")"),25)</f>
        <v>25</v>
      </c>
      <c r="J181" s="68">
        <v>0</v>
      </c>
      <c r="K181" s="49">
        <f t="shared" ca="1" si="41"/>
        <v>0</v>
      </c>
      <c r="L181" s="61"/>
      <c r="M181" s="61"/>
      <c r="N181" s="61"/>
    </row>
    <row r="182" spans="1:14" ht="21.75" customHeight="1" x14ac:dyDescent="0.4">
      <c r="A182" s="55"/>
      <c r="B182" s="56"/>
      <c r="C182" s="56"/>
      <c r="D182" s="73"/>
      <c r="E182" s="77"/>
      <c r="F182" s="74" t="s">
        <v>89</v>
      </c>
      <c r="G182" s="76"/>
      <c r="H182" s="60" t="s">
        <v>16</v>
      </c>
      <c r="I182" s="67">
        <f ca="1">IFERROR(__xludf.DUMMYFUNCTION("IMPORTRANGE(""https://docs.google.com/spreadsheets/d/1C3CXT74ZlgGe6_JY_1olB1XN4rF0dxEuIIF-xsYjHgg/edit?usp=sharing"",""พรบ!BI24"")"),1)</f>
        <v>1</v>
      </c>
      <c r="J182" s="68">
        <v>0</v>
      </c>
      <c r="K182" s="49">
        <f t="shared" ca="1" si="41"/>
        <v>0</v>
      </c>
      <c r="L182" s="61"/>
      <c r="M182" s="61"/>
      <c r="N182" s="61"/>
    </row>
    <row r="183" spans="1:14" ht="21.75" customHeight="1" x14ac:dyDescent="0.4">
      <c r="A183" s="55"/>
      <c r="B183" s="56"/>
      <c r="C183" s="56"/>
      <c r="D183" s="73"/>
      <c r="E183" s="74" t="s">
        <v>35</v>
      </c>
      <c r="F183" s="75"/>
      <c r="G183" s="76"/>
      <c r="H183" s="66"/>
      <c r="I183" s="67"/>
      <c r="J183" s="68">
        <v>0</v>
      </c>
      <c r="K183" s="49"/>
      <c r="L183" s="61"/>
      <c r="M183" s="61"/>
      <c r="N183" s="61"/>
    </row>
    <row r="184" spans="1:14" ht="21.75" customHeight="1" x14ac:dyDescent="0.4">
      <c r="A184" s="105"/>
      <c r="B184" s="106"/>
      <c r="C184" s="106"/>
      <c r="D184" s="107">
        <v>3</v>
      </c>
      <c r="E184" s="108" t="s">
        <v>36</v>
      </c>
      <c r="F184" s="109"/>
      <c r="G184" s="110"/>
      <c r="H184" s="111"/>
      <c r="I184" s="112"/>
      <c r="J184" s="113">
        <v>0</v>
      </c>
      <c r="K184" s="114"/>
      <c r="L184" s="115"/>
      <c r="M184" s="115"/>
      <c r="N184" s="115"/>
    </row>
    <row r="185" spans="1:14" ht="21.75" customHeight="1" x14ac:dyDescent="0.4">
      <c r="A185" s="174"/>
      <c r="B185" s="175" t="s">
        <v>90</v>
      </c>
      <c r="C185" s="175"/>
      <c r="D185" s="175"/>
      <c r="E185" s="175"/>
      <c r="F185" s="175"/>
      <c r="G185" s="176"/>
      <c r="H185" s="177" t="s">
        <v>16</v>
      </c>
      <c r="I185" s="178">
        <f ca="1">I195</f>
        <v>20</v>
      </c>
      <c r="J185" s="178">
        <f>+J195</f>
        <v>20</v>
      </c>
      <c r="K185" s="179">
        <f ca="1">IF(I185&gt;0,J185*100/I185,0)</f>
        <v>100</v>
      </c>
      <c r="L185" s="180">
        <f ca="1">L186+L187</f>
        <v>183600</v>
      </c>
      <c r="M185" s="180">
        <f>SUM(M186:M187)</f>
        <v>8700</v>
      </c>
      <c r="N185" s="179">
        <f ca="1">IF(L185&gt;0,M185*100/L185,0)</f>
        <v>4.738562091503268</v>
      </c>
    </row>
    <row r="186" spans="1:14" ht="21.75" customHeight="1" x14ac:dyDescent="0.4">
      <c r="A186" s="42"/>
      <c r="B186" s="43"/>
      <c r="C186" s="43" t="s">
        <v>17</v>
      </c>
      <c r="D186" s="44" t="s">
        <v>18</v>
      </c>
      <c r="E186" s="45"/>
      <c r="F186" s="45"/>
      <c r="G186" s="46" t="s">
        <v>19</v>
      </c>
      <c r="H186" s="47" t="s">
        <v>20</v>
      </c>
      <c r="I186" s="48" t="s">
        <v>21</v>
      </c>
      <c r="J186" s="48"/>
      <c r="K186" s="49"/>
      <c r="L186" s="50">
        <v>0</v>
      </c>
      <c r="M186" s="50">
        <v>0</v>
      </c>
      <c r="N186" s="50">
        <f t="shared" ref="N186:N189" si="42">+IF(L186&gt;0,M186*100/L186,0)</f>
        <v>0</v>
      </c>
    </row>
    <row r="187" spans="1:14" ht="21.75" customHeight="1" x14ac:dyDescent="0.4">
      <c r="A187" s="42"/>
      <c r="B187" s="43"/>
      <c r="C187" s="43"/>
      <c r="D187" s="51"/>
      <c r="E187" s="45"/>
      <c r="F187" s="45" t="s">
        <v>21</v>
      </c>
      <c r="G187" s="46" t="s">
        <v>22</v>
      </c>
      <c r="H187" s="47" t="s">
        <v>20</v>
      </c>
      <c r="I187" s="48"/>
      <c r="J187" s="48"/>
      <c r="K187" s="49"/>
      <c r="L187" s="50">
        <f t="shared" ref="L187:M187" ca="1" si="43">SUM(L188:L189)</f>
        <v>183600</v>
      </c>
      <c r="M187" s="50">
        <f t="shared" si="43"/>
        <v>8700</v>
      </c>
      <c r="N187" s="50">
        <f t="shared" ca="1" si="42"/>
        <v>4.738562091503268</v>
      </c>
    </row>
    <row r="188" spans="1:14" ht="21.75" customHeight="1" x14ac:dyDescent="0.4">
      <c r="A188" s="42"/>
      <c r="B188" s="43"/>
      <c r="C188" s="43"/>
      <c r="D188" s="51"/>
      <c r="E188" s="45"/>
      <c r="F188" s="45"/>
      <c r="G188" s="52" t="s">
        <v>23</v>
      </c>
      <c r="H188" s="47" t="s">
        <v>20</v>
      </c>
      <c r="I188" s="48"/>
      <c r="J188" s="48"/>
      <c r="K188" s="49"/>
      <c r="L188" s="53">
        <f ca="1">IFERROR(__xludf.DUMMYFUNCTION("IMPORTRANGE(""https://docs.google.com/spreadsheets/d/1C3CXT74ZlgGe6_JY_1olB1XN4rF0dxEuIIF-xsYjHgg/edit?usp=sharing"",""พรบ!BK24"")"),0)</f>
        <v>0</v>
      </c>
      <c r="M188" s="53">
        <v>0</v>
      </c>
      <c r="N188" s="53">
        <f t="shared" ca="1" si="42"/>
        <v>0</v>
      </c>
    </row>
    <row r="189" spans="1:14" ht="21.75" customHeight="1" x14ac:dyDescent="0.4">
      <c r="A189" s="42"/>
      <c r="B189" s="43"/>
      <c r="C189" s="43"/>
      <c r="D189" s="51"/>
      <c r="E189" s="45"/>
      <c r="F189" s="45"/>
      <c r="G189" s="52" t="s">
        <v>24</v>
      </c>
      <c r="H189" s="47" t="s">
        <v>20</v>
      </c>
      <c r="I189" s="48"/>
      <c r="J189" s="48"/>
      <c r="K189" s="49"/>
      <c r="L189" s="53">
        <f ca="1">IFERROR(__xludf.DUMMYFUNCTION("IMPORTRANGE(""https://docs.google.com/spreadsheets/d/1C3CXT74ZlgGe6_JY_1olB1XN4rF0dxEuIIF-xsYjHgg/edit?usp=sharing"",""พรบ!BL24"")"),183600)</f>
        <v>183600</v>
      </c>
      <c r="M189" s="54">
        <v>8700</v>
      </c>
      <c r="N189" s="53">
        <f t="shared" ca="1" si="42"/>
        <v>4.738562091503268</v>
      </c>
    </row>
    <row r="190" spans="1:14" ht="21.75" customHeight="1" x14ac:dyDescent="0.4">
      <c r="A190" s="55"/>
      <c r="B190" s="56"/>
      <c r="C190" s="43" t="s">
        <v>17</v>
      </c>
      <c r="D190" s="57" t="s">
        <v>25</v>
      </c>
      <c r="E190" s="58"/>
      <c r="F190" s="58"/>
      <c r="G190" s="59"/>
      <c r="H190" s="60"/>
      <c r="I190" s="48"/>
      <c r="J190" s="48"/>
      <c r="K190" s="49"/>
      <c r="L190" s="61"/>
      <c r="M190" s="61"/>
      <c r="N190" s="61"/>
    </row>
    <row r="191" spans="1:14" ht="21.75" customHeight="1" x14ac:dyDescent="0.4">
      <c r="A191" s="55"/>
      <c r="B191" s="56"/>
      <c r="C191" s="56"/>
      <c r="D191" s="62">
        <v>1</v>
      </c>
      <c r="E191" s="63" t="s">
        <v>26</v>
      </c>
      <c r="F191" s="64"/>
      <c r="G191" s="65"/>
      <c r="H191" s="66"/>
      <c r="I191" s="67"/>
      <c r="J191" s="68">
        <v>0</v>
      </c>
      <c r="K191" s="49"/>
      <c r="L191" s="61"/>
      <c r="M191" s="61"/>
      <c r="N191" s="61"/>
    </row>
    <row r="192" spans="1:14" ht="21.75" customHeight="1" x14ac:dyDescent="0.4">
      <c r="A192" s="55"/>
      <c r="B192" s="56"/>
      <c r="C192" s="56"/>
      <c r="D192" s="69">
        <v>2</v>
      </c>
      <c r="E192" s="70" t="s">
        <v>27</v>
      </c>
      <c r="F192" s="71"/>
      <c r="G192" s="72"/>
      <c r="H192" s="66"/>
      <c r="I192" s="67"/>
      <c r="J192" s="68">
        <v>1</v>
      </c>
      <c r="K192" s="49"/>
      <c r="L192" s="61"/>
      <c r="M192" s="61"/>
      <c r="N192" s="61"/>
    </row>
    <row r="193" spans="1:14" ht="21.75" customHeight="1" x14ac:dyDescent="0.4">
      <c r="A193" s="55"/>
      <c r="B193" s="56"/>
      <c r="C193" s="56"/>
      <c r="D193" s="73"/>
      <c r="E193" s="74" t="s">
        <v>28</v>
      </c>
      <c r="F193" s="75"/>
      <c r="G193" s="76"/>
      <c r="H193" s="66"/>
      <c r="I193" s="67"/>
      <c r="J193" s="68">
        <v>1</v>
      </c>
      <c r="K193" s="49"/>
      <c r="L193" s="61"/>
      <c r="M193" s="61"/>
      <c r="N193" s="61"/>
    </row>
    <row r="194" spans="1:14" ht="21.75" customHeight="1" x14ac:dyDescent="0.4">
      <c r="A194" s="55"/>
      <c r="B194" s="56"/>
      <c r="C194" s="56"/>
      <c r="D194" s="73"/>
      <c r="E194" s="74" t="s">
        <v>29</v>
      </c>
      <c r="F194" s="75"/>
      <c r="G194" s="76"/>
      <c r="H194" s="66"/>
      <c r="I194" s="67"/>
      <c r="J194" s="68">
        <v>1</v>
      </c>
      <c r="K194" s="49"/>
      <c r="L194" s="61"/>
      <c r="M194" s="61"/>
      <c r="N194" s="61"/>
    </row>
    <row r="195" spans="1:14" ht="21.75" customHeight="1" x14ac:dyDescent="0.4">
      <c r="A195" s="55"/>
      <c r="B195" s="56"/>
      <c r="C195" s="56"/>
      <c r="D195" s="73"/>
      <c r="E195" s="75"/>
      <c r="F195" s="74" t="s">
        <v>91</v>
      </c>
      <c r="G195" s="76"/>
      <c r="H195" s="66" t="s">
        <v>16</v>
      </c>
      <c r="I195" s="67">
        <f ca="1">IFERROR(__xludf.DUMMYFUNCTION("IMPORTRANGE(""https://docs.google.com/spreadsheets/d/1C3CXT74ZlgGe6_JY_1olB1XN4rF0dxEuIIF-xsYjHgg/edit?usp=sharing"",""พรบ!BM24"")"),20)</f>
        <v>20</v>
      </c>
      <c r="J195" s="68">
        <v>20</v>
      </c>
      <c r="K195" s="49">
        <f ca="1">IF(I195&gt;0,J195*100/I195,0)</f>
        <v>100</v>
      </c>
      <c r="L195" s="61"/>
      <c r="M195" s="61"/>
      <c r="N195" s="61"/>
    </row>
    <row r="196" spans="1:14" ht="21.75" customHeight="1" x14ac:dyDescent="0.4">
      <c r="A196" s="55"/>
      <c r="B196" s="56"/>
      <c r="C196" s="56"/>
      <c r="D196" s="73"/>
      <c r="E196" s="74" t="s">
        <v>35</v>
      </c>
      <c r="F196" s="75"/>
      <c r="G196" s="76"/>
      <c r="H196" s="66"/>
      <c r="I196" s="67"/>
      <c r="J196" s="68">
        <v>0</v>
      </c>
      <c r="K196" s="49"/>
      <c r="L196" s="61"/>
      <c r="M196" s="61"/>
      <c r="N196" s="61"/>
    </row>
    <row r="197" spans="1:14" ht="21.75" customHeight="1" x14ac:dyDescent="0.4">
      <c r="A197" s="55"/>
      <c r="B197" s="56"/>
      <c r="C197" s="56"/>
      <c r="D197" s="81">
        <v>3</v>
      </c>
      <c r="E197" s="82" t="s">
        <v>36</v>
      </c>
      <c r="F197" s="83"/>
      <c r="G197" s="84"/>
      <c r="H197" s="66"/>
      <c r="I197" s="67"/>
      <c r="J197" s="85">
        <v>0</v>
      </c>
      <c r="K197" s="49"/>
      <c r="L197" s="61"/>
      <c r="M197" s="61"/>
      <c r="N197" s="61"/>
    </row>
    <row r="198" spans="1:14" ht="21.75" customHeight="1" x14ac:dyDescent="0.4">
      <c r="A198" s="166" t="s">
        <v>92</v>
      </c>
      <c r="B198" s="167"/>
      <c r="C198" s="167"/>
      <c r="D198" s="168"/>
      <c r="E198" s="167"/>
      <c r="F198" s="167"/>
      <c r="G198" s="181"/>
      <c r="H198" s="182"/>
      <c r="I198" s="183"/>
      <c r="J198" s="183"/>
      <c r="K198" s="184"/>
      <c r="L198" s="184"/>
      <c r="M198" s="184"/>
      <c r="N198" s="173"/>
    </row>
    <row r="199" spans="1:14" ht="21.75" customHeight="1" x14ac:dyDescent="0.4">
      <c r="A199" s="185"/>
      <c r="B199" s="175" t="s">
        <v>93</v>
      </c>
      <c r="C199" s="186"/>
      <c r="D199" s="187"/>
      <c r="E199" s="175"/>
      <c r="F199" s="175"/>
      <c r="G199" s="176"/>
      <c r="H199" s="177" t="s">
        <v>16</v>
      </c>
      <c r="I199" s="178">
        <f t="shared" ref="I199:J199" ca="1" si="44">I209</f>
        <v>0</v>
      </c>
      <c r="J199" s="178">
        <f t="shared" si="44"/>
        <v>0</v>
      </c>
      <c r="K199" s="179">
        <f ca="1">IF(I199&gt;0,J199*100/I199,0)</f>
        <v>0</v>
      </c>
      <c r="L199" s="180">
        <f ca="1">L200+L201</f>
        <v>0</v>
      </c>
      <c r="M199" s="180">
        <f>SUM(M200:M201)</f>
        <v>0</v>
      </c>
      <c r="N199" s="179">
        <f ca="1">IF(L199&gt;0,M199*100/L199,0)</f>
        <v>0</v>
      </c>
    </row>
    <row r="200" spans="1:14" ht="21.75" customHeight="1" x14ac:dyDescent="0.4">
      <c r="A200" s="42"/>
      <c r="B200" s="43"/>
      <c r="C200" s="43" t="s">
        <v>17</v>
      </c>
      <c r="D200" s="44" t="s">
        <v>18</v>
      </c>
      <c r="E200" s="45"/>
      <c r="F200" s="45"/>
      <c r="G200" s="46" t="s">
        <v>19</v>
      </c>
      <c r="H200" s="47" t="s">
        <v>20</v>
      </c>
      <c r="I200" s="48" t="s">
        <v>21</v>
      </c>
      <c r="J200" s="48"/>
      <c r="K200" s="49"/>
      <c r="L200" s="50">
        <v>0</v>
      </c>
      <c r="M200" s="50">
        <v>0</v>
      </c>
      <c r="N200" s="50">
        <f t="shared" ref="N200:N203" si="45">+IF(L200&gt;0,M200*100/L200,0)</f>
        <v>0</v>
      </c>
    </row>
    <row r="201" spans="1:14" ht="21.75" customHeight="1" x14ac:dyDescent="0.4">
      <c r="A201" s="42"/>
      <c r="B201" s="43"/>
      <c r="C201" s="43"/>
      <c r="D201" s="51"/>
      <c r="E201" s="45"/>
      <c r="F201" s="45" t="s">
        <v>21</v>
      </c>
      <c r="G201" s="46" t="s">
        <v>22</v>
      </c>
      <c r="H201" s="47" t="s">
        <v>20</v>
      </c>
      <c r="I201" s="48"/>
      <c r="J201" s="48"/>
      <c r="K201" s="49"/>
      <c r="L201" s="50">
        <f t="shared" ref="L201:M201" ca="1" si="46">SUM(L202:L203)</f>
        <v>0</v>
      </c>
      <c r="M201" s="50">
        <f t="shared" si="46"/>
        <v>0</v>
      </c>
      <c r="N201" s="50">
        <f t="shared" ca="1" si="45"/>
        <v>0</v>
      </c>
    </row>
    <row r="202" spans="1:14" ht="21.75" customHeight="1" x14ac:dyDescent="0.4">
      <c r="A202" s="42"/>
      <c r="B202" s="43"/>
      <c r="C202" s="43"/>
      <c r="D202" s="51"/>
      <c r="E202" s="45"/>
      <c r="F202" s="45"/>
      <c r="G202" s="52" t="s">
        <v>23</v>
      </c>
      <c r="H202" s="47" t="s">
        <v>20</v>
      </c>
      <c r="I202" s="48"/>
      <c r="J202" s="48"/>
      <c r="K202" s="49"/>
      <c r="L202" s="53">
        <v>0</v>
      </c>
      <c r="M202" s="53">
        <v>0</v>
      </c>
      <c r="N202" s="53">
        <f t="shared" si="45"/>
        <v>0</v>
      </c>
    </row>
    <row r="203" spans="1:14" ht="21.75" customHeight="1" x14ac:dyDescent="0.4">
      <c r="A203" s="42"/>
      <c r="B203" s="43"/>
      <c r="C203" s="43"/>
      <c r="D203" s="51"/>
      <c r="E203" s="45"/>
      <c r="F203" s="45"/>
      <c r="G203" s="52" t="s">
        <v>24</v>
      </c>
      <c r="H203" s="47" t="s">
        <v>20</v>
      </c>
      <c r="I203" s="48"/>
      <c r="J203" s="67"/>
      <c r="K203" s="233"/>
      <c r="L203" s="53">
        <f ca="1">IFERROR(__xludf.DUMMYFUNCTION("IMPORTRANGE(""https://docs.google.com/spreadsheets/d/1C3CXT74ZlgGe6_JY_1olB1XN4rF0dxEuIIF-xsYjHgg/edit?usp=sharing"",""พรบ!BP24"")"),0)</f>
        <v>0</v>
      </c>
      <c r="M203" s="53">
        <v>0</v>
      </c>
      <c r="N203" s="53">
        <f t="shared" ca="1" si="45"/>
        <v>0</v>
      </c>
    </row>
    <row r="204" spans="1:14" ht="21.75" customHeight="1" x14ac:dyDescent="0.4">
      <c r="A204" s="55"/>
      <c r="B204" s="56"/>
      <c r="C204" s="43" t="s">
        <v>17</v>
      </c>
      <c r="D204" s="57" t="s">
        <v>25</v>
      </c>
      <c r="E204" s="58"/>
      <c r="F204" s="58"/>
      <c r="G204" s="59"/>
      <c r="H204" s="60"/>
      <c r="I204" s="48"/>
      <c r="J204" s="67"/>
      <c r="K204" s="233"/>
      <c r="L204" s="53"/>
      <c r="M204" s="53"/>
      <c r="N204" s="61"/>
    </row>
    <row r="205" spans="1:14" ht="21.75" customHeight="1" x14ac:dyDescent="0.4">
      <c r="A205" s="55"/>
      <c r="B205" s="56"/>
      <c r="C205" s="56"/>
      <c r="D205" s="62">
        <v>1</v>
      </c>
      <c r="E205" s="63" t="s">
        <v>26</v>
      </c>
      <c r="F205" s="64"/>
      <c r="G205" s="65"/>
      <c r="H205" s="66"/>
      <c r="I205" s="67"/>
      <c r="J205" s="67">
        <v>0</v>
      </c>
      <c r="K205" s="233"/>
      <c r="L205" s="53"/>
      <c r="M205" s="53"/>
      <c r="N205" s="61"/>
    </row>
    <row r="206" spans="1:14" ht="21.75" customHeight="1" x14ac:dyDescent="0.4">
      <c r="A206" s="55"/>
      <c r="B206" s="56"/>
      <c r="C206" s="56"/>
      <c r="D206" s="69">
        <v>2</v>
      </c>
      <c r="E206" s="70" t="s">
        <v>27</v>
      </c>
      <c r="F206" s="71"/>
      <c r="G206" s="72"/>
      <c r="H206" s="66"/>
      <c r="I206" s="67"/>
      <c r="J206" s="67">
        <v>0</v>
      </c>
      <c r="K206" s="233"/>
      <c r="L206" s="53" t="s">
        <v>21</v>
      </c>
      <c r="M206" s="53" t="s">
        <v>21</v>
      </c>
      <c r="N206" s="61"/>
    </row>
    <row r="207" spans="1:14" ht="21.75" customHeight="1" x14ac:dyDescent="0.4">
      <c r="A207" s="55"/>
      <c r="B207" s="56"/>
      <c r="C207" s="56"/>
      <c r="D207" s="73"/>
      <c r="E207" s="74" t="s">
        <v>28</v>
      </c>
      <c r="F207" s="75"/>
      <c r="G207" s="76"/>
      <c r="H207" s="66"/>
      <c r="I207" s="67"/>
      <c r="J207" s="67">
        <v>0</v>
      </c>
      <c r="K207" s="233"/>
      <c r="L207" s="53"/>
      <c r="M207" s="53"/>
      <c r="N207" s="61"/>
    </row>
    <row r="208" spans="1:14" ht="21.75" customHeight="1" x14ac:dyDescent="0.4">
      <c r="A208" s="55"/>
      <c r="B208" s="56"/>
      <c r="C208" s="56"/>
      <c r="D208" s="73"/>
      <c r="E208" s="74" t="s">
        <v>29</v>
      </c>
      <c r="F208" s="75"/>
      <c r="G208" s="76"/>
      <c r="H208" s="66"/>
      <c r="I208" s="67"/>
      <c r="J208" s="67">
        <v>0</v>
      </c>
      <c r="K208" s="233"/>
      <c r="L208" s="53"/>
      <c r="M208" s="53"/>
      <c r="N208" s="61"/>
    </row>
    <row r="209" spans="1:14" ht="21.75" customHeight="1" x14ac:dyDescent="0.4">
      <c r="A209" s="55"/>
      <c r="B209" s="56"/>
      <c r="C209" s="56"/>
      <c r="D209" s="73"/>
      <c r="E209" s="77"/>
      <c r="F209" s="74" t="s">
        <v>94</v>
      </c>
      <c r="G209" s="76"/>
      <c r="H209" s="60" t="s">
        <v>16</v>
      </c>
      <c r="I209" s="67">
        <f ca="1">IFERROR(__xludf.DUMMYFUNCTION("IMPORTRANGE(""https://docs.google.com/spreadsheets/d/1C3CXT74ZlgGe6_JY_1olB1XN4rF0dxEuIIF-xsYjHgg/edit?usp=sharing"",""พรบ!BQ24"")"),0)</f>
        <v>0</v>
      </c>
      <c r="J209" s="67">
        <v>0</v>
      </c>
      <c r="K209" s="233">
        <f ca="1">IF(I209&gt;0,J209*100/I209,0)</f>
        <v>0</v>
      </c>
      <c r="L209" s="53"/>
      <c r="M209" s="53"/>
      <c r="N209" s="61"/>
    </row>
    <row r="210" spans="1:14" ht="21.75" customHeight="1" x14ac:dyDescent="0.4">
      <c r="A210" s="55"/>
      <c r="B210" s="56"/>
      <c r="C210" s="56"/>
      <c r="D210" s="73"/>
      <c r="E210" s="77"/>
      <c r="F210" s="74" t="s">
        <v>95</v>
      </c>
      <c r="G210" s="76"/>
      <c r="H210" s="60"/>
      <c r="I210" s="67"/>
      <c r="J210" s="67"/>
      <c r="K210" s="233"/>
      <c r="L210" s="53"/>
      <c r="M210" s="53"/>
      <c r="N210" s="61"/>
    </row>
    <row r="211" spans="1:14" ht="21.75" customHeight="1" x14ac:dyDescent="0.4">
      <c r="A211" s="55"/>
      <c r="B211" s="56"/>
      <c r="C211" s="56"/>
      <c r="D211" s="73"/>
      <c r="E211" s="77"/>
      <c r="F211" s="75" t="s">
        <v>34</v>
      </c>
      <c r="G211" s="76"/>
      <c r="H211" s="60" t="s">
        <v>16</v>
      </c>
      <c r="I211" s="67">
        <f ca="1">IFERROR(__xludf.DUMMYFUNCTION("IMPORTRANGE(""https://docs.google.com/spreadsheets/d/1C3CXT74ZlgGe6_JY_1olB1XN4rF0dxEuIIF-xsYjHgg/edit?usp=sharing"",""พรบ!BR24"")"),0)</f>
        <v>0</v>
      </c>
      <c r="J211" s="67">
        <v>0</v>
      </c>
      <c r="K211" s="233">
        <f ca="1">IF(I211&gt;0,J211*100/I211,0)</f>
        <v>0</v>
      </c>
      <c r="L211" s="53"/>
      <c r="M211" s="53"/>
      <c r="N211" s="61"/>
    </row>
    <row r="212" spans="1:14" ht="21.75" customHeight="1" x14ac:dyDescent="0.4">
      <c r="A212" s="55"/>
      <c r="B212" s="56"/>
      <c r="C212" s="56"/>
      <c r="D212" s="73"/>
      <c r="E212" s="74" t="s">
        <v>35</v>
      </c>
      <c r="F212" s="75"/>
      <c r="G212" s="76"/>
      <c r="H212" s="66"/>
      <c r="I212" s="67"/>
      <c r="J212" s="67">
        <v>0</v>
      </c>
      <c r="K212" s="233"/>
      <c r="L212" s="53"/>
      <c r="M212" s="53"/>
      <c r="N212" s="61"/>
    </row>
    <row r="213" spans="1:14" ht="21.75" customHeight="1" x14ac:dyDescent="0.4">
      <c r="A213" s="55"/>
      <c r="B213" s="56"/>
      <c r="C213" s="56"/>
      <c r="D213" s="81">
        <v>3</v>
      </c>
      <c r="E213" s="82" t="s">
        <v>36</v>
      </c>
      <c r="F213" s="83"/>
      <c r="G213" s="84"/>
      <c r="H213" s="66"/>
      <c r="I213" s="67"/>
      <c r="J213" s="385">
        <v>0</v>
      </c>
      <c r="K213" s="233"/>
      <c r="L213" s="53"/>
      <c r="M213" s="53"/>
      <c r="N213" s="61"/>
    </row>
    <row r="214" spans="1:14" ht="21.75" customHeight="1" x14ac:dyDescent="0.4">
      <c r="A214" s="189"/>
      <c r="B214" s="190" t="s">
        <v>96</v>
      </c>
      <c r="C214" s="191"/>
      <c r="D214" s="192"/>
      <c r="E214" s="190"/>
      <c r="F214" s="190"/>
      <c r="G214" s="193"/>
      <c r="H214" s="194" t="s">
        <v>97</v>
      </c>
      <c r="I214" s="195">
        <f t="shared" ref="I214:J214" ca="1" si="47">I224</f>
        <v>0</v>
      </c>
      <c r="J214" s="195">
        <f t="shared" si="47"/>
        <v>0</v>
      </c>
      <c r="K214" s="196">
        <f ca="1">IF(I214&gt;0,J214*100/I214,0)</f>
        <v>0</v>
      </c>
      <c r="L214" s="197">
        <f ca="1">L215+L216</f>
        <v>0</v>
      </c>
      <c r="M214" s="197">
        <f>SUM(M215:M216)</f>
        <v>0</v>
      </c>
      <c r="N214" s="196">
        <f ca="1">IF(L214&gt;0,M214*100/L214,0)</f>
        <v>0</v>
      </c>
    </row>
    <row r="215" spans="1:14" ht="21.75" customHeight="1" x14ac:dyDescent="0.4">
      <c r="A215" s="42"/>
      <c r="B215" s="43"/>
      <c r="C215" s="43" t="s">
        <v>17</v>
      </c>
      <c r="D215" s="44" t="s">
        <v>18</v>
      </c>
      <c r="E215" s="45"/>
      <c r="F215" s="45"/>
      <c r="G215" s="46" t="s">
        <v>19</v>
      </c>
      <c r="H215" s="47" t="s">
        <v>20</v>
      </c>
      <c r="I215" s="48" t="s">
        <v>21</v>
      </c>
      <c r="J215" s="48"/>
      <c r="K215" s="49"/>
      <c r="L215" s="50">
        <v>0</v>
      </c>
      <c r="M215" s="53">
        <v>0</v>
      </c>
      <c r="N215" s="53">
        <f t="shared" ref="N215:N218" si="48">+IF(L215&gt;0,M215*100/L215,0)</f>
        <v>0</v>
      </c>
    </row>
    <row r="216" spans="1:14" ht="21.75" customHeight="1" x14ac:dyDescent="0.4">
      <c r="A216" s="42"/>
      <c r="B216" s="43"/>
      <c r="C216" s="43"/>
      <c r="D216" s="51"/>
      <c r="E216" s="45"/>
      <c r="F216" s="45" t="s">
        <v>21</v>
      </c>
      <c r="G216" s="46" t="s">
        <v>22</v>
      </c>
      <c r="H216" s="47" t="s">
        <v>20</v>
      </c>
      <c r="I216" s="48"/>
      <c r="J216" s="48"/>
      <c r="K216" s="49"/>
      <c r="L216" s="50">
        <f t="shared" ref="L216:M216" ca="1" si="49">SUM(L217:L218)</f>
        <v>0</v>
      </c>
      <c r="M216" s="53">
        <f t="shared" si="49"/>
        <v>0</v>
      </c>
      <c r="N216" s="53">
        <f t="shared" ca="1" si="48"/>
        <v>0</v>
      </c>
    </row>
    <row r="217" spans="1:14" ht="21.75" customHeight="1" x14ac:dyDescent="0.4">
      <c r="A217" s="42"/>
      <c r="B217" s="43"/>
      <c r="C217" s="43"/>
      <c r="D217" s="51"/>
      <c r="E217" s="45"/>
      <c r="F217" s="45"/>
      <c r="G217" s="52" t="s">
        <v>23</v>
      </c>
      <c r="H217" s="47" t="s">
        <v>20</v>
      </c>
      <c r="I217" s="48"/>
      <c r="J217" s="48"/>
      <c r="K217" s="49"/>
      <c r="L217" s="53">
        <v>0</v>
      </c>
      <c r="M217" s="53">
        <v>0</v>
      </c>
      <c r="N217" s="53">
        <f t="shared" si="48"/>
        <v>0</v>
      </c>
    </row>
    <row r="218" spans="1:14" ht="21.75" customHeight="1" x14ac:dyDescent="0.4">
      <c r="A218" s="42"/>
      <c r="B218" s="43"/>
      <c r="C218" s="43"/>
      <c r="D218" s="51"/>
      <c r="E218" s="45"/>
      <c r="F218" s="45"/>
      <c r="G218" s="52" t="s">
        <v>24</v>
      </c>
      <c r="H218" s="47" t="s">
        <v>20</v>
      </c>
      <c r="I218" s="48"/>
      <c r="J218" s="67"/>
      <c r="K218" s="233"/>
      <c r="L218" s="53">
        <f ca="1">IFERROR(__xludf.DUMMYFUNCTION("IMPORTRANGE(""https://docs.google.com/spreadsheets/d/1C3CXT74ZlgGe6_JY_1olB1XN4rF0dxEuIIF-xsYjHgg/edit?usp=sharing"",""พรบ!BU24"")"),0)</f>
        <v>0</v>
      </c>
      <c r="M218" s="53">
        <v>0</v>
      </c>
      <c r="N218" s="53">
        <f t="shared" ca="1" si="48"/>
        <v>0</v>
      </c>
    </row>
    <row r="219" spans="1:14" ht="21.75" customHeight="1" x14ac:dyDescent="0.4">
      <c r="A219" s="55"/>
      <c r="B219" s="56"/>
      <c r="C219" s="43" t="s">
        <v>17</v>
      </c>
      <c r="D219" s="57" t="s">
        <v>25</v>
      </c>
      <c r="E219" s="58"/>
      <c r="F219" s="58"/>
      <c r="G219" s="59"/>
      <c r="H219" s="60"/>
      <c r="I219" s="48"/>
      <c r="J219" s="67"/>
      <c r="K219" s="233"/>
      <c r="L219" s="53"/>
      <c r="M219" s="53"/>
      <c r="N219" s="61"/>
    </row>
    <row r="220" spans="1:14" ht="21.75" customHeight="1" x14ac:dyDescent="0.4">
      <c r="A220" s="55"/>
      <c r="B220" s="56"/>
      <c r="C220" s="56"/>
      <c r="D220" s="62">
        <v>1</v>
      </c>
      <c r="E220" s="63" t="s">
        <v>26</v>
      </c>
      <c r="F220" s="64"/>
      <c r="G220" s="65"/>
      <c r="H220" s="66"/>
      <c r="I220" s="67"/>
      <c r="J220" s="67">
        <v>0</v>
      </c>
      <c r="K220" s="233"/>
      <c r="L220" s="53"/>
      <c r="M220" s="53"/>
      <c r="N220" s="61"/>
    </row>
    <row r="221" spans="1:14" ht="21.75" customHeight="1" x14ac:dyDescent="0.4">
      <c r="A221" s="55"/>
      <c r="B221" s="56"/>
      <c r="C221" s="56"/>
      <c r="D221" s="69">
        <v>2</v>
      </c>
      <c r="E221" s="70" t="s">
        <v>27</v>
      </c>
      <c r="F221" s="71"/>
      <c r="G221" s="72"/>
      <c r="H221" s="66"/>
      <c r="I221" s="67"/>
      <c r="J221" s="67">
        <v>0</v>
      </c>
      <c r="K221" s="233"/>
      <c r="L221" s="53" t="s">
        <v>21</v>
      </c>
      <c r="M221" s="53" t="s">
        <v>21</v>
      </c>
      <c r="N221" s="61"/>
    </row>
    <row r="222" spans="1:14" ht="21.75" customHeight="1" x14ac:dyDescent="0.4">
      <c r="A222" s="55"/>
      <c r="B222" s="56"/>
      <c r="C222" s="56"/>
      <c r="D222" s="73"/>
      <c r="E222" s="74" t="s">
        <v>28</v>
      </c>
      <c r="F222" s="75"/>
      <c r="G222" s="76"/>
      <c r="H222" s="66"/>
      <c r="I222" s="67"/>
      <c r="J222" s="67">
        <v>0</v>
      </c>
      <c r="K222" s="233"/>
      <c r="L222" s="53"/>
      <c r="M222" s="53"/>
      <c r="N222" s="61"/>
    </row>
    <row r="223" spans="1:14" ht="21.75" customHeight="1" x14ac:dyDescent="0.4">
      <c r="A223" s="55"/>
      <c r="B223" s="56"/>
      <c r="C223" s="56"/>
      <c r="D223" s="73"/>
      <c r="E223" s="74" t="s">
        <v>29</v>
      </c>
      <c r="F223" s="75"/>
      <c r="G223" s="76"/>
      <c r="H223" s="66"/>
      <c r="I223" s="67"/>
      <c r="J223" s="67">
        <v>0</v>
      </c>
      <c r="K223" s="233"/>
      <c r="L223" s="53"/>
      <c r="M223" s="53"/>
      <c r="N223" s="61"/>
    </row>
    <row r="224" spans="1:14" ht="21.75" customHeight="1" x14ac:dyDescent="0.4">
      <c r="A224" s="55"/>
      <c r="B224" s="56"/>
      <c r="C224" s="56"/>
      <c r="D224" s="73"/>
      <c r="E224" s="77"/>
      <c r="F224" s="74" t="s">
        <v>98</v>
      </c>
      <c r="G224" s="76"/>
      <c r="H224" s="66" t="s">
        <v>97</v>
      </c>
      <c r="I224" s="67">
        <f ca="1">IFERROR(__xludf.DUMMYFUNCTION("IMPORTRANGE(""https://docs.google.com/spreadsheets/d/1C3CXT74ZlgGe6_JY_1olB1XN4rF0dxEuIIF-xsYjHgg/edit?usp=sharing"",""พรบ!BV24"")"),0)</f>
        <v>0</v>
      </c>
      <c r="J224" s="67">
        <v>0</v>
      </c>
      <c r="K224" s="233">
        <f ca="1">IF(I224&gt;0,J224*100/I224,0)</f>
        <v>0</v>
      </c>
      <c r="L224" s="53"/>
      <c r="M224" s="53"/>
      <c r="N224" s="61"/>
    </row>
    <row r="225" spans="1:14" ht="21.75" customHeight="1" x14ac:dyDescent="0.4">
      <c r="A225" s="55"/>
      <c r="B225" s="56"/>
      <c r="C225" s="56"/>
      <c r="D225" s="73"/>
      <c r="E225" s="74" t="s">
        <v>35</v>
      </c>
      <c r="F225" s="75"/>
      <c r="G225" s="76"/>
      <c r="H225" s="66"/>
      <c r="I225" s="67"/>
      <c r="J225" s="67">
        <v>0</v>
      </c>
      <c r="K225" s="233"/>
      <c r="L225" s="53"/>
      <c r="M225" s="53"/>
      <c r="N225" s="61"/>
    </row>
    <row r="226" spans="1:14" ht="21.75" customHeight="1" x14ac:dyDescent="0.4">
      <c r="A226" s="55"/>
      <c r="B226" s="56"/>
      <c r="C226" s="56"/>
      <c r="D226" s="81">
        <v>3</v>
      </c>
      <c r="E226" s="82" t="s">
        <v>36</v>
      </c>
      <c r="F226" s="83"/>
      <c r="G226" s="84"/>
      <c r="H226" s="66"/>
      <c r="I226" s="67"/>
      <c r="J226" s="360">
        <v>0</v>
      </c>
      <c r="K226" s="233"/>
      <c r="L226" s="53"/>
      <c r="M226" s="53"/>
      <c r="N226" s="61"/>
    </row>
    <row r="227" spans="1:14" ht="21.75" customHeight="1" x14ac:dyDescent="0.4">
      <c r="A227" s="166" t="s">
        <v>99</v>
      </c>
      <c r="B227" s="167"/>
      <c r="C227" s="167"/>
      <c r="D227" s="168"/>
      <c r="E227" s="167"/>
      <c r="F227" s="167"/>
      <c r="G227" s="181"/>
      <c r="H227" s="170"/>
      <c r="I227" s="171"/>
      <c r="J227" s="171"/>
      <c r="K227" s="172"/>
      <c r="L227" s="172"/>
      <c r="M227" s="172"/>
      <c r="N227" s="173"/>
    </row>
    <row r="228" spans="1:14" ht="21.75" customHeight="1" x14ac:dyDescent="0.4">
      <c r="A228" s="174"/>
      <c r="B228" s="175" t="s">
        <v>100</v>
      </c>
      <c r="C228" s="187"/>
      <c r="D228" s="175"/>
      <c r="E228" s="175"/>
      <c r="F228" s="175"/>
      <c r="G228" s="176"/>
      <c r="H228" s="177" t="s">
        <v>16</v>
      </c>
      <c r="I228" s="198">
        <f ca="1">I236</f>
        <v>430</v>
      </c>
      <c r="J228" s="198">
        <f ca="1">J240</f>
        <v>20</v>
      </c>
      <c r="K228" s="179">
        <f ca="1">IF(I228&gt;0,J228*100/I228,0)</f>
        <v>4.6511627906976747</v>
      </c>
      <c r="L228" s="180">
        <f ca="1">L229+L230</f>
        <v>1119950</v>
      </c>
      <c r="M228" s="180">
        <f>SUM(M229:M230)</f>
        <v>137053</v>
      </c>
      <c r="N228" s="179">
        <f ca="1">IF(L228&gt;0,M228*100/L228,0)</f>
        <v>12.237421313451494</v>
      </c>
    </row>
    <row r="229" spans="1:14" ht="21.75" customHeight="1" x14ac:dyDescent="0.4">
      <c r="A229" s="42"/>
      <c r="B229" s="43"/>
      <c r="C229" s="43" t="s">
        <v>17</v>
      </c>
      <c r="D229" s="44" t="s">
        <v>18</v>
      </c>
      <c r="E229" s="45"/>
      <c r="F229" s="45"/>
      <c r="G229" s="46" t="s">
        <v>19</v>
      </c>
      <c r="H229" s="47" t="s">
        <v>20</v>
      </c>
      <c r="I229" s="48" t="s">
        <v>21</v>
      </c>
      <c r="J229" s="48"/>
      <c r="K229" s="49"/>
      <c r="L229" s="50">
        <v>0</v>
      </c>
      <c r="M229" s="53">
        <v>0</v>
      </c>
      <c r="N229" s="53">
        <f t="shared" ref="N229:N232" si="50">+IF(L229&gt;0,M229*100/L229,0)</f>
        <v>0</v>
      </c>
    </row>
    <row r="230" spans="1:14" ht="21.75" customHeight="1" x14ac:dyDescent="0.4">
      <c r="A230" s="42"/>
      <c r="B230" s="43"/>
      <c r="C230" s="43"/>
      <c r="D230" s="51"/>
      <c r="E230" s="45"/>
      <c r="F230" s="45" t="s">
        <v>21</v>
      </c>
      <c r="G230" s="46" t="s">
        <v>22</v>
      </c>
      <c r="H230" s="47" t="s">
        <v>20</v>
      </c>
      <c r="I230" s="48"/>
      <c r="J230" s="48"/>
      <c r="K230" s="49"/>
      <c r="L230" s="50">
        <f t="shared" ref="L230:M230" ca="1" si="51">SUM(L231:L232)</f>
        <v>1119950</v>
      </c>
      <c r="M230" s="53">
        <f t="shared" si="51"/>
        <v>137053</v>
      </c>
      <c r="N230" s="53">
        <f t="shared" ca="1" si="50"/>
        <v>12.237421313451494</v>
      </c>
    </row>
    <row r="231" spans="1:14" ht="21.75" customHeight="1" x14ac:dyDescent="0.4">
      <c r="A231" s="42"/>
      <c r="B231" s="43"/>
      <c r="C231" s="43"/>
      <c r="D231" s="51"/>
      <c r="E231" s="45"/>
      <c r="F231" s="45"/>
      <c r="G231" s="52" t="s">
        <v>23</v>
      </c>
      <c r="H231" s="47" t="s">
        <v>20</v>
      </c>
      <c r="I231" s="48"/>
      <c r="J231" s="48"/>
      <c r="K231" s="49"/>
      <c r="L231" s="53">
        <f ca="1">IFERROR(__xludf.DUMMYFUNCTION("IMPORTRANGE(""https://docs.google.com/spreadsheets/d/1C3CXT74ZlgGe6_JY_1olB1XN4rF0dxEuIIF-xsYjHgg/edit?usp=sharing"",""พรบ!BX24"")"),529200)</f>
        <v>529200</v>
      </c>
      <c r="M231" s="54">
        <v>0</v>
      </c>
      <c r="N231" s="53">
        <f t="shared" ca="1" si="50"/>
        <v>0</v>
      </c>
    </row>
    <row r="232" spans="1:14" ht="21.75" customHeight="1" x14ac:dyDescent="0.4">
      <c r="A232" s="42"/>
      <c r="B232" s="43"/>
      <c r="C232" s="43"/>
      <c r="D232" s="51"/>
      <c r="E232" s="45"/>
      <c r="F232" s="45"/>
      <c r="G232" s="52" t="s">
        <v>24</v>
      </c>
      <c r="H232" s="47" t="s">
        <v>20</v>
      </c>
      <c r="I232" s="48"/>
      <c r="J232" s="48"/>
      <c r="K232" s="49"/>
      <c r="L232" s="53">
        <f ca="1">IFERROR(__xludf.DUMMYFUNCTION("IMPORTRANGE(""https://docs.google.com/spreadsheets/d/1C3CXT74ZlgGe6_JY_1olB1XN4rF0dxEuIIF-xsYjHgg/edit?usp=sharing"",""พรบ!BY24"")"),590750)</f>
        <v>590750</v>
      </c>
      <c r="M232" s="54">
        <v>137053</v>
      </c>
      <c r="N232" s="53">
        <f t="shared" ca="1" si="50"/>
        <v>23.199830723656369</v>
      </c>
    </row>
    <row r="233" spans="1:14" ht="21.75" customHeight="1" x14ac:dyDescent="0.4">
      <c r="A233" s="55"/>
      <c r="B233" s="155"/>
      <c r="C233" s="199" t="s">
        <v>101</v>
      </c>
      <c r="D233" s="75"/>
      <c r="E233" s="75"/>
      <c r="F233" s="75"/>
      <c r="G233" s="76"/>
      <c r="H233" s="60"/>
      <c r="I233" s="200"/>
      <c r="J233" s="200"/>
      <c r="K233" s="201"/>
      <c r="L233" s="61"/>
      <c r="M233" s="61"/>
      <c r="N233" s="202"/>
    </row>
    <row r="234" spans="1:14" ht="21.75" customHeight="1" x14ac:dyDescent="0.4">
      <c r="A234" s="55"/>
      <c r="B234" s="155"/>
      <c r="C234" s="56"/>
      <c r="D234" s="75"/>
      <c r="E234" s="74" t="s">
        <v>102</v>
      </c>
      <c r="F234" s="75"/>
      <c r="G234" s="76"/>
      <c r="H234" s="60" t="s">
        <v>16</v>
      </c>
      <c r="I234" s="67">
        <v>0</v>
      </c>
      <c r="J234" s="67">
        <f ca="1">IFERROR(__xludf.DUMMYFUNCTION("IMPORTRANGE(""https://docs.google.com/spreadsheets/d/1AGHcLOeeYFL3K4b9R1dSzyJy00PE_ra89DNTVfnxSWM/edit?usp=sharing"",""รวมที่ทำกิน!J13"")"),77)</f>
        <v>77</v>
      </c>
      <c r="K234" s="201">
        <f t="shared" ref="K234:K241" si="52">IF(I234&gt;0,J234*100/I234,0)</f>
        <v>0</v>
      </c>
      <c r="L234" s="61"/>
      <c r="M234" s="61"/>
      <c r="N234" s="202"/>
    </row>
    <row r="235" spans="1:14" ht="21.75" customHeight="1" x14ac:dyDescent="0.4">
      <c r="A235" s="55"/>
      <c r="B235" s="155"/>
      <c r="C235" s="56"/>
      <c r="D235" s="75"/>
      <c r="E235" s="75"/>
      <c r="F235" s="75"/>
      <c r="G235" s="76"/>
      <c r="H235" s="60" t="s">
        <v>103</v>
      </c>
      <c r="I235" s="67">
        <f ca="1">IFERROR(__xludf.DUMMYFUNCTION("IMPORTRANGE(""https://docs.google.com/spreadsheets/d/1C3CXT74ZlgGe6_JY_1olB1XN4rF0dxEuIIF-xsYjHgg/edit?usp=sharing"",""พรบ!BZ24"")"),4200)</f>
        <v>4200</v>
      </c>
      <c r="J235" s="67">
        <f ca="1">IFERROR(__xludf.DUMMYFUNCTION("IMPORTRANGE(""https://docs.google.com/spreadsheets/d/1AGHcLOeeYFL3K4b9R1dSzyJy00PE_ra89DNTVfnxSWM/edit?usp=sharing"",""รวมที่ทำกิน!L13"")"),702.61)</f>
        <v>702.61</v>
      </c>
      <c r="K235" s="201">
        <f t="shared" ca="1" si="52"/>
        <v>16.728809523809524</v>
      </c>
      <c r="L235" s="61"/>
      <c r="M235" s="61"/>
      <c r="N235" s="202"/>
    </row>
    <row r="236" spans="1:14" ht="21.75" customHeight="1" x14ac:dyDescent="0.4">
      <c r="A236" s="55"/>
      <c r="B236" s="155"/>
      <c r="C236" s="56"/>
      <c r="D236" s="75"/>
      <c r="E236" s="74" t="s">
        <v>104</v>
      </c>
      <c r="F236" s="75"/>
      <c r="G236" s="76"/>
      <c r="H236" s="60" t="s">
        <v>16</v>
      </c>
      <c r="I236" s="67">
        <f ca="1">IFERROR(__xludf.DUMMYFUNCTION("IMPORTRANGE(""https://docs.google.com/spreadsheets/d/1C3CXT74ZlgGe6_JY_1olB1XN4rF0dxEuIIF-xsYjHgg/edit?usp=sharing"",""พรบ!CA24"")"),430)</f>
        <v>430</v>
      </c>
      <c r="J236" s="67">
        <f ca="1">IFERROR(__xludf.DUMMYFUNCTION("IMPORTRANGE(""https://docs.google.com/spreadsheets/d/1AGHcLOeeYFL3K4b9R1dSzyJy00PE_ra89DNTVfnxSWM/edit?usp=sharing"",""รวมที่ทำกิน!O13"")"),33)</f>
        <v>33</v>
      </c>
      <c r="K236" s="201">
        <f t="shared" ca="1" si="52"/>
        <v>7.6744186046511631</v>
      </c>
      <c r="L236" s="61"/>
      <c r="M236" s="61"/>
      <c r="N236" s="202"/>
    </row>
    <row r="237" spans="1:14" ht="21.75" customHeight="1" x14ac:dyDescent="0.4">
      <c r="A237" s="55"/>
      <c r="B237" s="155"/>
      <c r="C237" s="56"/>
      <c r="D237" s="75"/>
      <c r="E237" s="75"/>
      <c r="F237" s="75"/>
      <c r="G237" s="76"/>
      <c r="H237" s="60" t="s">
        <v>103</v>
      </c>
      <c r="I237" s="200">
        <v>0</v>
      </c>
      <c r="J237" s="67">
        <f ca="1">IFERROR(__xludf.DUMMYFUNCTION("IMPORTRANGE(""https://docs.google.com/spreadsheets/d/1AGHcLOeeYFL3K4b9R1dSzyJy00PE_ra89DNTVfnxSWM/edit?usp=sharing"",""รวมที่ทำกิน!Q13"")"),580.67)</f>
        <v>580.66999999999996</v>
      </c>
      <c r="K237" s="201">
        <f t="shared" si="52"/>
        <v>0</v>
      </c>
      <c r="L237" s="61"/>
      <c r="M237" s="61"/>
      <c r="N237" s="202"/>
    </row>
    <row r="238" spans="1:14" ht="21.75" customHeight="1" x14ac:dyDescent="0.4">
      <c r="A238" s="55"/>
      <c r="B238" s="155"/>
      <c r="C238" s="56"/>
      <c r="D238" s="75"/>
      <c r="E238" s="74" t="s">
        <v>105</v>
      </c>
      <c r="F238" s="75"/>
      <c r="G238" s="76"/>
      <c r="H238" s="60" t="s">
        <v>16</v>
      </c>
      <c r="I238" s="67">
        <f ca="1">IFERROR(__xludf.DUMMYFUNCTION("IMPORTRANGE(""https://docs.google.com/spreadsheets/d/1C3CXT74ZlgGe6_JY_1olB1XN4rF0dxEuIIF-xsYjHgg/edit?usp=sharing"",""พรบ!CB24"")"),430)</f>
        <v>430</v>
      </c>
      <c r="J238" s="67">
        <f ca="1">IFERROR(__xludf.DUMMYFUNCTION("IMPORTRANGE(""https://docs.google.com/spreadsheets/d/1AGHcLOeeYFL3K4b9R1dSzyJy00PE_ra89DNTVfnxSWM/edit?usp=sharing"",""รวมที่ทำกิน!S13"")"),0)</f>
        <v>0</v>
      </c>
      <c r="K238" s="201">
        <f t="shared" ca="1" si="52"/>
        <v>0</v>
      </c>
      <c r="L238" s="61"/>
      <c r="M238" s="61"/>
      <c r="N238" s="202"/>
    </row>
    <row r="239" spans="1:14" ht="21.75" customHeight="1" x14ac:dyDescent="0.4">
      <c r="A239" s="55"/>
      <c r="B239" s="155"/>
      <c r="C239" s="56"/>
      <c r="D239" s="75"/>
      <c r="E239" s="75"/>
      <c r="F239" s="75"/>
      <c r="G239" s="76"/>
      <c r="H239" s="60" t="s">
        <v>103</v>
      </c>
      <c r="I239" s="200">
        <v>0</v>
      </c>
      <c r="J239" s="67">
        <f ca="1">IFERROR(__xludf.DUMMYFUNCTION("IMPORTRANGE(""https://docs.google.com/spreadsheets/d/1AGHcLOeeYFL3K4b9R1dSzyJy00PE_ra89DNTVfnxSWM/edit?usp=sharing"",""รวมที่ทำกิน!U13"")"),0)</f>
        <v>0</v>
      </c>
      <c r="K239" s="201">
        <f t="shared" si="52"/>
        <v>0</v>
      </c>
      <c r="L239" s="61"/>
      <c r="M239" s="61"/>
      <c r="N239" s="202"/>
    </row>
    <row r="240" spans="1:14" ht="21.75" customHeight="1" x14ac:dyDescent="0.4">
      <c r="A240" s="55"/>
      <c r="B240" s="155"/>
      <c r="C240" s="56"/>
      <c r="D240" s="75"/>
      <c r="E240" s="74" t="s">
        <v>106</v>
      </c>
      <c r="F240" s="75"/>
      <c r="G240" s="76"/>
      <c r="H240" s="60" t="s">
        <v>16</v>
      </c>
      <c r="I240" s="67">
        <f ca="1">IFERROR(__xludf.DUMMYFUNCTION("IMPORTRANGE(""https://docs.google.com/spreadsheets/d/1C3CXT74ZlgGe6_JY_1olB1XN4rF0dxEuIIF-xsYjHgg/edit?usp=sharing"",""พรบ!CC24"")"),430)</f>
        <v>430</v>
      </c>
      <c r="J240" s="67">
        <f ca="1">IFERROR(__xludf.DUMMYFUNCTION("IMPORTRANGE(""https://docs.google.com/spreadsheets/d/1AGHcLOeeYFL3K4b9R1dSzyJy00PE_ra89DNTVfnxSWM/edit?usp=sharing"",""รวมที่ทำกิน!W13"")"),20)</f>
        <v>20</v>
      </c>
      <c r="K240" s="201">
        <f t="shared" ca="1" si="52"/>
        <v>4.6511627906976747</v>
      </c>
      <c r="L240" s="61"/>
      <c r="M240" s="61"/>
      <c r="N240" s="202"/>
    </row>
    <row r="241" spans="1:14" ht="21.75" customHeight="1" x14ac:dyDescent="0.4">
      <c r="A241" s="105"/>
      <c r="B241" s="203"/>
      <c r="C241" s="106"/>
      <c r="D241" s="203"/>
      <c r="E241" s="204"/>
      <c r="F241" s="204"/>
      <c r="G241" s="205"/>
      <c r="H241" s="206" t="s">
        <v>103</v>
      </c>
      <c r="I241" s="207">
        <v>0</v>
      </c>
      <c r="J241" s="67">
        <f ca="1">IFERROR(__xludf.DUMMYFUNCTION("IMPORTRANGE(""https://docs.google.com/spreadsheets/d/1AGHcLOeeYFL3K4b9R1dSzyJy00PE_ra89DNTVfnxSWM/edit?usp=sharing"",""รวมที่ทำกิน!Y13"")"),389.51)</f>
        <v>389.51</v>
      </c>
      <c r="K241" s="201">
        <f t="shared" si="52"/>
        <v>0</v>
      </c>
      <c r="L241" s="115"/>
      <c r="M241" s="115"/>
      <c r="N241" s="208"/>
    </row>
    <row r="242" spans="1:14" ht="21.75" customHeight="1" x14ac:dyDescent="0.4">
      <c r="A242" s="209" t="s">
        <v>107</v>
      </c>
      <c r="B242" s="210"/>
      <c r="C242" s="210"/>
      <c r="D242" s="210"/>
      <c r="E242" s="210"/>
      <c r="F242" s="210"/>
      <c r="G242" s="211"/>
      <c r="H242" s="212"/>
      <c r="I242" s="213"/>
      <c r="J242" s="213"/>
      <c r="K242" s="214"/>
      <c r="L242" s="214">
        <f t="shared" ref="L242:M242" ca="1" si="53">SUM(L244,L275,L296,L330,L350,L426,L444,L457,L473,L490)</f>
        <v>2075413</v>
      </c>
      <c r="M242" s="214">
        <f t="shared" si="53"/>
        <v>147819</v>
      </c>
      <c r="N242" s="214">
        <f ca="1">+IF(L242&gt;0,M242*100/L242,0)</f>
        <v>7.1223896159463198</v>
      </c>
    </row>
    <row r="243" spans="1:14" ht="21.75" customHeight="1" x14ac:dyDescent="0.4">
      <c r="A243" s="215" t="s">
        <v>108</v>
      </c>
      <c r="B243" s="216"/>
      <c r="C243" s="216"/>
      <c r="D243" s="216"/>
      <c r="E243" s="216"/>
      <c r="F243" s="216"/>
      <c r="G243" s="217"/>
      <c r="H243" s="218"/>
      <c r="I243" s="219"/>
      <c r="J243" s="219"/>
      <c r="K243" s="220"/>
      <c r="L243" s="220"/>
      <c r="M243" s="220"/>
      <c r="N243" s="221"/>
    </row>
    <row r="244" spans="1:14" ht="21.75" customHeight="1" x14ac:dyDescent="0.4">
      <c r="A244" s="222"/>
      <c r="B244" s="223">
        <v>1</v>
      </c>
      <c r="C244" s="224" t="s">
        <v>109</v>
      </c>
      <c r="D244" s="224"/>
      <c r="E244" s="224"/>
      <c r="F244" s="224"/>
      <c r="G244" s="225"/>
      <c r="H244" s="226" t="s">
        <v>103</v>
      </c>
      <c r="I244" s="227">
        <f t="shared" ref="I244:J244" ca="1" si="54">I270</f>
        <v>110</v>
      </c>
      <c r="J244" s="227">
        <f t="shared" si="54"/>
        <v>0</v>
      </c>
      <c r="K244" s="228">
        <f t="shared" ref="K244:K245" ca="1" si="55">IF(I244&gt;0,J244*100/I244,0)</f>
        <v>0</v>
      </c>
      <c r="L244" s="229">
        <f t="shared" ref="L244:M244" ca="1" si="56">SUM(L246:L247)</f>
        <v>354030</v>
      </c>
      <c r="M244" s="229">
        <f t="shared" si="56"/>
        <v>52830</v>
      </c>
      <c r="N244" s="229">
        <f ca="1">+IF(L244&gt;0,M244*100/L244,0)</f>
        <v>14.922464197949326</v>
      </c>
    </row>
    <row r="245" spans="1:14" ht="21.75" customHeight="1" x14ac:dyDescent="0.4">
      <c r="A245" s="222"/>
      <c r="B245" s="223"/>
      <c r="C245" s="224"/>
      <c r="D245" s="224"/>
      <c r="E245" s="224"/>
      <c r="F245" s="224"/>
      <c r="G245" s="225"/>
      <c r="H245" s="226" t="s">
        <v>16</v>
      </c>
      <c r="I245" s="227">
        <f ca="1">I263</f>
        <v>55</v>
      </c>
      <c r="J245" s="227">
        <f>+J263</f>
        <v>0</v>
      </c>
      <c r="K245" s="228">
        <f t="shared" ca="1" si="55"/>
        <v>0</v>
      </c>
      <c r="L245" s="229"/>
      <c r="M245" s="229"/>
      <c r="N245" s="229"/>
    </row>
    <row r="246" spans="1:14" ht="21.75" customHeight="1" x14ac:dyDescent="0.4">
      <c r="A246" s="42"/>
      <c r="B246" s="43"/>
      <c r="C246" s="43" t="s">
        <v>17</v>
      </c>
      <c r="D246" s="44" t="s">
        <v>18</v>
      </c>
      <c r="E246" s="45"/>
      <c r="F246" s="45"/>
      <c r="G246" s="46" t="s">
        <v>19</v>
      </c>
      <c r="H246" s="47" t="s">
        <v>20</v>
      </c>
      <c r="I246" s="48" t="s">
        <v>21</v>
      </c>
      <c r="J246" s="48"/>
      <c r="K246" s="49"/>
      <c r="L246" s="50">
        <v>0</v>
      </c>
      <c r="M246" s="50">
        <v>0</v>
      </c>
      <c r="N246" s="50">
        <f t="shared" ref="N246:N249" si="57">+IF(L246&gt;0,M246*100/L246,0)</f>
        <v>0</v>
      </c>
    </row>
    <row r="247" spans="1:14" ht="21.75" customHeight="1" x14ac:dyDescent="0.4">
      <c r="A247" s="42"/>
      <c r="B247" s="43"/>
      <c r="C247" s="43"/>
      <c r="D247" s="51"/>
      <c r="E247" s="45"/>
      <c r="F247" s="45" t="s">
        <v>21</v>
      </c>
      <c r="G247" s="46" t="s">
        <v>22</v>
      </c>
      <c r="H247" s="47" t="s">
        <v>20</v>
      </c>
      <c r="I247" s="48"/>
      <c r="J247" s="48"/>
      <c r="K247" s="49"/>
      <c r="L247" s="50">
        <f t="shared" ref="L247:M247" ca="1" si="58">SUM(L248:L249)</f>
        <v>354030</v>
      </c>
      <c r="M247" s="50">
        <f t="shared" si="58"/>
        <v>52830</v>
      </c>
      <c r="N247" s="50">
        <f t="shared" ca="1" si="57"/>
        <v>14.922464197949326</v>
      </c>
    </row>
    <row r="248" spans="1:14" ht="21.75" customHeight="1" x14ac:dyDescent="0.4">
      <c r="A248" s="42"/>
      <c r="B248" s="43"/>
      <c r="C248" s="43"/>
      <c r="D248" s="51"/>
      <c r="E248" s="45"/>
      <c r="F248" s="45"/>
      <c r="G248" s="52" t="s">
        <v>110</v>
      </c>
      <c r="H248" s="47" t="s">
        <v>20</v>
      </c>
      <c r="I248" s="48"/>
      <c r="J248" s="48"/>
      <c r="K248" s="49"/>
      <c r="L248" s="53">
        <f ca="1">IFERROR(__xludf.DUMMYFUNCTION("IMPORTRANGE(""https://docs.google.com/spreadsheets/d/1C3CXT74ZlgGe6_JY_1olB1XN4rF0dxEuIIF-xsYjHgg/edit?usp=sharing"",""งบกองทุน!d24"")"),0)</f>
        <v>0</v>
      </c>
      <c r="M248" s="53">
        <v>0</v>
      </c>
      <c r="N248" s="53">
        <f t="shared" ca="1" si="57"/>
        <v>0</v>
      </c>
    </row>
    <row r="249" spans="1:14" ht="21.75" customHeight="1" x14ac:dyDescent="0.4">
      <c r="A249" s="42"/>
      <c r="B249" s="43"/>
      <c r="C249" s="43"/>
      <c r="D249" s="51"/>
      <c r="E249" s="45"/>
      <c r="F249" s="45"/>
      <c r="G249" s="52" t="s">
        <v>111</v>
      </c>
      <c r="H249" s="47" t="s">
        <v>20</v>
      </c>
      <c r="I249" s="48"/>
      <c r="J249" s="48"/>
      <c r="K249" s="49"/>
      <c r="L249" s="53">
        <f ca="1">IFERROR(__xludf.DUMMYFUNCTION("IMPORTRANGE(""https://docs.google.com/spreadsheets/d/1C3CXT74ZlgGe6_JY_1olB1XN4rF0dxEuIIF-xsYjHgg/edit?usp=sharing"",""งบกองทุน!e24"")"),354030)</f>
        <v>354030</v>
      </c>
      <c r="M249" s="53">
        <f>SUM(M250:M253)</f>
        <v>52830</v>
      </c>
      <c r="N249" s="53">
        <f t="shared" ca="1" si="57"/>
        <v>14.922464197949326</v>
      </c>
    </row>
    <row r="250" spans="1:14" ht="21.75" customHeight="1" x14ac:dyDescent="0.4">
      <c r="A250" s="230"/>
      <c r="B250" s="231"/>
      <c r="C250" s="43"/>
      <c r="D250" s="232"/>
      <c r="E250" s="45"/>
      <c r="F250" s="45"/>
      <c r="G250" s="46" t="s">
        <v>112</v>
      </c>
      <c r="H250" s="47" t="s">
        <v>20</v>
      </c>
      <c r="I250" s="67"/>
      <c r="J250" s="67"/>
      <c r="K250" s="233"/>
      <c r="L250" s="53"/>
      <c r="M250" s="54">
        <v>39870</v>
      </c>
      <c r="N250" s="53"/>
    </row>
    <row r="251" spans="1:14" ht="21.75" customHeight="1" x14ac:dyDescent="0.4">
      <c r="A251" s="230"/>
      <c r="B251" s="231"/>
      <c r="C251" s="43"/>
      <c r="D251" s="232"/>
      <c r="E251" s="45"/>
      <c r="F251" s="45"/>
      <c r="G251" s="46" t="s">
        <v>113</v>
      </c>
      <c r="H251" s="47" t="s">
        <v>20</v>
      </c>
      <c r="I251" s="67"/>
      <c r="J251" s="67"/>
      <c r="K251" s="233"/>
      <c r="L251" s="53"/>
      <c r="M251" s="54">
        <v>0</v>
      </c>
      <c r="N251" s="53"/>
    </row>
    <row r="252" spans="1:14" ht="21.75" customHeight="1" x14ac:dyDescent="0.4">
      <c r="A252" s="230"/>
      <c r="B252" s="231"/>
      <c r="C252" s="43"/>
      <c r="D252" s="232"/>
      <c r="E252" s="45"/>
      <c r="F252" s="45"/>
      <c r="G252" s="46" t="s">
        <v>114</v>
      </c>
      <c r="H252" s="47" t="s">
        <v>20</v>
      </c>
      <c r="I252" s="67"/>
      <c r="J252" s="67"/>
      <c r="K252" s="233"/>
      <c r="L252" s="53"/>
      <c r="M252" s="54">
        <v>11000</v>
      </c>
      <c r="N252" s="53"/>
    </row>
    <row r="253" spans="1:14" ht="21.75" customHeight="1" x14ac:dyDescent="0.4">
      <c r="A253" s="230"/>
      <c r="B253" s="231"/>
      <c r="C253" s="43"/>
      <c r="D253" s="232"/>
      <c r="E253" s="45"/>
      <c r="F253" s="45"/>
      <c r="G253" s="46" t="s">
        <v>115</v>
      </c>
      <c r="H253" s="47" t="s">
        <v>20</v>
      </c>
      <c r="I253" s="67"/>
      <c r="J253" s="67"/>
      <c r="K253" s="233"/>
      <c r="L253" s="53"/>
      <c r="M253" s="54">
        <v>1960</v>
      </c>
      <c r="N253" s="53"/>
    </row>
    <row r="254" spans="1:14" ht="21.75" customHeight="1" x14ac:dyDescent="0.4">
      <c r="A254" s="55"/>
      <c r="B254" s="56"/>
      <c r="C254" s="43" t="s">
        <v>17</v>
      </c>
      <c r="D254" s="57" t="s">
        <v>25</v>
      </c>
      <c r="E254" s="58"/>
      <c r="F254" s="58"/>
      <c r="G254" s="59"/>
      <c r="H254" s="60"/>
      <c r="I254" s="48"/>
      <c r="J254" s="48"/>
      <c r="K254" s="49"/>
      <c r="L254" s="61"/>
      <c r="M254" s="61"/>
      <c r="N254" s="61"/>
    </row>
    <row r="255" spans="1:14" ht="21.75" customHeight="1" x14ac:dyDescent="0.4">
      <c r="A255" s="55"/>
      <c r="B255" s="56"/>
      <c r="C255" s="56"/>
      <c r="D255" s="62">
        <v>1</v>
      </c>
      <c r="E255" s="63" t="s">
        <v>26</v>
      </c>
      <c r="F255" s="64"/>
      <c r="G255" s="65"/>
      <c r="H255" s="66"/>
      <c r="I255" s="67"/>
      <c r="J255" s="68">
        <v>0</v>
      </c>
      <c r="K255" s="49"/>
      <c r="L255" s="61"/>
      <c r="M255" s="61"/>
      <c r="N255" s="61"/>
    </row>
    <row r="256" spans="1:14" ht="21.75" customHeight="1" x14ac:dyDescent="0.4">
      <c r="A256" s="55"/>
      <c r="B256" s="56"/>
      <c r="C256" s="56"/>
      <c r="D256" s="69">
        <v>2</v>
      </c>
      <c r="E256" s="70" t="s">
        <v>27</v>
      </c>
      <c r="F256" s="71"/>
      <c r="G256" s="72"/>
      <c r="H256" s="66"/>
      <c r="I256" s="67"/>
      <c r="J256" s="68">
        <v>1</v>
      </c>
      <c r="K256" s="49"/>
      <c r="L256" s="61" t="s">
        <v>21</v>
      </c>
      <c r="M256" s="61" t="s">
        <v>21</v>
      </c>
      <c r="N256" s="61"/>
    </row>
    <row r="257" spans="1:14" ht="21.75" customHeight="1" x14ac:dyDescent="0.4">
      <c r="A257" s="55"/>
      <c r="B257" s="56"/>
      <c r="C257" s="56"/>
      <c r="D257" s="73"/>
      <c r="E257" s="74" t="s">
        <v>28</v>
      </c>
      <c r="F257" s="75"/>
      <c r="G257" s="76"/>
      <c r="H257" s="66"/>
      <c r="I257" s="67"/>
      <c r="J257" s="68">
        <v>1</v>
      </c>
      <c r="K257" s="49"/>
      <c r="L257" s="61"/>
      <c r="M257" s="61"/>
      <c r="N257" s="61"/>
    </row>
    <row r="258" spans="1:14" ht="21.75" customHeight="1" x14ac:dyDescent="0.4">
      <c r="A258" s="55"/>
      <c r="B258" s="56"/>
      <c r="C258" s="56"/>
      <c r="D258" s="73"/>
      <c r="E258" s="74" t="s">
        <v>29</v>
      </c>
      <c r="F258" s="75"/>
      <c r="G258" s="76"/>
      <c r="H258" s="66"/>
      <c r="I258" s="67"/>
      <c r="J258" s="68">
        <v>1</v>
      </c>
      <c r="K258" s="49"/>
      <c r="L258" s="61"/>
      <c r="M258" s="61"/>
      <c r="N258" s="61"/>
    </row>
    <row r="259" spans="1:14" ht="21.75" hidden="1" customHeight="1" x14ac:dyDescent="0.4">
      <c r="A259" s="55"/>
      <c r="B259" s="56"/>
      <c r="C259" s="56"/>
      <c r="D259" s="73"/>
      <c r="E259" s="77"/>
      <c r="F259" s="74" t="s">
        <v>50</v>
      </c>
      <c r="G259" s="76"/>
      <c r="H259" s="60"/>
      <c r="I259" s="67"/>
      <c r="J259" s="67">
        <f>+J260+J263+J268</f>
        <v>0</v>
      </c>
      <c r="K259" s="49"/>
      <c r="L259" s="61"/>
      <c r="M259" s="61"/>
      <c r="N259" s="61"/>
    </row>
    <row r="260" spans="1:14" ht="21.75" hidden="1" customHeight="1" x14ac:dyDescent="0.4">
      <c r="A260" s="55"/>
      <c r="B260" s="56"/>
      <c r="C260" s="56"/>
      <c r="D260" s="73"/>
      <c r="E260" s="77"/>
      <c r="F260" s="75"/>
      <c r="G260" s="99" t="s">
        <v>116</v>
      </c>
      <c r="H260" s="60" t="s">
        <v>16</v>
      </c>
      <c r="I260" s="67">
        <f ca="1">IFERROR(__xludf.DUMMYFUNCTION("IMPORTRANGE(""https://docs.google.com/spreadsheets/d/1C3CXT74ZlgGe6_JY_1olB1XN4rF0dxEuIIF-xsYjHgg/edit?usp=sharing"",""งบกองทุน!f24"")"),0)</f>
        <v>0</v>
      </c>
      <c r="J260" s="67">
        <v>0</v>
      </c>
      <c r="K260" s="49">
        <f ca="1">IF(I260&gt;0,J260*100/I260,0)</f>
        <v>0</v>
      </c>
      <c r="L260" s="61"/>
      <c r="M260" s="61"/>
      <c r="N260" s="61"/>
    </row>
    <row r="261" spans="1:14" ht="21.75" hidden="1" customHeight="1" x14ac:dyDescent="0.4">
      <c r="A261" s="55"/>
      <c r="B261" s="56"/>
      <c r="C261" s="56"/>
      <c r="D261" s="73"/>
      <c r="E261" s="77"/>
      <c r="F261" s="75"/>
      <c r="G261" s="76" t="s">
        <v>117</v>
      </c>
      <c r="H261" s="60"/>
      <c r="I261" s="48"/>
      <c r="J261" s="67"/>
      <c r="K261" s="49"/>
      <c r="L261" s="61"/>
      <c r="M261" s="61"/>
      <c r="N261" s="61"/>
    </row>
    <row r="262" spans="1:14" ht="21.75" hidden="1" customHeight="1" x14ac:dyDescent="0.4">
      <c r="A262" s="55"/>
      <c r="B262" s="56"/>
      <c r="C262" s="56"/>
      <c r="D262" s="73"/>
      <c r="E262" s="77"/>
      <c r="F262" s="75"/>
      <c r="G262" s="99" t="s">
        <v>118</v>
      </c>
      <c r="H262" s="66" t="s">
        <v>103</v>
      </c>
      <c r="I262" s="67">
        <f t="shared" ref="I262:J262" ca="1" si="59">SUM(I264,I266)</f>
        <v>110</v>
      </c>
      <c r="J262" s="67">
        <f t="shared" si="59"/>
        <v>0</v>
      </c>
      <c r="K262" s="49">
        <f t="shared" ref="K262:K268" ca="1" si="60">IF(I262&gt;0,J262*100/I262,0)</f>
        <v>0</v>
      </c>
      <c r="L262" s="61"/>
      <c r="M262" s="61"/>
      <c r="N262" s="61"/>
    </row>
    <row r="263" spans="1:14" ht="21.75" customHeight="1" x14ac:dyDescent="0.4">
      <c r="A263" s="55"/>
      <c r="B263" s="56"/>
      <c r="C263" s="56"/>
      <c r="D263" s="73"/>
      <c r="E263" s="77"/>
      <c r="F263" s="99" t="s">
        <v>119</v>
      </c>
      <c r="G263" s="76"/>
      <c r="H263" s="66" t="s">
        <v>16</v>
      </c>
      <c r="I263" s="48">
        <f ca="1">IFERROR(__xludf.DUMMYFUNCTION("IMPORTRANGE(""https://docs.google.com/spreadsheets/d/1C3CXT74ZlgGe6_JY_1olB1XN4rF0dxEuIIF-xsYjHgg/edit?usp=sharing"",""งบกองทุน!H24"")"),55)</f>
        <v>55</v>
      </c>
      <c r="J263" s="67">
        <f>J267</f>
        <v>0</v>
      </c>
      <c r="K263" s="49">
        <f t="shared" ca="1" si="60"/>
        <v>0</v>
      </c>
      <c r="L263" s="61"/>
      <c r="M263" s="61"/>
      <c r="N263" s="61"/>
    </row>
    <row r="264" spans="1:14" ht="21.75" hidden="1" customHeight="1" x14ac:dyDescent="0.4">
      <c r="A264" s="55"/>
      <c r="B264" s="56"/>
      <c r="C264" s="56"/>
      <c r="D264" s="73"/>
      <c r="E264" s="77"/>
      <c r="F264" s="75"/>
      <c r="H264" s="60" t="s">
        <v>103</v>
      </c>
      <c r="I264" s="48">
        <f ca="1">IFERROR(__xludf.DUMMYFUNCTION("IMPORTRANGE(""https://docs.google.com/spreadsheets/d/1C3CXT74ZlgGe6_JY_1olB1XN4rF0dxEuIIF-xsYjHgg/edit?usp=sharing"",""งบกองทุน!i24"")"),70)</f>
        <v>70</v>
      </c>
      <c r="J264" s="68">
        <v>0</v>
      </c>
      <c r="K264" s="49">
        <f t="shared" ca="1" si="60"/>
        <v>0</v>
      </c>
      <c r="L264" s="61"/>
      <c r="M264" s="61"/>
      <c r="N264" s="61"/>
    </row>
    <row r="265" spans="1:14" ht="21.75" customHeight="1" x14ac:dyDescent="0.4">
      <c r="A265" s="55"/>
      <c r="B265" s="56"/>
      <c r="C265" s="56"/>
      <c r="D265" s="73"/>
      <c r="E265" s="77"/>
      <c r="F265" s="75"/>
      <c r="G265" s="99" t="s">
        <v>219</v>
      </c>
      <c r="H265" s="60" t="s">
        <v>16</v>
      </c>
      <c r="I265" s="48">
        <f ca="1">I263</f>
        <v>55</v>
      </c>
      <c r="J265" s="68">
        <v>0</v>
      </c>
      <c r="K265" s="49">
        <f t="shared" ca="1" si="60"/>
        <v>0</v>
      </c>
      <c r="L265" s="61"/>
      <c r="M265" s="61"/>
      <c r="N265" s="61"/>
    </row>
    <row r="266" spans="1:14" ht="21.75" hidden="1" customHeight="1" x14ac:dyDescent="0.4">
      <c r="A266" s="55"/>
      <c r="B266" s="56"/>
      <c r="C266" s="56"/>
      <c r="D266" s="73"/>
      <c r="E266" s="77"/>
      <c r="F266" s="75"/>
      <c r="G266" s="76"/>
      <c r="H266" s="60" t="s">
        <v>103</v>
      </c>
      <c r="I266" s="48">
        <f ca="1">IFERROR(__xludf.DUMMYFUNCTION("IMPORTRANGE(""https://docs.google.com/spreadsheets/d/1C3CXT74ZlgGe6_JY_1olB1XN4rF0dxEuIIF-xsYjHgg/edit?usp=sharing"",""งบกองทุน!k24"")"),40)</f>
        <v>40</v>
      </c>
      <c r="J266" s="68">
        <v>0</v>
      </c>
      <c r="K266" s="49">
        <f t="shared" ca="1" si="60"/>
        <v>0</v>
      </c>
      <c r="L266" s="61"/>
      <c r="M266" s="61"/>
      <c r="N266" s="61"/>
    </row>
    <row r="267" spans="1:14" ht="21.75" customHeight="1" x14ac:dyDescent="0.4">
      <c r="A267" s="55"/>
      <c r="B267" s="56"/>
      <c r="C267" s="56"/>
      <c r="D267" s="73"/>
      <c r="E267" s="77"/>
      <c r="F267" s="75"/>
      <c r="G267" s="76" t="s">
        <v>220</v>
      </c>
      <c r="H267" s="60" t="s">
        <v>16</v>
      </c>
      <c r="I267" s="48">
        <f ca="1">I265</f>
        <v>55</v>
      </c>
      <c r="J267" s="68">
        <v>0</v>
      </c>
      <c r="K267" s="49">
        <f t="shared" ca="1" si="60"/>
        <v>0</v>
      </c>
      <c r="L267" s="61"/>
      <c r="M267" s="61"/>
      <c r="N267" s="61"/>
    </row>
    <row r="268" spans="1:14" ht="21.75" hidden="1" customHeight="1" x14ac:dyDescent="0.4">
      <c r="A268" s="55"/>
      <c r="B268" s="56"/>
      <c r="C268" s="56"/>
      <c r="D268" s="73"/>
      <c r="E268" s="77"/>
      <c r="F268" s="75"/>
      <c r="G268" s="99" t="s">
        <v>122</v>
      </c>
      <c r="H268" s="60" t="s">
        <v>16</v>
      </c>
      <c r="I268" s="67">
        <f ca="1">IFERROR(__xludf.DUMMYFUNCTION("IMPORTRANGE(""https://docs.google.com/spreadsheets/d/1C3CXT74ZlgGe6_JY_1olB1XN4rF0dxEuIIF-xsYjHgg/edit?usp=sharing"",""งบกองทุน!m24"")"),0)</f>
        <v>0</v>
      </c>
      <c r="J268" s="67">
        <v>0</v>
      </c>
      <c r="K268" s="49">
        <f t="shared" ca="1" si="60"/>
        <v>0</v>
      </c>
      <c r="L268" s="61"/>
      <c r="M268" s="61"/>
      <c r="N268" s="61"/>
    </row>
    <row r="269" spans="1:14" ht="21.75" hidden="1" customHeight="1" x14ac:dyDescent="0.4">
      <c r="A269" s="55"/>
      <c r="B269" s="56"/>
      <c r="C269" s="56"/>
      <c r="D269" s="73"/>
      <c r="E269" s="77"/>
      <c r="F269" s="75"/>
      <c r="G269" s="76" t="s">
        <v>123</v>
      </c>
      <c r="H269" s="60"/>
      <c r="I269" s="67"/>
      <c r="J269" s="67"/>
      <c r="K269" s="49"/>
      <c r="L269" s="61"/>
      <c r="M269" s="61"/>
      <c r="N269" s="61"/>
    </row>
    <row r="270" spans="1:14" ht="21.75" customHeight="1" x14ac:dyDescent="0.4">
      <c r="A270" s="55"/>
      <c r="B270" s="56"/>
      <c r="C270" s="56"/>
      <c r="D270" s="73"/>
      <c r="E270" s="75"/>
      <c r="F270" s="74" t="s">
        <v>34</v>
      </c>
      <c r="G270" s="76"/>
      <c r="H270" s="66" t="s">
        <v>103</v>
      </c>
      <c r="I270" s="67">
        <f t="shared" ref="I270:J270" ca="1" si="61">SUM(I271:I272)</f>
        <v>110</v>
      </c>
      <c r="J270" s="67">
        <f t="shared" si="61"/>
        <v>0</v>
      </c>
      <c r="K270" s="49">
        <f t="shared" ref="K270:K272" ca="1" si="62">IF(I270&gt;0,J270*100/I270,0)</f>
        <v>0</v>
      </c>
      <c r="L270" s="61"/>
      <c r="M270" s="61"/>
      <c r="N270" s="61"/>
    </row>
    <row r="271" spans="1:14" ht="21.75" customHeight="1" x14ac:dyDescent="0.4">
      <c r="A271" s="55"/>
      <c r="B271" s="56"/>
      <c r="C271" s="56"/>
      <c r="D271" s="73"/>
      <c r="E271" s="75"/>
      <c r="F271" s="75"/>
      <c r="G271" s="76" t="s">
        <v>124</v>
      </c>
      <c r="H271" s="66" t="s">
        <v>103</v>
      </c>
      <c r="I271" s="67">
        <f ca="1">IFERROR(__xludf.DUMMYFUNCTION("IMPORTRANGE(""https://docs.google.com/spreadsheets/d/1C3CXT74ZlgGe6_JY_1olB1XN4rF0dxEuIIF-xsYjHgg/edit?usp=sharing"",""งบกองทุน!o24"")"),40)</f>
        <v>40</v>
      </c>
      <c r="J271" s="68">
        <v>0</v>
      </c>
      <c r="K271" s="49">
        <f t="shared" ca="1" si="62"/>
        <v>0</v>
      </c>
      <c r="L271" s="61"/>
      <c r="M271" s="61"/>
      <c r="N271" s="61"/>
    </row>
    <row r="272" spans="1:14" ht="21.75" customHeight="1" x14ac:dyDescent="0.4">
      <c r="A272" s="55"/>
      <c r="B272" s="56"/>
      <c r="C272" s="56"/>
      <c r="D272" s="73"/>
      <c r="E272" s="75"/>
      <c r="F272" s="75"/>
      <c r="G272" s="76" t="s">
        <v>125</v>
      </c>
      <c r="H272" s="66" t="s">
        <v>103</v>
      </c>
      <c r="I272" s="67">
        <f ca="1">IFERROR(__xludf.DUMMYFUNCTION("IMPORTRANGE(""https://docs.google.com/spreadsheets/d/1C3CXT74ZlgGe6_JY_1olB1XN4rF0dxEuIIF-xsYjHgg/edit?usp=sharing"",""งบกองทุน!p24"")"),70)</f>
        <v>70</v>
      </c>
      <c r="J272" s="68">
        <v>0</v>
      </c>
      <c r="K272" s="49">
        <f t="shared" ca="1" si="62"/>
        <v>0</v>
      </c>
      <c r="L272" s="61"/>
      <c r="M272" s="61"/>
      <c r="N272" s="61"/>
    </row>
    <row r="273" spans="1:14" ht="21.75" customHeight="1" x14ac:dyDescent="0.4">
      <c r="A273" s="55"/>
      <c r="B273" s="56"/>
      <c r="C273" s="56"/>
      <c r="D273" s="73"/>
      <c r="E273" s="74" t="s">
        <v>35</v>
      </c>
      <c r="F273" s="75"/>
      <c r="G273" s="76"/>
      <c r="H273" s="66"/>
      <c r="I273" s="67"/>
      <c r="J273" s="68">
        <v>0</v>
      </c>
      <c r="K273" s="49"/>
      <c r="L273" s="61"/>
      <c r="M273" s="61"/>
      <c r="N273" s="61"/>
    </row>
    <row r="274" spans="1:14" ht="21.75" customHeight="1" x14ac:dyDescent="0.4">
      <c r="A274" s="55"/>
      <c r="B274" s="56"/>
      <c r="C274" s="56"/>
      <c r="D274" s="81">
        <v>3</v>
      </c>
      <c r="E274" s="82" t="s">
        <v>36</v>
      </c>
      <c r="F274" s="83"/>
      <c r="G274" s="84"/>
      <c r="H274" s="66"/>
      <c r="I274" s="67"/>
      <c r="J274" s="85">
        <v>0</v>
      </c>
      <c r="K274" s="49"/>
      <c r="L274" s="61"/>
      <c r="M274" s="61"/>
      <c r="N274" s="61"/>
    </row>
    <row r="275" spans="1:14" ht="21.75" customHeight="1" x14ac:dyDescent="0.4">
      <c r="A275" s="222"/>
      <c r="B275" s="223">
        <v>2</v>
      </c>
      <c r="C275" s="224" t="s">
        <v>126</v>
      </c>
      <c r="D275" s="224"/>
      <c r="E275" s="234"/>
      <c r="F275" s="234"/>
      <c r="G275" s="235"/>
      <c r="H275" s="226" t="s">
        <v>103</v>
      </c>
      <c r="I275" s="227">
        <f ca="1">I292</f>
        <v>1000</v>
      </c>
      <c r="J275" s="227">
        <f>+J292</f>
        <v>0</v>
      </c>
      <c r="K275" s="228">
        <f t="shared" ref="K275:K276" ca="1" si="63">IF(I275&gt;0,J275*100/I275,0)</f>
        <v>0</v>
      </c>
      <c r="L275" s="229">
        <f t="shared" ref="L275:M275" ca="1" si="64">SUM(L277:L278)</f>
        <v>1028520</v>
      </c>
      <c r="M275" s="229">
        <f t="shared" si="64"/>
        <v>11000</v>
      </c>
      <c r="N275" s="229">
        <f ca="1">+IF(L275&gt;0,M275*100/L275,0)</f>
        <v>1.0694979193404115</v>
      </c>
    </row>
    <row r="276" spans="1:14" ht="21.75" customHeight="1" x14ac:dyDescent="0.4">
      <c r="A276" s="222"/>
      <c r="B276" s="223"/>
      <c r="C276" s="224"/>
      <c r="D276" s="236"/>
      <c r="E276" s="237"/>
      <c r="F276" s="237"/>
      <c r="G276" s="238"/>
      <c r="H276" s="226" t="s">
        <v>16</v>
      </c>
      <c r="I276" s="227">
        <f ca="1">I291</f>
        <v>100</v>
      </c>
      <c r="J276" s="227">
        <f>+J291</f>
        <v>0</v>
      </c>
      <c r="K276" s="228">
        <f t="shared" ca="1" si="63"/>
        <v>0</v>
      </c>
      <c r="L276" s="229"/>
      <c r="M276" s="229"/>
      <c r="N276" s="229"/>
    </row>
    <row r="277" spans="1:14" ht="21.75" customHeight="1" x14ac:dyDescent="0.4">
      <c r="A277" s="42"/>
      <c r="B277" s="43"/>
      <c r="C277" s="43" t="s">
        <v>17</v>
      </c>
      <c r="D277" s="44" t="s">
        <v>18</v>
      </c>
      <c r="E277" s="45"/>
      <c r="F277" s="45"/>
      <c r="G277" s="46" t="s">
        <v>19</v>
      </c>
      <c r="H277" s="47" t="s">
        <v>20</v>
      </c>
      <c r="I277" s="48" t="s">
        <v>21</v>
      </c>
      <c r="J277" s="48"/>
      <c r="K277" s="49"/>
      <c r="L277" s="50">
        <v>0</v>
      </c>
      <c r="M277" s="50">
        <v>0</v>
      </c>
      <c r="N277" s="50">
        <f t="shared" ref="N277:N280" si="65">+IF(L277&gt;0,M277*100/L277,0)</f>
        <v>0</v>
      </c>
    </row>
    <row r="278" spans="1:14" ht="21.75" customHeight="1" x14ac:dyDescent="0.4">
      <c r="A278" s="42"/>
      <c r="B278" s="43"/>
      <c r="C278" s="43"/>
      <c r="D278" s="51"/>
      <c r="E278" s="45"/>
      <c r="F278" s="45" t="s">
        <v>21</v>
      </c>
      <c r="G278" s="46" t="s">
        <v>22</v>
      </c>
      <c r="H278" s="47" t="s">
        <v>20</v>
      </c>
      <c r="I278" s="48"/>
      <c r="J278" s="48"/>
      <c r="K278" s="49"/>
      <c r="L278" s="50">
        <f t="shared" ref="L278:M278" ca="1" si="66">SUM(L279:L280)</f>
        <v>1028520</v>
      </c>
      <c r="M278" s="50">
        <f t="shared" si="66"/>
        <v>11000</v>
      </c>
      <c r="N278" s="50">
        <f t="shared" ca="1" si="65"/>
        <v>1.0694979193404115</v>
      </c>
    </row>
    <row r="279" spans="1:14" ht="21.75" customHeight="1" x14ac:dyDescent="0.4">
      <c r="A279" s="42"/>
      <c r="B279" s="43"/>
      <c r="C279" s="43"/>
      <c r="D279" s="51"/>
      <c r="E279" s="45"/>
      <c r="F279" s="45"/>
      <c r="G279" s="52" t="s">
        <v>110</v>
      </c>
      <c r="H279" s="47" t="s">
        <v>20</v>
      </c>
      <c r="I279" s="48"/>
      <c r="J279" s="48"/>
      <c r="K279" s="49"/>
      <c r="L279" s="53">
        <f ca="1">IFERROR(__xludf.DUMMYFUNCTION("IMPORTRANGE(""https://docs.google.com/spreadsheets/d/1C3CXT74ZlgGe6_JY_1olB1XN4rF0dxEuIIF-xsYjHgg/edit?usp=sharing"",""งบกองทุน!r24"")"),0)</f>
        <v>0</v>
      </c>
      <c r="M279" s="53">
        <v>0</v>
      </c>
      <c r="N279" s="53">
        <f t="shared" ca="1" si="65"/>
        <v>0</v>
      </c>
    </row>
    <row r="280" spans="1:14" ht="21.75" customHeight="1" x14ac:dyDescent="0.4">
      <c r="A280" s="42"/>
      <c r="B280" s="43"/>
      <c r="C280" s="43"/>
      <c r="D280" s="51"/>
      <c r="E280" s="45"/>
      <c r="F280" s="45"/>
      <c r="G280" s="52" t="s">
        <v>111</v>
      </c>
      <c r="H280" s="47" t="s">
        <v>20</v>
      </c>
      <c r="I280" s="48"/>
      <c r="J280" s="48"/>
      <c r="K280" s="49"/>
      <c r="L280" s="53">
        <f ca="1">IFERROR(__xludf.DUMMYFUNCTION("IMPORTRANGE(""https://docs.google.com/spreadsheets/d/1C3CXT74ZlgGe6_JY_1olB1XN4rF0dxEuIIF-xsYjHgg/edit?usp=sharing"",""งบกองทุน!s24"")"),1028520)</f>
        <v>1028520</v>
      </c>
      <c r="M280" s="53">
        <f>SUM(M281:M284)</f>
        <v>11000</v>
      </c>
      <c r="N280" s="53">
        <f t="shared" ca="1" si="65"/>
        <v>1.0694979193404115</v>
      </c>
    </row>
    <row r="281" spans="1:14" ht="21.75" customHeight="1" x14ac:dyDescent="0.4">
      <c r="A281" s="230"/>
      <c r="B281" s="231"/>
      <c r="C281" s="43"/>
      <c r="D281" s="232"/>
      <c r="E281" s="45"/>
      <c r="F281" s="45"/>
      <c r="G281" s="46" t="s">
        <v>112</v>
      </c>
      <c r="H281" s="47" t="s">
        <v>20</v>
      </c>
      <c r="I281" s="67"/>
      <c r="J281" s="67"/>
      <c r="K281" s="233"/>
      <c r="L281" s="53"/>
      <c r="M281" s="54">
        <v>0</v>
      </c>
      <c r="N281" s="53"/>
    </row>
    <row r="282" spans="1:14" ht="21.75" customHeight="1" x14ac:dyDescent="0.4">
      <c r="A282" s="230"/>
      <c r="B282" s="231"/>
      <c r="C282" s="43"/>
      <c r="D282" s="232"/>
      <c r="E282" s="45"/>
      <c r="F282" s="45"/>
      <c r="G282" s="46" t="s">
        <v>113</v>
      </c>
      <c r="H282" s="47" t="s">
        <v>20</v>
      </c>
      <c r="I282" s="67"/>
      <c r="J282" s="67"/>
      <c r="K282" s="233"/>
      <c r="L282" s="53"/>
      <c r="M282" s="54">
        <v>0</v>
      </c>
      <c r="N282" s="53"/>
    </row>
    <row r="283" spans="1:14" ht="21.75" customHeight="1" x14ac:dyDescent="0.4">
      <c r="A283" s="230"/>
      <c r="B283" s="231"/>
      <c r="C283" s="43"/>
      <c r="D283" s="232"/>
      <c r="E283" s="45"/>
      <c r="F283" s="45"/>
      <c r="G283" s="46" t="s">
        <v>114</v>
      </c>
      <c r="H283" s="47" t="s">
        <v>20</v>
      </c>
      <c r="I283" s="67"/>
      <c r="J283" s="67"/>
      <c r="K283" s="233"/>
      <c r="L283" s="53"/>
      <c r="M283" s="54">
        <v>11000</v>
      </c>
      <c r="N283" s="53"/>
    </row>
    <row r="284" spans="1:14" ht="21.75" customHeight="1" x14ac:dyDescent="0.4">
      <c r="A284" s="230"/>
      <c r="B284" s="231"/>
      <c r="C284" s="43"/>
      <c r="D284" s="232"/>
      <c r="E284" s="45"/>
      <c r="F284" s="45"/>
      <c r="G284" s="46" t="s">
        <v>115</v>
      </c>
      <c r="H284" s="47" t="s">
        <v>20</v>
      </c>
      <c r="I284" s="67"/>
      <c r="J284" s="67"/>
      <c r="K284" s="233"/>
      <c r="L284" s="53"/>
      <c r="M284" s="54">
        <v>0</v>
      </c>
      <c r="N284" s="53"/>
    </row>
    <row r="285" spans="1:14" ht="21.75" customHeight="1" x14ac:dyDescent="0.4">
      <c r="A285" s="55"/>
      <c r="B285" s="56"/>
      <c r="C285" s="43" t="s">
        <v>17</v>
      </c>
      <c r="D285" s="57" t="s">
        <v>25</v>
      </c>
      <c r="E285" s="58"/>
      <c r="F285" s="58"/>
      <c r="G285" s="59"/>
      <c r="H285" s="60"/>
      <c r="I285" s="48"/>
      <c r="J285" s="48"/>
      <c r="K285" s="49"/>
      <c r="L285" s="61"/>
      <c r="M285" s="61"/>
      <c r="N285" s="61"/>
    </row>
    <row r="286" spans="1:14" ht="21.75" customHeight="1" x14ac:dyDescent="0.4">
      <c r="A286" s="55"/>
      <c r="B286" s="56"/>
      <c r="C286" s="56"/>
      <c r="D286" s="62">
        <v>1</v>
      </c>
      <c r="E286" s="63" t="s">
        <v>26</v>
      </c>
      <c r="F286" s="64"/>
      <c r="G286" s="65"/>
      <c r="H286" s="66"/>
      <c r="I286" s="67"/>
      <c r="J286" s="68"/>
      <c r="K286" s="49"/>
      <c r="L286" s="61"/>
      <c r="M286" s="61"/>
      <c r="N286" s="61"/>
    </row>
    <row r="287" spans="1:14" ht="21.75" customHeight="1" x14ac:dyDescent="0.4">
      <c r="A287" s="55"/>
      <c r="B287" s="56"/>
      <c r="C287" s="56"/>
      <c r="D287" s="69">
        <v>2</v>
      </c>
      <c r="E287" s="70" t="s">
        <v>27</v>
      </c>
      <c r="F287" s="71"/>
      <c r="G287" s="72"/>
      <c r="H287" s="66"/>
      <c r="I287" s="67"/>
      <c r="J287" s="68">
        <v>1</v>
      </c>
      <c r="K287" s="49"/>
      <c r="L287" s="61" t="s">
        <v>21</v>
      </c>
      <c r="M287" s="61" t="s">
        <v>21</v>
      </c>
      <c r="N287" s="61"/>
    </row>
    <row r="288" spans="1:14" ht="21.75" customHeight="1" x14ac:dyDescent="0.4">
      <c r="A288" s="55"/>
      <c r="B288" s="56"/>
      <c r="C288" s="56"/>
      <c r="D288" s="73"/>
      <c r="E288" s="74" t="s">
        <v>28</v>
      </c>
      <c r="F288" s="75"/>
      <c r="G288" s="76"/>
      <c r="H288" s="66"/>
      <c r="I288" s="67"/>
      <c r="J288" s="68">
        <v>1</v>
      </c>
      <c r="K288" s="49"/>
      <c r="L288" s="61"/>
      <c r="M288" s="61"/>
      <c r="N288" s="61"/>
    </row>
    <row r="289" spans="1:14" ht="21.75" customHeight="1" x14ac:dyDescent="0.4">
      <c r="A289" s="55"/>
      <c r="B289" s="56"/>
      <c r="C289" s="56"/>
      <c r="D289" s="73"/>
      <c r="E289" s="74" t="s">
        <v>29</v>
      </c>
      <c r="F289" s="75"/>
      <c r="G289" s="76"/>
      <c r="H289" s="66"/>
      <c r="I289" s="67"/>
      <c r="J289" s="68">
        <v>1</v>
      </c>
      <c r="K289" s="49"/>
      <c r="L289" s="61"/>
      <c r="M289" s="61"/>
      <c r="N289" s="61"/>
    </row>
    <row r="290" spans="1:14" ht="21.75" customHeight="1" x14ac:dyDescent="0.4">
      <c r="A290" s="55"/>
      <c r="B290" s="56"/>
      <c r="C290" s="56"/>
      <c r="D290" s="73"/>
      <c r="E290" s="77"/>
      <c r="F290" s="74" t="s">
        <v>127</v>
      </c>
      <c r="G290" s="75"/>
      <c r="H290" s="66"/>
      <c r="I290" s="67"/>
      <c r="J290" s="67"/>
      <c r="K290" s="49"/>
      <c r="L290" s="61"/>
      <c r="M290" s="61"/>
      <c r="N290" s="61"/>
    </row>
    <row r="291" spans="1:14" ht="21.75" customHeight="1" x14ac:dyDescent="0.4">
      <c r="A291" s="55"/>
      <c r="B291" s="56"/>
      <c r="C291" s="56"/>
      <c r="D291" s="73"/>
      <c r="E291" s="77"/>
      <c r="F291" s="75"/>
      <c r="G291" s="99" t="s">
        <v>50</v>
      </c>
      <c r="H291" s="66" t="s">
        <v>16</v>
      </c>
      <c r="I291" s="67">
        <f ca="1">IFERROR(__xludf.DUMMYFUNCTION("IMPORTRANGE(""https://docs.google.com/spreadsheets/d/1C3CXT74ZlgGe6_JY_1olB1XN4rF0dxEuIIF-xsYjHgg/edit?usp=sharing"",""งบกองทุน!v24"")"),100)</f>
        <v>100</v>
      </c>
      <c r="J291" s="68">
        <v>0</v>
      </c>
      <c r="K291" s="49">
        <f t="shared" ref="K291:K293" ca="1" si="67">IF(I291&gt;0,J291*100/I291,0)</f>
        <v>0</v>
      </c>
      <c r="L291" s="61"/>
      <c r="M291" s="61"/>
      <c r="N291" s="61"/>
    </row>
    <row r="292" spans="1:14" ht="21.75" customHeight="1" x14ac:dyDescent="0.4">
      <c r="A292" s="55"/>
      <c r="B292" s="56"/>
      <c r="C292" s="56"/>
      <c r="D292" s="73"/>
      <c r="E292" s="77"/>
      <c r="F292" s="75"/>
      <c r="G292" s="76" t="s">
        <v>34</v>
      </c>
      <c r="H292" s="66" t="s">
        <v>103</v>
      </c>
      <c r="I292" s="67">
        <f ca="1">IFERROR(__xludf.DUMMYFUNCTION("IMPORTRANGE(""https://docs.google.com/spreadsheets/d/1C3CXT74ZlgGe6_JY_1olB1XN4rF0dxEuIIF-xsYjHgg/edit?usp=sharing"",""งบกองทุน!w24"")"),1000)</f>
        <v>1000</v>
      </c>
      <c r="J292" s="68">
        <v>0</v>
      </c>
      <c r="K292" s="49">
        <f t="shared" ca="1" si="67"/>
        <v>0</v>
      </c>
      <c r="L292" s="61"/>
      <c r="M292" s="61"/>
      <c r="N292" s="61"/>
    </row>
    <row r="293" spans="1:14" ht="21.75" customHeight="1" x14ac:dyDescent="0.4">
      <c r="A293" s="55"/>
      <c r="B293" s="56"/>
      <c r="C293" s="56"/>
      <c r="D293" s="73"/>
      <c r="E293" s="77"/>
      <c r="F293" s="75"/>
      <c r="G293" s="76"/>
      <c r="H293" s="66" t="s">
        <v>16</v>
      </c>
      <c r="I293" s="67">
        <f ca="1">IFERROR(__xludf.DUMMYFUNCTION("IMPORTRANGE(""https://docs.google.com/spreadsheets/d/1C3CXT74ZlgGe6_JY_1olB1XN4rF0dxEuIIF-xsYjHgg/edit?usp=sharing"",""งบกองทุน!x24"")"),100)</f>
        <v>100</v>
      </c>
      <c r="J293" s="68">
        <v>0</v>
      </c>
      <c r="K293" s="49">
        <f t="shared" ca="1" si="67"/>
        <v>0</v>
      </c>
      <c r="L293" s="61"/>
      <c r="M293" s="61"/>
      <c r="N293" s="61"/>
    </row>
    <row r="294" spans="1:14" ht="21.75" customHeight="1" x14ac:dyDescent="0.4">
      <c r="A294" s="55"/>
      <c r="B294" s="56"/>
      <c r="C294" s="56"/>
      <c r="D294" s="73"/>
      <c r="E294" s="74" t="s">
        <v>35</v>
      </c>
      <c r="F294" s="75"/>
      <c r="G294" s="76"/>
      <c r="H294" s="66"/>
      <c r="I294" s="67"/>
      <c r="J294" s="68">
        <v>0</v>
      </c>
      <c r="K294" s="49"/>
      <c r="L294" s="61"/>
      <c r="M294" s="61"/>
      <c r="N294" s="61"/>
    </row>
    <row r="295" spans="1:14" ht="21.75" customHeight="1" x14ac:dyDescent="0.4">
      <c r="A295" s="55"/>
      <c r="B295" s="56"/>
      <c r="C295" s="56"/>
      <c r="D295" s="81">
        <v>3</v>
      </c>
      <c r="E295" s="82" t="s">
        <v>36</v>
      </c>
      <c r="F295" s="83"/>
      <c r="G295" s="84"/>
      <c r="H295" s="66"/>
      <c r="I295" s="67"/>
      <c r="J295" s="85">
        <v>0</v>
      </c>
      <c r="K295" s="49"/>
      <c r="L295" s="61"/>
      <c r="M295" s="61"/>
      <c r="N295" s="61"/>
    </row>
    <row r="296" spans="1:14" ht="21.75" customHeight="1" x14ac:dyDescent="0.4">
      <c r="A296" s="222"/>
      <c r="B296" s="223">
        <v>3</v>
      </c>
      <c r="C296" s="223" t="s">
        <v>128</v>
      </c>
      <c r="D296" s="224"/>
      <c r="E296" s="224"/>
      <c r="F296" s="224"/>
      <c r="G296" s="225"/>
      <c r="H296" s="226" t="s">
        <v>103</v>
      </c>
      <c r="I296" s="227">
        <f ca="1">SUM(I313,I317,I322)</f>
        <v>135</v>
      </c>
      <c r="J296" s="227">
        <f>J313+J317+J322</f>
        <v>30</v>
      </c>
      <c r="K296" s="228">
        <f t="shared" ref="K296:K297" ca="1" si="68">IF(I296&gt;0,J296*100/I296,0)</f>
        <v>22.222222222222221</v>
      </c>
      <c r="L296" s="229">
        <f t="shared" ref="L296:M296" ca="1" si="69">SUM(L298:L299)</f>
        <v>159950</v>
      </c>
      <c r="M296" s="229">
        <f t="shared" si="69"/>
        <v>18950</v>
      </c>
      <c r="N296" s="229">
        <f ca="1">+IF(L296&gt;0,M296*100/L296,0)</f>
        <v>11.847452328852766</v>
      </c>
    </row>
    <row r="297" spans="1:14" ht="21.75" customHeight="1" x14ac:dyDescent="0.4">
      <c r="A297" s="222"/>
      <c r="B297" s="223"/>
      <c r="C297" s="223"/>
      <c r="D297" s="236"/>
      <c r="E297" s="236"/>
      <c r="F297" s="236"/>
      <c r="G297" s="239"/>
      <c r="H297" s="226" t="s">
        <v>16</v>
      </c>
      <c r="I297" s="227">
        <f ca="1">SUM(I312,I316,I321)</f>
        <v>45</v>
      </c>
      <c r="J297" s="227">
        <f ca="1">J311</f>
        <v>10</v>
      </c>
      <c r="K297" s="228">
        <f t="shared" ca="1" si="68"/>
        <v>22.222222222222221</v>
      </c>
      <c r="L297" s="229"/>
      <c r="M297" s="229"/>
      <c r="N297" s="229"/>
    </row>
    <row r="298" spans="1:14" ht="21.75" customHeight="1" x14ac:dyDescent="0.4">
      <c r="A298" s="42"/>
      <c r="B298" s="43"/>
      <c r="C298" s="43" t="s">
        <v>17</v>
      </c>
      <c r="D298" s="44" t="s">
        <v>18</v>
      </c>
      <c r="E298" s="45"/>
      <c r="F298" s="45"/>
      <c r="G298" s="46" t="s">
        <v>19</v>
      </c>
      <c r="H298" s="47" t="s">
        <v>20</v>
      </c>
      <c r="I298" s="48" t="s">
        <v>21</v>
      </c>
      <c r="J298" s="48"/>
      <c r="K298" s="49"/>
      <c r="L298" s="50">
        <v>0</v>
      </c>
      <c r="M298" s="53">
        <v>0</v>
      </c>
      <c r="N298" s="53">
        <f t="shared" ref="N298:N301" si="70">+IF(L298&gt;0,M298*100/L298,0)</f>
        <v>0</v>
      </c>
    </row>
    <row r="299" spans="1:14" ht="21.75" customHeight="1" x14ac:dyDescent="0.4">
      <c r="A299" s="42"/>
      <c r="B299" s="43"/>
      <c r="C299" s="43"/>
      <c r="D299" s="51"/>
      <c r="E299" s="45"/>
      <c r="F299" s="45" t="s">
        <v>21</v>
      </c>
      <c r="G299" s="46" t="s">
        <v>22</v>
      </c>
      <c r="H299" s="47" t="s">
        <v>20</v>
      </c>
      <c r="I299" s="48"/>
      <c r="J299" s="48"/>
      <c r="K299" s="49"/>
      <c r="L299" s="50">
        <f t="shared" ref="L299:M299" ca="1" si="71">SUM(L300:L301)</f>
        <v>159950</v>
      </c>
      <c r="M299" s="53">
        <f t="shared" si="71"/>
        <v>18950</v>
      </c>
      <c r="N299" s="53">
        <f t="shared" ca="1" si="70"/>
        <v>11.847452328852766</v>
      </c>
    </row>
    <row r="300" spans="1:14" ht="21.75" customHeight="1" x14ac:dyDescent="0.4">
      <c r="A300" s="42"/>
      <c r="B300" s="43"/>
      <c r="C300" s="43"/>
      <c r="D300" s="51"/>
      <c r="E300" s="45"/>
      <c r="F300" s="45"/>
      <c r="G300" s="52" t="s">
        <v>110</v>
      </c>
      <c r="H300" s="47" t="s">
        <v>20</v>
      </c>
      <c r="I300" s="48"/>
      <c r="J300" s="48"/>
      <c r="K300" s="49"/>
      <c r="L300" s="53">
        <f ca="1">IFERROR(__xludf.DUMMYFUNCTION("IMPORTRANGE(""https://docs.google.com/spreadsheets/d/1C3CXT74ZlgGe6_JY_1olB1XN4rF0dxEuIIF-xsYjHgg/edit?usp=sharing"",""งบกองทุน!z24"")"),0)</f>
        <v>0</v>
      </c>
      <c r="M300" s="53">
        <v>0</v>
      </c>
      <c r="N300" s="53">
        <f t="shared" ca="1" si="70"/>
        <v>0</v>
      </c>
    </row>
    <row r="301" spans="1:14" ht="21.75" customHeight="1" x14ac:dyDescent="0.4">
      <c r="A301" s="42"/>
      <c r="B301" s="43"/>
      <c r="C301" s="43"/>
      <c r="D301" s="51"/>
      <c r="E301" s="45"/>
      <c r="F301" s="45"/>
      <c r="G301" s="52" t="s">
        <v>111</v>
      </c>
      <c r="H301" s="47" t="s">
        <v>20</v>
      </c>
      <c r="I301" s="48"/>
      <c r="J301" s="48"/>
      <c r="K301" s="49"/>
      <c r="L301" s="53">
        <f ca="1">IFERROR(__xludf.DUMMYFUNCTION("IMPORTRANGE(""https://docs.google.com/spreadsheets/d/1C3CXT74ZlgGe6_JY_1olB1XN4rF0dxEuIIF-xsYjHgg/edit?usp=sharing"",""งบกองทุน!aa24"")"),159950)</f>
        <v>159950</v>
      </c>
      <c r="M301" s="53">
        <f>SUM(M302:M305)</f>
        <v>18950</v>
      </c>
      <c r="N301" s="53">
        <f t="shared" ca="1" si="70"/>
        <v>11.847452328852766</v>
      </c>
    </row>
    <row r="302" spans="1:14" ht="21.75" customHeight="1" x14ac:dyDescent="0.4">
      <c r="A302" s="230"/>
      <c r="B302" s="231"/>
      <c r="C302" s="43"/>
      <c r="D302" s="232"/>
      <c r="E302" s="45"/>
      <c r="F302" s="45"/>
      <c r="G302" s="46" t="s">
        <v>112</v>
      </c>
      <c r="H302" s="47" t="s">
        <v>20</v>
      </c>
      <c r="I302" s="67"/>
      <c r="J302" s="67"/>
      <c r="K302" s="233"/>
      <c r="L302" s="53"/>
      <c r="M302" s="54">
        <v>3950</v>
      </c>
      <c r="N302" s="53"/>
    </row>
    <row r="303" spans="1:14" ht="21.75" customHeight="1" x14ac:dyDescent="0.4">
      <c r="A303" s="230"/>
      <c r="B303" s="231"/>
      <c r="C303" s="43"/>
      <c r="D303" s="232"/>
      <c r="E303" s="45"/>
      <c r="F303" s="45"/>
      <c r="G303" s="46" t="s">
        <v>113</v>
      </c>
      <c r="H303" s="47" t="s">
        <v>20</v>
      </c>
      <c r="I303" s="67"/>
      <c r="J303" s="67"/>
      <c r="K303" s="233"/>
      <c r="L303" s="53"/>
      <c r="M303" s="54">
        <v>0</v>
      </c>
      <c r="N303" s="53"/>
    </row>
    <row r="304" spans="1:14" ht="21.75" customHeight="1" x14ac:dyDescent="0.4">
      <c r="A304" s="230"/>
      <c r="B304" s="231"/>
      <c r="C304" s="43"/>
      <c r="D304" s="232"/>
      <c r="E304" s="45"/>
      <c r="F304" s="45"/>
      <c r="G304" s="46" t="s">
        <v>114</v>
      </c>
      <c r="H304" s="47" t="s">
        <v>20</v>
      </c>
      <c r="I304" s="67"/>
      <c r="J304" s="67"/>
      <c r="K304" s="233"/>
      <c r="L304" s="53"/>
      <c r="M304" s="54">
        <v>15000</v>
      </c>
      <c r="N304" s="53"/>
    </row>
    <row r="305" spans="1:14" ht="21.75" customHeight="1" x14ac:dyDescent="0.4">
      <c r="A305" s="230"/>
      <c r="B305" s="231"/>
      <c r="C305" s="43"/>
      <c r="D305" s="232"/>
      <c r="E305" s="45"/>
      <c r="F305" s="45"/>
      <c r="G305" s="46" t="s">
        <v>115</v>
      </c>
      <c r="H305" s="47" t="s">
        <v>20</v>
      </c>
      <c r="I305" s="67"/>
      <c r="J305" s="67"/>
      <c r="K305" s="233"/>
      <c r="L305" s="53"/>
      <c r="M305" s="54">
        <v>0</v>
      </c>
      <c r="N305" s="53"/>
    </row>
    <row r="306" spans="1:14" ht="21.75" customHeight="1" x14ac:dyDescent="0.4">
      <c r="A306" s="55"/>
      <c r="B306" s="56"/>
      <c r="C306" s="43" t="s">
        <v>17</v>
      </c>
      <c r="D306" s="57" t="s">
        <v>25</v>
      </c>
      <c r="E306" s="58"/>
      <c r="F306" s="58"/>
      <c r="G306" s="59"/>
      <c r="H306" s="60"/>
      <c r="I306" s="48"/>
      <c r="J306" s="48"/>
      <c r="K306" s="49"/>
      <c r="L306" s="61"/>
      <c r="M306" s="61"/>
      <c r="N306" s="61"/>
    </row>
    <row r="307" spans="1:14" ht="21.75" customHeight="1" x14ac:dyDescent="0.4">
      <c r="A307" s="55"/>
      <c r="B307" s="56"/>
      <c r="C307" s="56"/>
      <c r="D307" s="62">
        <v>1</v>
      </c>
      <c r="E307" s="63" t="s">
        <v>26</v>
      </c>
      <c r="F307" s="64"/>
      <c r="G307" s="65"/>
      <c r="H307" s="66"/>
      <c r="I307" s="67"/>
      <c r="J307" s="68">
        <v>0</v>
      </c>
      <c r="K307" s="49"/>
      <c r="L307" s="61"/>
      <c r="M307" s="61"/>
      <c r="N307" s="61"/>
    </row>
    <row r="308" spans="1:14" ht="21.75" customHeight="1" x14ac:dyDescent="0.4">
      <c r="A308" s="55"/>
      <c r="B308" s="56"/>
      <c r="C308" s="56"/>
      <c r="D308" s="69">
        <v>2</v>
      </c>
      <c r="E308" s="70" t="s">
        <v>27</v>
      </c>
      <c r="F308" s="71"/>
      <c r="G308" s="72"/>
      <c r="H308" s="66"/>
      <c r="I308" s="67"/>
      <c r="J308" s="68">
        <v>1</v>
      </c>
      <c r="K308" s="49"/>
      <c r="L308" s="61" t="s">
        <v>21</v>
      </c>
      <c r="M308" s="61" t="s">
        <v>21</v>
      </c>
      <c r="N308" s="61"/>
    </row>
    <row r="309" spans="1:14" ht="21.75" customHeight="1" x14ac:dyDescent="0.4">
      <c r="A309" s="55"/>
      <c r="B309" s="56"/>
      <c r="C309" s="56"/>
      <c r="D309" s="73"/>
      <c r="E309" s="74" t="s">
        <v>28</v>
      </c>
      <c r="F309" s="75"/>
      <c r="G309" s="76"/>
      <c r="H309" s="66"/>
      <c r="I309" s="67"/>
      <c r="J309" s="68">
        <v>1</v>
      </c>
      <c r="K309" s="49"/>
      <c r="L309" s="61"/>
      <c r="M309" s="61"/>
      <c r="N309" s="61"/>
    </row>
    <row r="310" spans="1:14" ht="21.75" customHeight="1" x14ac:dyDescent="0.4">
      <c r="A310" s="55"/>
      <c r="B310" s="56"/>
      <c r="C310" s="56"/>
      <c r="D310" s="73"/>
      <c r="E310" s="74" t="s">
        <v>29</v>
      </c>
      <c r="F310" s="75"/>
      <c r="G310" s="76"/>
      <c r="H310" s="66"/>
      <c r="I310" s="67"/>
      <c r="J310" s="68">
        <v>1</v>
      </c>
      <c r="K310" s="49"/>
      <c r="L310" s="61"/>
      <c r="M310" s="61"/>
      <c r="N310" s="61"/>
    </row>
    <row r="311" spans="1:14" ht="21.75" customHeight="1" x14ac:dyDescent="0.4">
      <c r="A311" s="55"/>
      <c r="B311" s="56"/>
      <c r="C311" s="56"/>
      <c r="D311" s="73"/>
      <c r="E311" s="77"/>
      <c r="F311" s="74" t="s">
        <v>50</v>
      </c>
      <c r="G311" s="240"/>
      <c r="H311" s="241" t="s">
        <v>16</v>
      </c>
      <c r="I311" s="79">
        <f t="shared" ref="I311:J311" ca="1" si="72">+I312+I316+I321</f>
        <v>45</v>
      </c>
      <c r="J311" s="79">
        <f t="shared" ca="1" si="72"/>
        <v>10</v>
      </c>
      <c r="K311" s="80">
        <f t="shared" ref="K311:K327" ca="1" si="73">IF(I311&gt;0,J311*100/I311,0)</f>
        <v>22.222222222222221</v>
      </c>
      <c r="L311" s="61"/>
      <c r="M311" s="61"/>
      <c r="N311" s="61"/>
    </row>
    <row r="312" spans="1:14" ht="21.75" customHeight="1" x14ac:dyDescent="0.4">
      <c r="A312" s="55"/>
      <c r="B312" s="56"/>
      <c r="C312" s="56"/>
      <c r="D312" s="73"/>
      <c r="E312" s="77"/>
      <c r="F312" s="242" t="s">
        <v>129</v>
      </c>
      <c r="G312" s="76"/>
      <c r="H312" s="78" t="s">
        <v>16</v>
      </c>
      <c r="I312" s="243">
        <f ca="1">IFERROR(__xludf.DUMMYFUNCTION("IMPORTRANGE(""https://docs.google.com/spreadsheets/d/1C3CXT74ZlgGe6_JY_1olB1XN4rF0dxEuIIF-xsYjHgg/edit?usp=sharing"",""งบกองทุน!ae24"")"),10)</f>
        <v>10</v>
      </c>
      <c r="J312" s="79">
        <f ca="1">IF(AND(J314=I314,J315=I315),I314,0)</f>
        <v>10</v>
      </c>
      <c r="K312" s="80">
        <f t="shared" ca="1" si="73"/>
        <v>100</v>
      </c>
      <c r="L312" s="61"/>
      <c r="M312" s="61"/>
      <c r="N312" s="61"/>
    </row>
    <row r="313" spans="1:14" ht="21.75" customHeight="1" x14ac:dyDescent="0.4">
      <c r="A313" s="55"/>
      <c r="B313" s="56"/>
      <c r="C313" s="56"/>
      <c r="D313" s="73"/>
      <c r="E313" s="77"/>
      <c r="F313" s="75"/>
      <c r="G313" s="76"/>
      <c r="H313" s="78" t="s">
        <v>103</v>
      </c>
      <c r="I313" s="243">
        <f ca="1">IFERROR(__xludf.DUMMYFUNCTION("IMPORTRANGE(""https://docs.google.com/spreadsheets/d/1C3CXT74ZlgGe6_JY_1olB1XN4rF0dxEuIIF-xsYjHgg/edit?usp=sharing"",""งบกองทุน!ad24"")"),30)</f>
        <v>30</v>
      </c>
      <c r="J313" s="154">
        <v>30</v>
      </c>
      <c r="K313" s="80">
        <f t="shared" ca="1" si="73"/>
        <v>100</v>
      </c>
      <c r="L313" s="61"/>
      <c r="M313" s="61"/>
      <c r="N313" s="61"/>
    </row>
    <row r="314" spans="1:14" ht="21.75" customHeight="1" x14ac:dyDescent="0.4">
      <c r="A314" s="55"/>
      <c r="B314" s="56"/>
      <c r="C314" s="56"/>
      <c r="D314" s="73"/>
      <c r="E314" s="77"/>
      <c r="F314" s="75"/>
      <c r="G314" s="99" t="s">
        <v>130</v>
      </c>
      <c r="H314" s="60" t="s">
        <v>16</v>
      </c>
      <c r="I314" s="200">
        <f ca="1">IFERROR(__xludf.DUMMYFUNCTION("IMPORTRANGE(""https://docs.google.com/spreadsheets/d/1C3CXT74ZlgGe6_JY_1olB1XN4rF0dxEuIIF-xsYjHgg/edit?usp=sharing"",""งบกองทุน!af24"")"),10)</f>
        <v>10</v>
      </c>
      <c r="J314" s="68">
        <v>10</v>
      </c>
      <c r="K314" s="49">
        <f t="shared" ca="1" si="73"/>
        <v>100</v>
      </c>
      <c r="L314" s="61"/>
      <c r="M314" s="61"/>
      <c r="N314" s="61"/>
    </row>
    <row r="315" spans="1:14" ht="21.75" customHeight="1" x14ac:dyDescent="0.4">
      <c r="A315" s="105"/>
      <c r="B315" s="106"/>
      <c r="C315" s="106"/>
      <c r="D315" s="244"/>
      <c r="E315" s="245"/>
      <c r="F315" s="204"/>
      <c r="G315" s="246" t="s">
        <v>131</v>
      </c>
      <c r="H315" s="206" t="s">
        <v>16</v>
      </c>
      <c r="I315" s="207">
        <f ca="1">IFERROR(__xludf.DUMMYFUNCTION("IMPORTRANGE(""https://docs.google.com/spreadsheets/d/1C3CXT74ZlgGe6_JY_1olB1XN4rF0dxEuIIF-xsYjHgg/edit?usp=sharing"",""งบกองทุน!ag24"")"),10)</f>
        <v>10</v>
      </c>
      <c r="J315" s="247">
        <v>10</v>
      </c>
      <c r="K315" s="114">
        <f t="shared" ca="1" si="73"/>
        <v>100</v>
      </c>
      <c r="L315" s="115"/>
      <c r="M315" s="115"/>
      <c r="N315" s="115"/>
    </row>
    <row r="316" spans="1:14" ht="21.75" customHeight="1" x14ac:dyDescent="0.4">
      <c r="A316" s="55"/>
      <c r="B316" s="56"/>
      <c r="C316" s="56"/>
      <c r="D316" s="73"/>
      <c r="E316" s="77"/>
      <c r="F316" s="242" t="s">
        <v>132</v>
      </c>
      <c r="G316" s="76"/>
      <c r="H316" s="78" t="s">
        <v>16</v>
      </c>
      <c r="I316" s="243">
        <f ca="1">IFERROR(__xludf.DUMMYFUNCTION("IMPORTRANGE(""https://docs.google.com/spreadsheets/d/1C3CXT74ZlgGe6_JY_1olB1XN4rF0dxEuIIF-xsYjHgg/edit?usp=sharing"",""งบกองทุน!ai24"")"),25)</f>
        <v>25</v>
      </c>
      <c r="J316" s="79">
        <f ca="1">IF(AND(J318=I318,J319=I319,J320=I320),I318,0)</f>
        <v>0</v>
      </c>
      <c r="K316" s="80">
        <f t="shared" ca="1" si="73"/>
        <v>0</v>
      </c>
      <c r="L316" s="61"/>
      <c r="M316" s="61"/>
      <c r="N316" s="61"/>
    </row>
    <row r="317" spans="1:14" ht="21.75" customHeight="1" x14ac:dyDescent="0.4">
      <c r="A317" s="55"/>
      <c r="B317" s="56"/>
      <c r="C317" s="56"/>
      <c r="D317" s="73"/>
      <c r="E317" s="77"/>
      <c r="F317" s="75"/>
      <c r="G317" s="76"/>
      <c r="H317" s="78" t="s">
        <v>103</v>
      </c>
      <c r="I317" s="243">
        <f ca="1">IFERROR(__xludf.DUMMYFUNCTION("IMPORTRANGE(""https://docs.google.com/spreadsheets/d/1C3CXT74ZlgGe6_JY_1olB1XN4rF0dxEuIIF-xsYjHgg/edit?usp=sharing"",""งบกองทุน!ah24"")"),75)</f>
        <v>75</v>
      </c>
      <c r="J317" s="154">
        <v>0</v>
      </c>
      <c r="K317" s="80">
        <f t="shared" ca="1" si="73"/>
        <v>0</v>
      </c>
      <c r="L317" s="61"/>
      <c r="M317" s="61"/>
      <c r="N317" s="61"/>
    </row>
    <row r="318" spans="1:14" ht="21.75" customHeight="1" x14ac:dyDescent="0.4">
      <c r="A318" s="55"/>
      <c r="B318" s="56"/>
      <c r="C318" s="56"/>
      <c r="D318" s="73"/>
      <c r="E318" s="77"/>
      <c r="F318" s="75"/>
      <c r="G318" s="99" t="s">
        <v>133</v>
      </c>
      <c r="H318" s="60" t="s">
        <v>16</v>
      </c>
      <c r="I318" s="200">
        <f ca="1">IFERROR(__xludf.DUMMYFUNCTION("IMPORTRANGE(""https://docs.google.com/spreadsheets/d/1C3CXT74ZlgGe6_JY_1olB1XN4rF0dxEuIIF-xsYjHgg/edit?usp=sharing"",""งบกองทุน!aj24"")"),25)</f>
        <v>25</v>
      </c>
      <c r="J318" s="68">
        <v>0</v>
      </c>
      <c r="K318" s="49">
        <f t="shared" ca="1" si="73"/>
        <v>0</v>
      </c>
      <c r="L318" s="61"/>
      <c r="M318" s="61"/>
      <c r="N318" s="61"/>
    </row>
    <row r="319" spans="1:14" ht="21.75" customHeight="1" x14ac:dyDescent="0.4">
      <c r="A319" s="55"/>
      <c r="B319" s="56"/>
      <c r="C319" s="56"/>
      <c r="D319" s="73"/>
      <c r="E319" s="77"/>
      <c r="F319" s="75"/>
      <c r="G319" s="99" t="s">
        <v>134</v>
      </c>
      <c r="H319" s="60" t="s">
        <v>16</v>
      </c>
      <c r="I319" s="200">
        <f ca="1">IFERROR(__xludf.DUMMYFUNCTION("IMPORTRANGE(""https://docs.google.com/spreadsheets/d/1C3CXT74ZlgGe6_JY_1olB1XN4rF0dxEuIIF-xsYjHgg/edit?usp=sharing"",""งบกองทุน!ak24"")"),25)</f>
        <v>25</v>
      </c>
      <c r="J319" s="68">
        <v>0</v>
      </c>
      <c r="K319" s="49">
        <f t="shared" ca="1" si="73"/>
        <v>0</v>
      </c>
      <c r="L319" s="61"/>
      <c r="M319" s="61"/>
      <c r="N319" s="61"/>
    </row>
    <row r="320" spans="1:14" ht="21.75" customHeight="1" x14ac:dyDescent="0.4">
      <c r="A320" s="55"/>
      <c r="B320" s="56"/>
      <c r="C320" s="56"/>
      <c r="D320" s="73"/>
      <c r="E320" s="77"/>
      <c r="F320" s="75"/>
      <c r="G320" s="99" t="s">
        <v>135</v>
      </c>
      <c r="H320" s="60" t="s">
        <v>16</v>
      </c>
      <c r="I320" s="200">
        <f ca="1">IFERROR(__xludf.DUMMYFUNCTION("IMPORTRANGE(""https://docs.google.com/spreadsheets/d/1C3CXT74ZlgGe6_JY_1olB1XN4rF0dxEuIIF-xsYjHgg/edit?usp=sharing"",""งบกองทุน!al24"")"),25)</f>
        <v>25</v>
      </c>
      <c r="J320" s="68">
        <v>0</v>
      </c>
      <c r="K320" s="49">
        <f t="shared" ca="1" si="73"/>
        <v>0</v>
      </c>
      <c r="L320" s="61"/>
      <c r="M320" s="61"/>
      <c r="N320" s="61"/>
    </row>
    <row r="321" spans="1:14" ht="21.75" customHeight="1" x14ac:dyDescent="0.4">
      <c r="A321" s="55"/>
      <c r="B321" s="56"/>
      <c r="C321" s="56"/>
      <c r="D321" s="73"/>
      <c r="E321" s="77"/>
      <c r="F321" s="242" t="s">
        <v>136</v>
      </c>
      <c r="G321" s="76"/>
      <c r="H321" s="78" t="s">
        <v>16</v>
      </c>
      <c r="I321" s="243">
        <f ca="1">IFERROR(__xludf.DUMMYFUNCTION("IMPORTRANGE(""https://docs.google.com/spreadsheets/d/1C3CXT74ZlgGe6_JY_1olB1XN4rF0dxEuIIF-xsYjHgg/edit?usp=sharing"",""งบกองทุน!an24"")"),10)</f>
        <v>10</v>
      </c>
      <c r="J321" s="79">
        <f ca="1">IF(AND(J323=I323,J324=I324),I323,0)</f>
        <v>0</v>
      </c>
      <c r="K321" s="80">
        <f t="shared" ca="1" si="73"/>
        <v>0</v>
      </c>
      <c r="L321" s="61"/>
      <c r="M321" s="61"/>
      <c r="N321" s="61"/>
    </row>
    <row r="322" spans="1:14" ht="21.75" customHeight="1" x14ac:dyDescent="0.4">
      <c r="A322" s="55"/>
      <c r="B322" s="56"/>
      <c r="C322" s="56"/>
      <c r="D322" s="73"/>
      <c r="E322" s="77"/>
      <c r="F322" s="75"/>
      <c r="G322" s="76"/>
      <c r="H322" s="78" t="s">
        <v>103</v>
      </c>
      <c r="I322" s="243">
        <f ca="1">IFERROR(__xludf.DUMMYFUNCTION("IMPORTRANGE(""https://docs.google.com/spreadsheets/d/1C3CXT74ZlgGe6_JY_1olB1XN4rF0dxEuIIF-xsYjHgg/edit?usp=sharing"",""งบกองทุน!am24"")"),30)</f>
        <v>30</v>
      </c>
      <c r="J322" s="154">
        <v>0</v>
      </c>
      <c r="K322" s="80">
        <f t="shared" ca="1" si="73"/>
        <v>0</v>
      </c>
      <c r="L322" s="61"/>
      <c r="M322" s="61"/>
      <c r="N322" s="61"/>
    </row>
    <row r="323" spans="1:14" ht="21.75" customHeight="1" x14ac:dyDescent="0.4">
      <c r="A323" s="55"/>
      <c r="B323" s="56"/>
      <c r="C323" s="56"/>
      <c r="D323" s="73"/>
      <c r="E323" s="77"/>
      <c r="F323" s="75"/>
      <c r="G323" s="99" t="s">
        <v>137</v>
      </c>
      <c r="H323" s="60" t="s">
        <v>16</v>
      </c>
      <c r="I323" s="248">
        <f ca="1">IFERROR(__xludf.DUMMYFUNCTION("IMPORTRANGE(""https://docs.google.com/spreadsheets/d/1C3CXT74ZlgGe6_JY_1olB1XN4rF0dxEuIIF-xsYjHgg/edit?usp=sharing"",""งบกองทุน!ao24"")"),10)</f>
        <v>10</v>
      </c>
      <c r="J323" s="68">
        <v>0</v>
      </c>
      <c r="K323" s="49">
        <f t="shared" ca="1" si="73"/>
        <v>0</v>
      </c>
      <c r="L323" s="61"/>
      <c r="M323" s="61"/>
      <c r="N323" s="61"/>
    </row>
    <row r="324" spans="1:14" ht="21.75" customHeight="1" x14ac:dyDescent="0.4">
      <c r="A324" s="55"/>
      <c r="B324" s="56"/>
      <c r="C324" s="56"/>
      <c r="D324" s="73"/>
      <c r="E324" s="77"/>
      <c r="F324" s="75"/>
      <c r="G324" s="99" t="s">
        <v>138</v>
      </c>
      <c r="H324" s="60" t="s">
        <v>16</v>
      </c>
      <c r="I324" s="248">
        <f ca="1">IFERROR(__xludf.DUMMYFUNCTION("IMPORTRANGE(""https://docs.google.com/spreadsheets/d/1C3CXT74ZlgGe6_JY_1olB1XN4rF0dxEuIIF-xsYjHgg/edit?usp=sharing"",""งบกองทุน!ap24"")"),10)</f>
        <v>10</v>
      </c>
      <c r="J324" s="68">
        <v>0</v>
      </c>
      <c r="K324" s="49">
        <f t="shared" ca="1" si="73"/>
        <v>0</v>
      </c>
      <c r="L324" s="61"/>
      <c r="M324" s="61"/>
      <c r="N324" s="61"/>
    </row>
    <row r="325" spans="1:14" ht="21.75" customHeight="1" x14ac:dyDescent="0.4">
      <c r="A325" s="55"/>
      <c r="B325" s="56"/>
      <c r="C325" s="56"/>
      <c r="D325" s="73"/>
      <c r="E325" s="77"/>
      <c r="F325" s="74" t="s">
        <v>34</v>
      </c>
      <c r="G325" s="240"/>
      <c r="H325" s="241" t="s">
        <v>16</v>
      </c>
      <c r="I325" s="79">
        <f ca="1">SUM(I326,I327)</f>
        <v>35</v>
      </c>
      <c r="J325" s="79">
        <f ca="1">IF(AND(J326=I326,J327=I327),I325,0)</f>
        <v>0</v>
      </c>
      <c r="K325" s="80">
        <f t="shared" ca="1" si="73"/>
        <v>0</v>
      </c>
      <c r="L325" s="61"/>
      <c r="M325" s="61"/>
      <c r="N325" s="61"/>
    </row>
    <row r="326" spans="1:14" ht="21.75" customHeight="1" x14ac:dyDescent="0.4">
      <c r="A326" s="249"/>
      <c r="B326" s="250"/>
      <c r="C326" s="250"/>
      <c r="D326" s="251"/>
      <c r="E326" s="77"/>
      <c r="F326" s="75"/>
      <c r="G326" s="99" t="s">
        <v>139</v>
      </c>
      <c r="H326" s="60" t="s">
        <v>16</v>
      </c>
      <c r="I326" s="248">
        <f ca="1">IFERROR(__xludf.DUMMYFUNCTION("IMPORTRANGE(""https://docs.google.com/spreadsheets/d/1C3CXT74ZlgGe6_JY_1olB1XN4rF0dxEuIIF-xsYjHgg/edit?usp=sharing"",""งบกองทุน!ar24"")"),10)</f>
        <v>10</v>
      </c>
      <c r="J326" s="68">
        <v>10</v>
      </c>
      <c r="K326" s="49">
        <f t="shared" ca="1" si="73"/>
        <v>100</v>
      </c>
      <c r="L326" s="61"/>
      <c r="M326" s="61"/>
      <c r="N326" s="61"/>
    </row>
    <row r="327" spans="1:14" ht="21.75" customHeight="1" x14ac:dyDescent="0.4">
      <c r="A327" s="249"/>
      <c r="B327" s="250"/>
      <c r="C327" s="250"/>
      <c r="D327" s="251"/>
      <c r="E327" s="77"/>
      <c r="F327" s="75"/>
      <c r="G327" s="99" t="s">
        <v>140</v>
      </c>
      <c r="H327" s="60" t="s">
        <v>16</v>
      </c>
      <c r="I327" s="248">
        <f ca="1">IFERROR(__xludf.DUMMYFUNCTION("IMPORTRANGE(""https://docs.google.com/spreadsheets/d/1C3CXT74ZlgGe6_JY_1olB1XN4rF0dxEuIIF-xsYjHgg/edit?usp=sharing"",""งบกองทุน!as24"")"),25)</f>
        <v>25</v>
      </c>
      <c r="J327" s="68">
        <v>0</v>
      </c>
      <c r="K327" s="49">
        <f t="shared" ca="1" si="73"/>
        <v>0</v>
      </c>
      <c r="L327" s="61"/>
      <c r="M327" s="61"/>
      <c r="N327" s="61"/>
    </row>
    <row r="328" spans="1:14" ht="21.75" customHeight="1" x14ac:dyDescent="0.4">
      <c r="A328" s="55"/>
      <c r="B328" s="56"/>
      <c r="C328" s="56"/>
      <c r="D328" s="73"/>
      <c r="E328" s="74" t="s">
        <v>35</v>
      </c>
      <c r="F328" s="75"/>
      <c r="G328" s="76"/>
      <c r="H328" s="66"/>
      <c r="I328" s="67"/>
      <c r="J328" s="68">
        <v>0</v>
      </c>
      <c r="K328" s="49"/>
      <c r="L328" s="61"/>
      <c r="M328" s="61"/>
      <c r="N328" s="61"/>
    </row>
    <row r="329" spans="1:14" ht="21.75" customHeight="1" x14ac:dyDescent="0.4">
      <c r="A329" s="55"/>
      <c r="B329" s="56"/>
      <c r="C329" s="56"/>
      <c r="D329" s="81">
        <v>3</v>
      </c>
      <c r="E329" s="82" t="s">
        <v>36</v>
      </c>
      <c r="F329" s="83"/>
      <c r="G329" s="84"/>
      <c r="H329" s="66"/>
      <c r="I329" s="67"/>
      <c r="J329" s="85">
        <v>0</v>
      </c>
      <c r="K329" s="49"/>
      <c r="L329" s="61"/>
      <c r="M329" s="61"/>
      <c r="N329" s="61"/>
    </row>
    <row r="330" spans="1:14" ht="21.75" customHeight="1" x14ac:dyDescent="0.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15</v>
      </c>
      <c r="J330" s="257">
        <f>+J344</f>
        <v>15</v>
      </c>
      <c r="K330" s="258">
        <f ca="1">IF(I330&gt;0,J330*100/I330,0)</f>
        <v>100</v>
      </c>
      <c r="L330" s="259">
        <f t="shared" ref="L330:M330" ca="1" si="74">SUM(L331:L332)</f>
        <v>83000</v>
      </c>
      <c r="M330" s="259">
        <f t="shared" si="74"/>
        <v>29562</v>
      </c>
      <c r="N330" s="259">
        <f t="shared" ref="N330:N334" ca="1" si="75">+IF(L330&gt;0,M330*100/L330,0)</f>
        <v>35.616867469879516</v>
      </c>
    </row>
    <row r="331" spans="1:14" ht="21.75" customHeight="1" x14ac:dyDescent="0.4">
      <c r="A331" s="42"/>
      <c r="B331" s="43"/>
      <c r="C331" s="43" t="s">
        <v>17</v>
      </c>
      <c r="D331" s="44" t="s">
        <v>18</v>
      </c>
      <c r="E331" s="45"/>
      <c r="F331" s="45"/>
      <c r="G331" s="46" t="s">
        <v>19</v>
      </c>
      <c r="H331" s="47" t="s">
        <v>20</v>
      </c>
      <c r="I331" s="48" t="s">
        <v>21</v>
      </c>
      <c r="J331" s="48"/>
      <c r="K331" s="49"/>
      <c r="L331" s="50">
        <v>0</v>
      </c>
      <c r="M331" s="53">
        <v>0</v>
      </c>
      <c r="N331" s="53">
        <f t="shared" si="75"/>
        <v>0</v>
      </c>
    </row>
    <row r="332" spans="1:14" ht="21.75" customHeight="1" x14ac:dyDescent="0.4">
      <c r="A332" s="42"/>
      <c r="B332" s="43"/>
      <c r="C332" s="43"/>
      <c r="D332" s="51"/>
      <c r="E332" s="45"/>
      <c r="F332" s="45" t="s">
        <v>21</v>
      </c>
      <c r="G332" s="46" t="s">
        <v>22</v>
      </c>
      <c r="H332" s="47" t="s">
        <v>20</v>
      </c>
      <c r="I332" s="48"/>
      <c r="J332" s="48"/>
      <c r="K332" s="49"/>
      <c r="L332" s="50">
        <f t="shared" ref="L332:M332" ca="1" si="76">SUM(L333:L334)</f>
        <v>83000</v>
      </c>
      <c r="M332" s="53">
        <f t="shared" si="76"/>
        <v>29562</v>
      </c>
      <c r="N332" s="53">
        <f t="shared" ca="1" si="75"/>
        <v>35.616867469879516</v>
      </c>
    </row>
    <row r="333" spans="1:14" ht="21.75" customHeight="1" x14ac:dyDescent="0.4">
      <c r="A333" s="42"/>
      <c r="B333" s="43"/>
      <c r="C333" s="43"/>
      <c r="D333" s="51"/>
      <c r="E333" s="45"/>
      <c r="F333" s="45"/>
      <c r="G333" s="52" t="s">
        <v>110</v>
      </c>
      <c r="H333" s="47" t="s">
        <v>20</v>
      </c>
      <c r="I333" s="48"/>
      <c r="J333" s="48"/>
      <c r="K333" s="49"/>
      <c r="L333" s="53">
        <f ca="1">IFERROR(__xludf.DUMMYFUNCTION("IMPORTRANGE(""https://docs.google.com/spreadsheets/d/1C3CXT74ZlgGe6_JY_1olB1XN4rF0dxEuIIF-xsYjHgg/edit?usp=sharing"",""งบกองทุน!au24"")"),0)</f>
        <v>0</v>
      </c>
      <c r="M333" s="53">
        <v>0</v>
      </c>
      <c r="N333" s="53">
        <f t="shared" ca="1" si="75"/>
        <v>0</v>
      </c>
    </row>
    <row r="334" spans="1:14" ht="21.75" customHeight="1" x14ac:dyDescent="0.4">
      <c r="A334" s="42"/>
      <c r="B334" s="43"/>
      <c r="C334" s="43"/>
      <c r="D334" s="51"/>
      <c r="E334" s="45"/>
      <c r="F334" s="45"/>
      <c r="G334" s="52" t="s">
        <v>111</v>
      </c>
      <c r="H334" s="47" t="s">
        <v>20</v>
      </c>
      <c r="I334" s="48"/>
      <c r="J334" s="48"/>
      <c r="K334" s="49"/>
      <c r="L334" s="53">
        <f ca="1">IFERROR(__xludf.DUMMYFUNCTION("IMPORTRANGE(""https://docs.google.com/spreadsheets/d/1C3CXT74ZlgGe6_JY_1olB1XN4rF0dxEuIIF-xsYjHgg/edit?usp=sharing"",""งบกองทุน!av24"")"),83000)</f>
        <v>83000</v>
      </c>
      <c r="M334" s="53">
        <f>SUM(M335:M338)</f>
        <v>29562</v>
      </c>
      <c r="N334" s="53">
        <f t="shared" ca="1" si="75"/>
        <v>35.616867469879516</v>
      </c>
    </row>
    <row r="335" spans="1:14" ht="21.75" customHeight="1" x14ac:dyDescent="0.4">
      <c r="A335" s="230"/>
      <c r="B335" s="231"/>
      <c r="C335" s="43"/>
      <c r="D335" s="232"/>
      <c r="E335" s="45"/>
      <c r="F335" s="45"/>
      <c r="G335" s="46" t="s">
        <v>112</v>
      </c>
      <c r="H335" s="47" t="s">
        <v>20</v>
      </c>
      <c r="I335" s="67"/>
      <c r="J335" s="67"/>
      <c r="K335" s="233"/>
      <c r="L335" s="53"/>
      <c r="M335" s="54">
        <v>27122</v>
      </c>
      <c r="N335" s="53"/>
    </row>
    <row r="336" spans="1:14" ht="21.75" customHeight="1" x14ac:dyDescent="0.4">
      <c r="A336" s="230"/>
      <c r="B336" s="231"/>
      <c r="C336" s="43"/>
      <c r="D336" s="232"/>
      <c r="E336" s="45"/>
      <c r="F336" s="45"/>
      <c r="G336" s="46" t="s">
        <v>113</v>
      </c>
      <c r="H336" s="47" t="s">
        <v>20</v>
      </c>
      <c r="I336" s="67"/>
      <c r="J336" s="67"/>
      <c r="K336" s="233"/>
      <c r="L336" s="53"/>
      <c r="M336" s="54">
        <v>0</v>
      </c>
      <c r="N336" s="53"/>
    </row>
    <row r="337" spans="1:14" ht="21.75" customHeight="1" x14ac:dyDescent="0.4">
      <c r="A337" s="230"/>
      <c r="B337" s="231"/>
      <c r="C337" s="43"/>
      <c r="D337" s="232"/>
      <c r="E337" s="45"/>
      <c r="F337" s="45"/>
      <c r="G337" s="46" t="s">
        <v>114</v>
      </c>
      <c r="H337" s="47" t="s">
        <v>20</v>
      </c>
      <c r="I337" s="67"/>
      <c r="J337" s="67"/>
      <c r="K337" s="233"/>
      <c r="L337" s="53"/>
      <c r="M337" s="54">
        <v>0</v>
      </c>
      <c r="N337" s="53"/>
    </row>
    <row r="338" spans="1:14" ht="21.75" customHeight="1" x14ac:dyDescent="0.4">
      <c r="A338" s="230"/>
      <c r="B338" s="231"/>
      <c r="C338" s="43"/>
      <c r="D338" s="232"/>
      <c r="E338" s="45"/>
      <c r="F338" s="45"/>
      <c r="G338" s="46" t="s">
        <v>115</v>
      </c>
      <c r="H338" s="47" t="s">
        <v>20</v>
      </c>
      <c r="I338" s="67"/>
      <c r="J338" s="67"/>
      <c r="K338" s="233"/>
      <c r="L338" s="53"/>
      <c r="M338" s="54">
        <v>2440</v>
      </c>
      <c r="N338" s="53"/>
    </row>
    <row r="339" spans="1:14" ht="21.75" customHeight="1" x14ac:dyDescent="0.4">
      <c r="A339" s="55"/>
      <c r="B339" s="56"/>
      <c r="C339" s="43" t="s">
        <v>17</v>
      </c>
      <c r="D339" s="57" t="s">
        <v>25</v>
      </c>
      <c r="E339" s="58"/>
      <c r="F339" s="58"/>
      <c r="G339" s="59"/>
      <c r="H339" s="60"/>
      <c r="I339" s="48"/>
      <c r="J339" s="48"/>
      <c r="K339" s="49"/>
      <c r="L339" s="61"/>
      <c r="M339" s="61"/>
      <c r="N339" s="61"/>
    </row>
    <row r="340" spans="1:14" ht="21.75" customHeight="1" x14ac:dyDescent="0.4">
      <c r="A340" s="55"/>
      <c r="B340" s="56"/>
      <c r="C340" s="56"/>
      <c r="D340" s="62">
        <v>1</v>
      </c>
      <c r="E340" s="63" t="s">
        <v>26</v>
      </c>
      <c r="F340" s="64"/>
      <c r="G340" s="65"/>
      <c r="H340" s="66"/>
      <c r="I340" s="67"/>
      <c r="J340" s="85">
        <v>0</v>
      </c>
      <c r="K340" s="49"/>
      <c r="L340" s="61"/>
      <c r="M340" s="61"/>
      <c r="N340" s="61"/>
    </row>
    <row r="341" spans="1:14" ht="21.75" customHeight="1" x14ac:dyDescent="0.4">
      <c r="A341" s="55"/>
      <c r="B341" s="56"/>
      <c r="C341" s="56"/>
      <c r="D341" s="69">
        <v>2</v>
      </c>
      <c r="E341" s="70" t="s">
        <v>27</v>
      </c>
      <c r="F341" s="71"/>
      <c r="G341" s="72"/>
      <c r="H341" s="66"/>
      <c r="I341" s="67"/>
      <c r="J341" s="85">
        <v>1</v>
      </c>
      <c r="K341" s="49"/>
      <c r="L341" s="61" t="s">
        <v>21</v>
      </c>
      <c r="M341" s="61" t="s">
        <v>21</v>
      </c>
      <c r="N341" s="61"/>
    </row>
    <row r="342" spans="1:14" ht="21.75" customHeight="1" x14ac:dyDescent="0.4">
      <c r="A342" s="55"/>
      <c r="B342" s="56"/>
      <c r="C342" s="56"/>
      <c r="D342" s="73"/>
      <c r="E342" s="74" t="s">
        <v>142</v>
      </c>
      <c r="F342" s="75"/>
      <c r="G342" s="76"/>
      <c r="H342" s="66"/>
      <c r="I342" s="67"/>
      <c r="J342" s="68">
        <v>1</v>
      </c>
      <c r="K342" s="49"/>
      <c r="L342" s="61"/>
      <c r="M342" s="61"/>
      <c r="N342" s="61"/>
    </row>
    <row r="343" spans="1:14" ht="21.75" customHeight="1" x14ac:dyDescent="0.4">
      <c r="A343" s="55"/>
      <c r="B343" s="56"/>
      <c r="C343" s="56"/>
      <c r="D343" s="73"/>
      <c r="E343" s="74" t="s">
        <v>29</v>
      </c>
      <c r="F343" s="75"/>
      <c r="G343" s="76"/>
      <c r="H343" s="66"/>
      <c r="I343" s="67"/>
      <c r="J343" s="68">
        <v>1</v>
      </c>
      <c r="K343" s="49"/>
      <c r="L343" s="61"/>
      <c r="M343" s="61"/>
      <c r="N343" s="61"/>
    </row>
    <row r="344" spans="1:14" ht="21.75" customHeight="1" x14ac:dyDescent="0.4">
      <c r="A344" s="55"/>
      <c r="B344" s="56"/>
      <c r="C344" s="56"/>
      <c r="D344" s="73"/>
      <c r="E344" s="77"/>
      <c r="F344" s="260" t="s">
        <v>82</v>
      </c>
      <c r="G344" s="76"/>
      <c r="H344" s="66" t="s">
        <v>16</v>
      </c>
      <c r="I344" s="243">
        <f t="shared" ref="I344:J344" ca="1" si="77">+I345+I346+I347</f>
        <v>15</v>
      </c>
      <c r="J344" s="79">
        <f t="shared" si="77"/>
        <v>15</v>
      </c>
      <c r="K344" s="49">
        <f t="shared" ref="K344:K347" ca="1" si="78">IF(I344&gt;0,J344*100/I344,0)</f>
        <v>100</v>
      </c>
      <c r="L344" s="61"/>
      <c r="M344" s="61"/>
      <c r="N344" s="61"/>
    </row>
    <row r="345" spans="1:14" ht="21.75" customHeight="1" x14ac:dyDescent="0.4">
      <c r="A345" s="55"/>
      <c r="B345" s="56"/>
      <c r="C345" s="56"/>
      <c r="D345" s="73"/>
      <c r="E345" s="77"/>
      <c r="F345" s="75"/>
      <c r="G345" s="99" t="s">
        <v>143</v>
      </c>
      <c r="H345" s="66" t="s">
        <v>16</v>
      </c>
      <c r="I345" s="200">
        <f ca="1">IFERROR(__xludf.DUMMYFUNCTION("IMPORTRANGE(""https://docs.google.com/spreadsheets/d/1C3CXT74ZlgGe6_JY_1olB1XN4rF0dxEuIIF-xsYjHgg/edit?usp=sharing"",""งบกองทุน!ay24"")"),15)</f>
        <v>15</v>
      </c>
      <c r="J345" s="68">
        <v>15</v>
      </c>
      <c r="K345" s="49">
        <f t="shared" ca="1" si="78"/>
        <v>100</v>
      </c>
      <c r="L345" s="61"/>
      <c r="M345" s="61"/>
      <c r="N345" s="61"/>
    </row>
    <row r="346" spans="1:14" ht="21.75" customHeight="1" x14ac:dyDescent="0.4">
      <c r="A346" s="55"/>
      <c r="B346" s="56"/>
      <c r="C346" s="56"/>
      <c r="D346" s="73"/>
      <c r="E346" s="77"/>
      <c r="F346" s="75"/>
      <c r="G346" s="76" t="s">
        <v>229</v>
      </c>
      <c r="H346" s="66" t="s">
        <v>16</v>
      </c>
      <c r="I346" s="200">
        <f ca="1">IFERROR(__xludf.DUMMYFUNCTION("IMPORTRANGE(""https://docs.google.com/spreadsheets/d/1C3CXT74ZlgGe6_JY_1olB1XN4rF0dxEuIIF-xsYjHgg/edit?usp=sharing"",""งบกองทุน!az24"")"),0)</f>
        <v>0</v>
      </c>
      <c r="J346" s="67">
        <v>0</v>
      </c>
      <c r="K346" s="49">
        <f t="shared" ca="1" si="78"/>
        <v>0</v>
      </c>
      <c r="L346" s="61"/>
      <c r="M346" s="61"/>
      <c r="N346" s="61"/>
    </row>
    <row r="347" spans="1:14" ht="21.75" customHeight="1" x14ac:dyDescent="0.4">
      <c r="A347" s="55"/>
      <c r="B347" s="56"/>
      <c r="C347" s="56"/>
      <c r="D347" s="73"/>
      <c r="E347" s="77"/>
      <c r="F347" s="75"/>
      <c r="G347" s="76" t="s">
        <v>145</v>
      </c>
      <c r="H347" s="66" t="s">
        <v>16</v>
      </c>
      <c r="I347" s="67">
        <f ca="1">IFERROR(__xludf.DUMMYFUNCTION("IMPORTRANGE(""https://docs.google.com/spreadsheets/d/1C3CXT74ZlgGe6_JY_1olB1XN4rF0dxEuIIF-xsYjHgg/edit?usp=sharing"",""งบกองทุน!Ba24"")"),0)</f>
        <v>0</v>
      </c>
      <c r="J347" s="67">
        <v>0</v>
      </c>
      <c r="K347" s="49">
        <f t="shared" ca="1" si="78"/>
        <v>0</v>
      </c>
      <c r="L347" s="61"/>
      <c r="M347" s="61"/>
      <c r="N347" s="61"/>
    </row>
    <row r="348" spans="1:14" ht="21.75" customHeight="1" x14ac:dyDescent="0.4">
      <c r="A348" s="55"/>
      <c r="B348" s="56"/>
      <c r="C348" s="56"/>
      <c r="D348" s="73"/>
      <c r="E348" s="74" t="s">
        <v>35</v>
      </c>
      <c r="F348" s="75"/>
      <c r="G348" s="76"/>
      <c r="H348" s="66"/>
      <c r="I348" s="67"/>
      <c r="J348" s="68">
        <v>0</v>
      </c>
      <c r="K348" s="49"/>
      <c r="L348" s="61"/>
      <c r="M348" s="61"/>
      <c r="N348" s="61"/>
    </row>
    <row r="349" spans="1:14" ht="21.75" customHeight="1" x14ac:dyDescent="0.4">
      <c r="A349" s="55"/>
      <c r="B349" s="56"/>
      <c r="C349" s="56"/>
      <c r="D349" s="81">
        <v>3</v>
      </c>
      <c r="E349" s="82" t="s">
        <v>36</v>
      </c>
      <c r="F349" s="83"/>
      <c r="G349" s="84"/>
      <c r="H349" s="66"/>
      <c r="I349" s="67"/>
      <c r="J349" s="85">
        <v>0</v>
      </c>
      <c r="K349" s="49"/>
      <c r="L349" s="61"/>
      <c r="M349" s="61"/>
      <c r="N349" s="61"/>
    </row>
    <row r="350" spans="1:14" ht="21.75" customHeight="1" x14ac:dyDescent="0.4">
      <c r="A350" s="222"/>
      <c r="B350" s="223">
        <v>5</v>
      </c>
      <c r="C350" s="224" t="s">
        <v>146</v>
      </c>
      <c r="D350" s="224"/>
      <c r="E350" s="224"/>
      <c r="F350" s="224"/>
      <c r="G350" s="225"/>
      <c r="H350" s="226" t="s">
        <v>103</v>
      </c>
      <c r="I350" s="227">
        <f ca="1">I359</f>
        <v>40137</v>
      </c>
      <c r="J350" s="227">
        <f>+J359</f>
        <v>0</v>
      </c>
      <c r="K350" s="228">
        <f ca="1">IF(I350&gt;0,J350*100/I350,0)</f>
        <v>0</v>
      </c>
      <c r="L350" s="229">
        <f t="shared" ref="L350:M350" ca="1" si="79">SUM(L351:L352)</f>
        <v>270063</v>
      </c>
      <c r="M350" s="229">
        <f t="shared" si="79"/>
        <v>5496</v>
      </c>
      <c r="N350" s="229">
        <f t="shared" ref="N350:N354" ca="1" si="80">+IF(L350&gt;0,M350*100/L350,0)</f>
        <v>2.0350807033914311</v>
      </c>
    </row>
    <row r="351" spans="1:14" ht="21.75" customHeight="1" x14ac:dyDescent="0.4">
      <c r="A351" s="42"/>
      <c r="B351" s="43"/>
      <c r="C351" s="43" t="s">
        <v>17</v>
      </c>
      <c r="D351" s="44" t="s">
        <v>18</v>
      </c>
      <c r="E351" s="45"/>
      <c r="F351" s="45"/>
      <c r="G351" s="46" t="s">
        <v>19</v>
      </c>
      <c r="H351" s="47" t="s">
        <v>20</v>
      </c>
      <c r="I351" s="48" t="s">
        <v>21</v>
      </c>
      <c r="J351" s="48"/>
      <c r="K351" s="49"/>
      <c r="L351" s="50">
        <v>0</v>
      </c>
      <c r="M351" s="53">
        <v>0</v>
      </c>
      <c r="N351" s="53">
        <f t="shared" si="80"/>
        <v>0</v>
      </c>
    </row>
    <row r="352" spans="1:14" ht="21.75" customHeight="1" x14ac:dyDescent="0.4">
      <c r="A352" s="42"/>
      <c r="B352" s="43"/>
      <c r="C352" s="43"/>
      <c r="D352" s="51"/>
      <c r="E352" s="45"/>
      <c r="F352" s="45" t="s">
        <v>21</v>
      </c>
      <c r="G352" s="46" t="s">
        <v>22</v>
      </c>
      <c r="H352" s="47" t="s">
        <v>20</v>
      </c>
      <c r="I352" s="48"/>
      <c r="J352" s="48"/>
      <c r="K352" s="49"/>
      <c r="L352" s="50">
        <f t="shared" ref="L352:M352" ca="1" si="81">SUM(L353:L354)</f>
        <v>270063</v>
      </c>
      <c r="M352" s="53">
        <f t="shared" si="81"/>
        <v>5496</v>
      </c>
      <c r="N352" s="53">
        <f t="shared" ca="1" si="80"/>
        <v>2.0350807033914311</v>
      </c>
    </row>
    <row r="353" spans="1:14" ht="21.75" customHeight="1" x14ac:dyDescent="0.4">
      <c r="A353" s="42"/>
      <c r="B353" s="43"/>
      <c r="C353" s="43"/>
      <c r="D353" s="51"/>
      <c r="E353" s="45"/>
      <c r="F353" s="45"/>
      <c r="G353" s="52" t="s">
        <v>110</v>
      </c>
      <c r="H353" s="47" t="s">
        <v>20</v>
      </c>
      <c r="I353" s="48"/>
      <c r="J353" s="48"/>
      <c r="K353" s="49"/>
      <c r="L353" s="53">
        <f ca="1">IFERROR(__xludf.DUMMYFUNCTION("IMPORTRANGE(""https://docs.google.com/spreadsheets/d/1C3CXT74ZlgGe6_JY_1olB1XN4rF0dxEuIIF-xsYjHgg/edit?usp=sharing"",""งบกองทุน!Bc24"")"),0)</f>
        <v>0</v>
      </c>
      <c r="M353" s="53">
        <v>0</v>
      </c>
      <c r="N353" s="53">
        <f t="shared" ca="1" si="80"/>
        <v>0</v>
      </c>
    </row>
    <row r="354" spans="1:14" ht="21.75" customHeight="1" x14ac:dyDescent="0.4">
      <c r="A354" s="42"/>
      <c r="B354" s="43"/>
      <c r="C354" s="43"/>
      <c r="D354" s="51"/>
      <c r="E354" s="45"/>
      <c r="F354" s="45"/>
      <c r="G354" s="52" t="s">
        <v>111</v>
      </c>
      <c r="H354" s="47" t="s">
        <v>20</v>
      </c>
      <c r="I354" s="48"/>
      <c r="J354" s="48"/>
      <c r="K354" s="49"/>
      <c r="L354" s="53">
        <f ca="1">IFERROR(__xludf.DUMMYFUNCTION("IMPORTRANGE(""https://docs.google.com/spreadsheets/d/1C3CXT74ZlgGe6_JY_1olB1XN4rF0dxEuIIF-xsYjHgg/edit?usp=sharing"",""งบกองทุน!Bd24"")"),270063)</f>
        <v>270063</v>
      </c>
      <c r="M354" s="53">
        <f>SUM(M355:M358)</f>
        <v>5496</v>
      </c>
      <c r="N354" s="53">
        <f t="shared" ca="1" si="80"/>
        <v>2.0350807033914311</v>
      </c>
    </row>
    <row r="355" spans="1:14" ht="21.75" customHeight="1" x14ac:dyDescent="0.4">
      <c r="A355" s="230"/>
      <c r="B355" s="231"/>
      <c r="C355" s="43"/>
      <c r="D355" s="232"/>
      <c r="E355" s="45"/>
      <c r="F355" s="45"/>
      <c r="G355" s="46" t="s">
        <v>112</v>
      </c>
      <c r="H355" s="47" t="s">
        <v>20</v>
      </c>
      <c r="I355" s="67"/>
      <c r="J355" s="67"/>
      <c r="K355" s="233"/>
      <c r="L355" s="53"/>
      <c r="M355" s="53">
        <v>0</v>
      </c>
      <c r="N355" s="53"/>
    </row>
    <row r="356" spans="1:14" ht="21.75" customHeight="1" x14ac:dyDescent="0.4">
      <c r="A356" s="230"/>
      <c r="B356" s="231"/>
      <c r="C356" s="43"/>
      <c r="D356" s="232"/>
      <c r="E356" s="45"/>
      <c r="F356" s="45"/>
      <c r="G356" s="46" t="s">
        <v>113</v>
      </c>
      <c r="H356" s="47" t="s">
        <v>20</v>
      </c>
      <c r="I356" s="67"/>
      <c r="J356" s="67"/>
      <c r="K356" s="233"/>
      <c r="L356" s="53"/>
      <c r="M356" s="53">
        <v>0</v>
      </c>
      <c r="N356" s="53"/>
    </row>
    <row r="357" spans="1:14" ht="21.75" customHeight="1" x14ac:dyDescent="0.4">
      <c r="A357" s="230"/>
      <c r="B357" s="231"/>
      <c r="C357" s="43"/>
      <c r="D357" s="232"/>
      <c r="E357" s="45"/>
      <c r="F357" s="45"/>
      <c r="G357" s="46" t="s">
        <v>114</v>
      </c>
      <c r="H357" s="47" t="s">
        <v>20</v>
      </c>
      <c r="I357" s="67"/>
      <c r="J357" s="67"/>
      <c r="K357" s="233"/>
      <c r="L357" s="53"/>
      <c r="M357" s="54">
        <v>0</v>
      </c>
      <c r="N357" s="53"/>
    </row>
    <row r="358" spans="1:14" ht="21.75" customHeight="1" x14ac:dyDescent="0.4">
      <c r="A358" s="230"/>
      <c r="B358" s="231"/>
      <c r="C358" s="43"/>
      <c r="D358" s="232"/>
      <c r="E358" s="45"/>
      <c r="F358" s="45"/>
      <c r="G358" s="46" t="s">
        <v>115</v>
      </c>
      <c r="H358" s="47" t="s">
        <v>20</v>
      </c>
      <c r="I358" s="67"/>
      <c r="J358" s="67"/>
      <c r="K358" s="233"/>
      <c r="L358" s="53"/>
      <c r="M358" s="54">
        <v>5496</v>
      </c>
      <c r="N358" s="53"/>
    </row>
    <row r="359" spans="1:14" ht="21.75" customHeight="1" x14ac:dyDescent="0.4">
      <c r="A359" s="55"/>
      <c r="B359" s="56"/>
      <c r="C359" s="261" t="s">
        <v>147</v>
      </c>
      <c r="D359" s="261"/>
      <c r="E359" s="262"/>
      <c r="F359" s="262"/>
      <c r="G359" s="263"/>
      <c r="H359" s="136" t="s">
        <v>103</v>
      </c>
      <c r="I359" s="137">
        <f ca="1">IFERROR(__xludf.DUMMYFUNCTION("IMPORTRANGE(""https://docs.google.com/spreadsheets/d/1C3CXT74ZlgGe6_JY_1olB1XN4rF0dxEuIIF-xsYjHgg/edit?usp=sharing"",""งบกองทุน!BE24"")"),40137)</f>
        <v>40137</v>
      </c>
      <c r="J359" s="137">
        <f>+J376</f>
        <v>0</v>
      </c>
      <c r="K359" s="138">
        <f t="shared" ref="K359:K425" ca="1" si="82">IF(I359&gt;0,J359*100/I359,0)</f>
        <v>0</v>
      </c>
      <c r="L359" s="140"/>
      <c r="M359" s="140"/>
      <c r="N359" s="140"/>
    </row>
    <row r="360" spans="1:14" ht="21.75" customHeight="1" x14ac:dyDescent="0.4">
      <c r="A360" s="249"/>
      <c r="B360" s="250"/>
      <c r="C360" s="250"/>
      <c r="D360" s="251"/>
      <c r="E360" s="73" t="s">
        <v>148</v>
      </c>
      <c r="F360" s="75"/>
      <c r="G360" s="76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IFERROR(__xludf.DUMMYFUNCTION("IMPORTRANGE(""https://docs.google.com/spreadsheets/d/1C3CXT74ZlgGe6_JY_1olB1XN4rF0dxEuIIF-xsYjHgg/edit?usp=sharing"",""งบกองทุน!BE24"")"),40137)</f>
        <v>40137</v>
      </c>
      <c r="J360" s="265">
        <f t="shared" ref="J360:J361" si="83">+J362+J364+J366</f>
        <v>16690</v>
      </c>
      <c r="K360" s="80">
        <f t="shared" ca="1" si="82"/>
        <v>41.582579664648577</v>
      </c>
      <c r="L360" s="61"/>
      <c r="M360" s="61"/>
      <c r="N360" s="61"/>
    </row>
    <row r="361" spans="1:14" ht="21.75" customHeight="1" x14ac:dyDescent="0.4">
      <c r="A361" s="249"/>
      <c r="B361" s="250"/>
      <c r="C361" s="250"/>
      <c r="D361" s="251"/>
      <c r="E361" s="75"/>
      <c r="F361" s="75"/>
      <c r="G361" s="76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IFERROR(__xludf.DUMMYFUNCTION("IMPORTRANGE(""https://docs.google.com/spreadsheets/d/1C3CXT74ZlgGe6_JY_1olB1XN4rF0dxEuIIF-xsYjHgg/edit?usp=sharing"",""งบกองทุน!Bf24"")"),3128)</f>
        <v>3128</v>
      </c>
      <c r="J361" s="265">
        <f t="shared" si="83"/>
        <v>1416</v>
      </c>
      <c r="K361" s="80">
        <f t="shared" ca="1" si="82"/>
        <v>45.268542199488493</v>
      </c>
      <c r="L361" s="61"/>
      <c r="M361" s="61"/>
      <c r="N361" s="61"/>
    </row>
    <row r="362" spans="1:14" ht="21.75" customHeight="1" x14ac:dyDescent="0.4">
      <c r="A362" s="249"/>
      <c r="B362" s="250"/>
      <c r="C362" s="250"/>
      <c r="D362" s="251"/>
      <c r="E362" s="75"/>
      <c r="F362" s="242" t="s">
        <v>149</v>
      </c>
      <c r="G362" s="266"/>
      <c r="H362" s="267" t="s">
        <v>103</v>
      </c>
      <c r="I362" s="48">
        <v>0</v>
      </c>
      <c r="J362" s="68">
        <v>14768</v>
      </c>
      <c r="K362" s="49">
        <f t="shared" si="82"/>
        <v>0</v>
      </c>
      <c r="L362" s="61"/>
      <c r="M362" s="61"/>
      <c r="N362" s="61"/>
    </row>
    <row r="363" spans="1:14" ht="21.75" customHeight="1" x14ac:dyDescent="0.4">
      <c r="A363" s="249"/>
      <c r="B363" s="250"/>
      <c r="C363" s="250"/>
      <c r="D363" s="251"/>
      <c r="E363" s="75"/>
      <c r="F363" s="75"/>
      <c r="G363" s="266"/>
      <c r="H363" s="267" t="s">
        <v>15</v>
      </c>
      <c r="I363" s="48">
        <v>0</v>
      </c>
      <c r="J363" s="68">
        <v>1247</v>
      </c>
      <c r="K363" s="49">
        <f t="shared" si="82"/>
        <v>0</v>
      </c>
      <c r="L363" s="61"/>
      <c r="M363" s="61"/>
      <c r="N363" s="61"/>
    </row>
    <row r="364" spans="1:14" ht="21.75" customHeight="1" x14ac:dyDescent="0.4">
      <c r="A364" s="249"/>
      <c r="B364" s="250"/>
      <c r="C364" s="250"/>
      <c r="D364" s="251"/>
      <c r="E364" s="75"/>
      <c r="F364" s="242" t="s">
        <v>150</v>
      </c>
      <c r="G364" s="266"/>
      <c r="H364" s="267" t="s">
        <v>103</v>
      </c>
      <c r="I364" s="48">
        <v>0</v>
      </c>
      <c r="J364" s="68">
        <v>1704</v>
      </c>
      <c r="K364" s="49">
        <f t="shared" si="82"/>
        <v>0</v>
      </c>
      <c r="L364" s="61"/>
      <c r="M364" s="61"/>
      <c r="N364" s="61"/>
    </row>
    <row r="365" spans="1:14" ht="21.75" customHeight="1" x14ac:dyDescent="0.4">
      <c r="A365" s="249"/>
      <c r="B365" s="250"/>
      <c r="C365" s="250"/>
      <c r="D365" s="251"/>
      <c r="E365" s="75"/>
      <c r="F365" s="75"/>
      <c r="G365" s="266"/>
      <c r="H365" s="267" t="s">
        <v>15</v>
      </c>
      <c r="I365" s="48">
        <v>0</v>
      </c>
      <c r="J365" s="68">
        <v>130</v>
      </c>
      <c r="K365" s="49">
        <f t="shared" si="82"/>
        <v>0</v>
      </c>
      <c r="L365" s="61"/>
      <c r="M365" s="61"/>
      <c r="N365" s="61"/>
    </row>
    <row r="366" spans="1:14" ht="21.75" customHeight="1" x14ac:dyDescent="0.4">
      <c r="A366" s="249"/>
      <c r="B366" s="250"/>
      <c r="C366" s="250"/>
      <c r="D366" s="251"/>
      <c r="E366" s="75"/>
      <c r="F366" s="242" t="s">
        <v>151</v>
      </c>
      <c r="G366" s="266"/>
      <c r="H366" s="267" t="s">
        <v>103</v>
      </c>
      <c r="I366" s="48">
        <v>0</v>
      </c>
      <c r="J366" s="68">
        <v>218</v>
      </c>
      <c r="K366" s="49">
        <f t="shared" si="82"/>
        <v>0</v>
      </c>
      <c r="L366" s="61"/>
      <c r="M366" s="61"/>
      <c r="N366" s="61"/>
    </row>
    <row r="367" spans="1:14" ht="21.75" customHeight="1" x14ac:dyDescent="0.4">
      <c r="A367" s="249"/>
      <c r="B367" s="250"/>
      <c r="C367" s="250"/>
      <c r="D367" s="251"/>
      <c r="E367" s="75"/>
      <c r="F367" s="75"/>
      <c r="G367" s="75"/>
      <c r="H367" s="267" t="s">
        <v>15</v>
      </c>
      <c r="I367" s="48">
        <v>0</v>
      </c>
      <c r="J367" s="68">
        <v>39</v>
      </c>
      <c r="K367" s="49">
        <f t="shared" si="82"/>
        <v>0</v>
      </c>
      <c r="L367" s="61"/>
      <c r="M367" s="61"/>
      <c r="N367" s="61"/>
    </row>
    <row r="368" spans="1:14" ht="21.75" customHeight="1" x14ac:dyDescent="0.4">
      <c r="A368" s="249"/>
      <c r="B368" s="250"/>
      <c r="C368" s="250"/>
      <c r="D368" s="251"/>
      <c r="E368" s="155" t="s">
        <v>152</v>
      </c>
      <c r="F368" s="75"/>
      <c r="G368" s="76"/>
      <c r="H368" s="264" t="s">
        <v>103</v>
      </c>
      <c r="I368" s="265">
        <f ca="1">+I359</f>
        <v>40137</v>
      </c>
      <c r="J368" s="265">
        <f t="shared" ref="J368:J369" si="84">+J370+J372+J374</f>
        <v>0</v>
      </c>
      <c r="K368" s="80">
        <f t="shared" ca="1" si="82"/>
        <v>0</v>
      </c>
      <c r="L368" s="61"/>
      <c r="M368" s="61"/>
      <c r="N368" s="61"/>
    </row>
    <row r="369" spans="1:14" ht="21.75" customHeight="1" x14ac:dyDescent="0.4">
      <c r="A369" s="249"/>
      <c r="B369" s="250"/>
      <c r="C369" s="250"/>
      <c r="D369" s="251"/>
      <c r="E369" s="75"/>
      <c r="F369" s="75"/>
      <c r="G369" s="76"/>
      <c r="H369" s="264" t="s">
        <v>15</v>
      </c>
      <c r="I369" s="265">
        <f ca="1">I361</f>
        <v>3128</v>
      </c>
      <c r="J369" s="265">
        <f t="shared" si="84"/>
        <v>0</v>
      </c>
      <c r="K369" s="49">
        <f t="shared" ca="1" si="82"/>
        <v>0</v>
      </c>
      <c r="L369" s="61"/>
      <c r="M369" s="61"/>
      <c r="N369" s="61"/>
    </row>
    <row r="370" spans="1:14" ht="21.75" customHeight="1" x14ac:dyDescent="0.4">
      <c r="A370" s="249"/>
      <c r="B370" s="250"/>
      <c r="C370" s="250"/>
      <c r="D370" s="251"/>
      <c r="E370" s="75"/>
      <c r="F370" s="74" t="s">
        <v>153</v>
      </c>
      <c r="G370" s="266"/>
      <c r="H370" s="267" t="s">
        <v>103</v>
      </c>
      <c r="I370" s="48">
        <v>0</v>
      </c>
      <c r="J370" s="68">
        <v>0</v>
      </c>
      <c r="K370" s="49">
        <f t="shared" si="82"/>
        <v>0</v>
      </c>
      <c r="L370" s="61"/>
      <c r="M370" s="61"/>
      <c r="N370" s="61"/>
    </row>
    <row r="371" spans="1:14" ht="21.75" customHeight="1" x14ac:dyDescent="0.4">
      <c r="A371" s="249"/>
      <c r="B371" s="250"/>
      <c r="C371" s="250"/>
      <c r="D371" s="251"/>
      <c r="E371" s="75"/>
      <c r="F371" s="75"/>
      <c r="G371" s="266"/>
      <c r="H371" s="267" t="s">
        <v>15</v>
      </c>
      <c r="I371" s="48">
        <v>0</v>
      </c>
      <c r="J371" s="68">
        <v>0</v>
      </c>
      <c r="K371" s="49">
        <f t="shared" si="82"/>
        <v>0</v>
      </c>
      <c r="L371" s="61"/>
      <c r="M371" s="61"/>
      <c r="N371" s="61"/>
    </row>
    <row r="372" spans="1:14" ht="21.75" customHeight="1" x14ac:dyDescent="0.4">
      <c r="A372" s="249"/>
      <c r="B372" s="250"/>
      <c r="C372" s="250"/>
      <c r="D372" s="251"/>
      <c r="E372" s="75"/>
      <c r="F372" s="74" t="s">
        <v>154</v>
      </c>
      <c r="G372" s="266"/>
      <c r="H372" s="267" t="s">
        <v>103</v>
      </c>
      <c r="I372" s="48">
        <v>0</v>
      </c>
      <c r="J372" s="68">
        <v>0</v>
      </c>
      <c r="K372" s="49">
        <f t="shared" si="82"/>
        <v>0</v>
      </c>
      <c r="L372" s="61"/>
      <c r="M372" s="61"/>
      <c r="N372" s="61"/>
    </row>
    <row r="373" spans="1:14" ht="21.75" customHeight="1" x14ac:dyDescent="0.4">
      <c r="A373" s="249"/>
      <c r="B373" s="250"/>
      <c r="C373" s="250"/>
      <c r="D373" s="251"/>
      <c r="E373" s="75"/>
      <c r="F373" s="75"/>
      <c r="G373" s="266"/>
      <c r="H373" s="267" t="s">
        <v>15</v>
      </c>
      <c r="I373" s="48">
        <v>0</v>
      </c>
      <c r="J373" s="68">
        <v>0</v>
      </c>
      <c r="K373" s="49">
        <f t="shared" si="82"/>
        <v>0</v>
      </c>
      <c r="L373" s="61"/>
      <c r="M373" s="61"/>
      <c r="N373" s="61"/>
    </row>
    <row r="374" spans="1:14" ht="21.75" customHeight="1" x14ac:dyDescent="0.4">
      <c r="A374" s="249"/>
      <c r="B374" s="250"/>
      <c r="C374" s="250"/>
      <c r="D374" s="251"/>
      <c r="E374" s="75"/>
      <c r="F374" s="74" t="s">
        <v>155</v>
      </c>
      <c r="G374" s="266"/>
      <c r="H374" s="267" t="s">
        <v>103</v>
      </c>
      <c r="I374" s="48">
        <v>0</v>
      </c>
      <c r="J374" s="68">
        <v>0</v>
      </c>
      <c r="K374" s="49">
        <f t="shared" si="82"/>
        <v>0</v>
      </c>
      <c r="L374" s="61"/>
      <c r="M374" s="61"/>
      <c r="N374" s="61"/>
    </row>
    <row r="375" spans="1:14" ht="21.75" customHeight="1" x14ac:dyDescent="0.4">
      <c r="A375" s="249"/>
      <c r="B375" s="250"/>
      <c r="C375" s="250"/>
      <c r="D375" s="251"/>
      <c r="E375" s="75"/>
      <c r="F375" s="75"/>
      <c r="G375" s="76"/>
      <c r="H375" s="267" t="s">
        <v>15</v>
      </c>
      <c r="I375" s="48">
        <v>0</v>
      </c>
      <c r="J375" s="68">
        <v>0</v>
      </c>
      <c r="K375" s="49">
        <f t="shared" si="82"/>
        <v>0</v>
      </c>
      <c r="L375" s="61"/>
      <c r="M375" s="61"/>
      <c r="N375" s="61"/>
    </row>
    <row r="376" spans="1:14" ht="21.75" customHeight="1" x14ac:dyDescent="0.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40137</v>
      </c>
      <c r="J376" s="265">
        <f t="shared" ref="J376:J377" si="85">+J378+J380+J382+J388</f>
        <v>0</v>
      </c>
      <c r="K376" s="80">
        <f t="shared" ca="1" si="82"/>
        <v>0</v>
      </c>
      <c r="L376" s="275"/>
      <c r="M376" s="275"/>
      <c r="N376" s="275"/>
    </row>
    <row r="377" spans="1:14" ht="21.75" customHeight="1" x14ac:dyDescent="0.4">
      <c r="A377" s="249"/>
      <c r="B377" s="250"/>
      <c r="C377" s="250"/>
      <c r="D377" s="251"/>
      <c r="E377" s="75"/>
      <c r="F377" s="75"/>
      <c r="G377" s="76"/>
      <c r="H377" s="264" t="s">
        <v>15</v>
      </c>
      <c r="I377" s="265">
        <f ca="1">I361</f>
        <v>3128</v>
      </c>
      <c r="J377" s="265">
        <f t="shared" si="85"/>
        <v>0</v>
      </c>
      <c r="K377" s="49">
        <f t="shared" ca="1" si="82"/>
        <v>0</v>
      </c>
      <c r="L377" s="61"/>
      <c r="M377" s="61"/>
      <c r="N377" s="61"/>
    </row>
    <row r="378" spans="1:14" ht="21.75" customHeight="1" x14ac:dyDescent="0.4">
      <c r="A378" s="249"/>
      <c r="B378" s="250"/>
      <c r="C378" s="250"/>
      <c r="D378" s="251"/>
      <c r="E378" s="75"/>
      <c r="F378" s="74" t="s">
        <v>157</v>
      </c>
      <c r="G378" s="266"/>
      <c r="H378" s="267" t="s">
        <v>103</v>
      </c>
      <c r="I378" s="48">
        <v>0</v>
      </c>
      <c r="J378" s="68">
        <v>0</v>
      </c>
      <c r="K378" s="49">
        <f t="shared" si="82"/>
        <v>0</v>
      </c>
      <c r="L378" s="61"/>
      <c r="M378" s="61"/>
      <c r="N378" s="61"/>
    </row>
    <row r="379" spans="1:14" ht="21.75" customHeight="1" x14ac:dyDescent="0.4">
      <c r="A379" s="249"/>
      <c r="B379" s="250"/>
      <c r="C379" s="250"/>
      <c r="D379" s="251"/>
      <c r="E379" s="75"/>
      <c r="F379" s="75"/>
      <c r="G379" s="266"/>
      <c r="H379" s="267" t="s">
        <v>15</v>
      </c>
      <c r="I379" s="48">
        <v>0</v>
      </c>
      <c r="J379" s="68">
        <v>0</v>
      </c>
      <c r="K379" s="49">
        <f t="shared" si="82"/>
        <v>0</v>
      </c>
      <c r="L379" s="61"/>
      <c r="M379" s="61"/>
      <c r="N379" s="61"/>
    </row>
    <row r="380" spans="1:14" ht="21.75" customHeight="1" x14ac:dyDescent="0.4">
      <c r="A380" s="249"/>
      <c r="B380" s="250"/>
      <c r="C380" s="250"/>
      <c r="D380" s="251"/>
      <c r="E380" s="75"/>
      <c r="F380" s="74" t="s">
        <v>158</v>
      </c>
      <c r="G380" s="266"/>
      <c r="H380" s="267" t="s">
        <v>103</v>
      </c>
      <c r="I380" s="48">
        <v>0</v>
      </c>
      <c r="J380" s="68">
        <v>0</v>
      </c>
      <c r="K380" s="49">
        <f t="shared" si="82"/>
        <v>0</v>
      </c>
      <c r="L380" s="61"/>
      <c r="M380" s="61"/>
      <c r="N380" s="61"/>
    </row>
    <row r="381" spans="1:14" ht="21.75" customHeight="1" x14ac:dyDescent="0.4">
      <c r="A381" s="249"/>
      <c r="B381" s="250"/>
      <c r="C381" s="250"/>
      <c r="D381" s="251"/>
      <c r="E381" s="75"/>
      <c r="F381" s="75"/>
      <c r="G381" s="266"/>
      <c r="H381" s="267" t="s">
        <v>15</v>
      </c>
      <c r="I381" s="48">
        <v>0</v>
      </c>
      <c r="J381" s="68">
        <v>0</v>
      </c>
      <c r="K381" s="49">
        <f t="shared" si="82"/>
        <v>0</v>
      </c>
      <c r="L381" s="61"/>
      <c r="M381" s="61"/>
      <c r="N381" s="61"/>
    </row>
    <row r="382" spans="1:14" ht="21.75" customHeight="1" x14ac:dyDescent="0.4">
      <c r="A382" s="249"/>
      <c r="B382" s="250"/>
      <c r="C382" s="250"/>
      <c r="D382" s="251"/>
      <c r="E382" s="75"/>
      <c r="F382" s="74" t="s">
        <v>159</v>
      </c>
      <c r="G382" s="266"/>
      <c r="H382" s="267" t="s">
        <v>103</v>
      </c>
      <c r="I382" s="48">
        <v>0</v>
      </c>
      <c r="J382" s="265">
        <f t="shared" ref="J382:J383" si="86">J384+J386</f>
        <v>0</v>
      </c>
      <c r="K382" s="49">
        <f t="shared" si="82"/>
        <v>0</v>
      </c>
      <c r="L382" s="61"/>
      <c r="M382" s="61"/>
      <c r="N382" s="61"/>
    </row>
    <row r="383" spans="1:14" ht="21.75" customHeight="1" x14ac:dyDescent="0.4">
      <c r="A383" s="249"/>
      <c r="B383" s="250"/>
      <c r="C383" s="250"/>
      <c r="D383" s="251"/>
      <c r="E383" s="75"/>
      <c r="F383" s="75"/>
      <c r="G383" s="75"/>
      <c r="H383" s="267" t="s">
        <v>15</v>
      </c>
      <c r="I383" s="48">
        <v>0</v>
      </c>
      <c r="J383" s="265">
        <f t="shared" si="86"/>
        <v>0</v>
      </c>
      <c r="K383" s="49">
        <f t="shared" si="82"/>
        <v>0</v>
      </c>
      <c r="L383" s="61"/>
      <c r="M383" s="61"/>
      <c r="N383" s="61"/>
    </row>
    <row r="384" spans="1:14" ht="21.75" customHeight="1" x14ac:dyDescent="0.4">
      <c r="A384" s="249"/>
      <c r="B384" s="250"/>
      <c r="C384" s="250"/>
      <c r="D384" s="251"/>
      <c r="E384" s="75"/>
      <c r="F384" s="75"/>
      <c r="G384" s="74" t="s">
        <v>160</v>
      </c>
      <c r="H384" s="267" t="s">
        <v>103</v>
      </c>
      <c r="I384" s="48">
        <v>0</v>
      </c>
      <c r="J384" s="68">
        <v>0</v>
      </c>
      <c r="K384" s="49">
        <f t="shared" si="82"/>
        <v>0</v>
      </c>
      <c r="L384" s="61"/>
      <c r="M384" s="61"/>
      <c r="N384" s="61"/>
    </row>
    <row r="385" spans="1:14" ht="21.75" customHeight="1" x14ac:dyDescent="0.4">
      <c r="A385" s="249"/>
      <c r="B385" s="250"/>
      <c r="C385" s="250"/>
      <c r="D385" s="251"/>
      <c r="E385" s="75"/>
      <c r="F385" s="75"/>
      <c r="G385" s="75"/>
      <c r="H385" s="267" t="s">
        <v>15</v>
      </c>
      <c r="I385" s="48">
        <v>0</v>
      </c>
      <c r="J385" s="68">
        <v>0</v>
      </c>
      <c r="K385" s="49">
        <f t="shared" si="82"/>
        <v>0</v>
      </c>
      <c r="L385" s="61"/>
      <c r="M385" s="61"/>
      <c r="N385" s="61"/>
    </row>
    <row r="386" spans="1:14" ht="21.75" customHeight="1" x14ac:dyDescent="0.4">
      <c r="A386" s="249"/>
      <c r="B386" s="250"/>
      <c r="C386" s="250"/>
      <c r="D386" s="251"/>
      <c r="E386" s="75"/>
      <c r="F386" s="75"/>
      <c r="G386" s="74" t="s">
        <v>161</v>
      </c>
      <c r="H386" s="267" t="s">
        <v>103</v>
      </c>
      <c r="I386" s="48">
        <v>0</v>
      </c>
      <c r="J386" s="68">
        <v>0</v>
      </c>
      <c r="K386" s="49">
        <f t="shared" si="82"/>
        <v>0</v>
      </c>
      <c r="L386" s="61"/>
      <c r="M386" s="61"/>
      <c r="N386" s="61"/>
    </row>
    <row r="387" spans="1:14" ht="21.75" customHeight="1" x14ac:dyDescent="0.4">
      <c r="A387" s="249"/>
      <c r="B387" s="250"/>
      <c r="C387" s="250"/>
      <c r="D387" s="251"/>
      <c r="E387" s="75"/>
      <c r="F387" s="75"/>
      <c r="G387" s="76"/>
      <c r="H387" s="267" t="s">
        <v>15</v>
      </c>
      <c r="I387" s="48">
        <v>0</v>
      </c>
      <c r="J387" s="68">
        <v>0</v>
      </c>
      <c r="K387" s="49">
        <f t="shared" si="82"/>
        <v>0</v>
      </c>
      <c r="L387" s="61"/>
      <c r="M387" s="61"/>
      <c r="N387" s="61"/>
    </row>
    <row r="388" spans="1:14" ht="21.75" customHeight="1" x14ac:dyDescent="0.4">
      <c r="A388" s="249"/>
      <c r="B388" s="250"/>
      <c r="C388" s="250"/>
      <c r="D388" s="251"/>
      <c r="E388" s="75"/>
      <c r="F388" s="74" t="s">
        <v>162</v>
      </c>
      <c r="G388" s="266"/>
      <c r="H388" s="267" t="s">
        <v>103</v>
      </c>
      <c r="I388" s="48">
        <v>0</v>
      </c>
      <c r="J388" s="68">
        <v>0</v>
      </c>
      <c r="K388" s="49">
        <f t="shared" si="82"/>
        <v>0</v>
      </c>
      <c r="L388" s="61"/>
      <c r="M388" s="61"/>
      <c r="N388" s="61"/>
    </row>
    <row r="389" spans="1:14" ht="21.75" customHeight="1" x14ac:dyDescent="0.4">
      <c r="A389" s="276"/>
      <c r="B389" s="277"/>
      <c r="C389" s="277"/>
      <c r="D389" s="278"/>
      <c r="E389" s="204"/>
      <c r="F389" s="204"/>
      <c r="G389" s="204"/>
      <c r="H389" s="279" t="s">
        <v>15</v>
      </c>
      <c r="I389" s="384">
        <v>0</v>
      </c>
      <c r="J389" s="68">
        <v>0</v>
      </c>
      <c r="K389" s="114">
        <f t="shared" si="82"/>
        <v>0</v>
      </c>
      <c r="L389" s="115"/>
      <c r="M389" s="115"/>
      <c r="N389" s="115"/>
    </row>
    <row r="390" spans="1:14" ht="21.75" customHeight="1" x14ac:dyDescent="0.4">
      <c r="A390" s="55"/>
      <c r="B390" s="56"/>
      <c r="C390" s="261" t="s">
        <v>163</v>
      </c>
      <c r="D390" s="261"/>
      <c r="E390" s="262"/>
      <c r="F390" s="262"/>
      <c r="G390" s="263"/>
      <c r="H390" s="136" t="s">
        <v>103</v>
      </c>
      <c r="I390" s="137">
        <f ca="1">IFERROR(__xludf.DUMMYFUNCTION("IMPORTRANGE(""https://docs.google.com/spreadsheets/d/1C3CXT74ZlgGe6_JY_1olB1XN4rF0dxEuIIF-xsYjHgg/edit?usp=sharing"",""งบกองทุน!cd24"")"),1984)</f>
        <v>1984</v>
      </c>
      <c r="J390" s="137">
        <f>J391</f>
        <v>0</v>
      </c>
      <c r="K390" s="138">
        <f t="shared" ca="1" si="82"/>
        <v>0</v>
      </c>
      <c r="L390" s="140"/>
      <c r="M390" s="140"/>
      <c r="N390" s="140"/>
    </row>
    <row r="391" spans="1:14" ht="21.75" customHeight="1" x14ac:dyDescent="0.4">
      <c r="A391" s="55"/>
      <c r="B391" s="56"/>
      <c r="C391" s="56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IFERROR(__xludf.DUMMYFUNCTION("IMPORTRANGE(""https://docs.google.com/spreadsheets/d/1C3CXT74ZlgGe6_JY_1olB1XN4rF0dxEuIIF-xsYjHgg/edit?usp=sharing"",""งบกองทุน!cd24"")"),1984)</f>
        <v>1984</v>
      </c>
      <c r="J391" s="265">
        <f t="shared" ref="J391:J392" si="87">J393+J401+J407</f>
        <v>0</v>
      </c>
      <c r="K391" s="49">
        <f t="shared" ca="1" si="82"/>
        <v>0</v>
      </c>
      <c r="L391" s="61"/>
      <c r="M391" s="61"/>
      <c r="N391" s="61"/>
    </row>
    <row r="392" spans="1:14" ht="21.75" customHeight="1" x14ac:dyDescent="0.4">
      <c r="A392" s="55"/>
      <c r="B392" s="56"/>
      <c r="C392" s="56"/>
      <c r="D392" s="73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IFERROR(__xludf.DUMMYFUNCTION("IMPORTRANGE(""https://docs.google.com/spreadsheets/d/1C3CXT74ZlgGe6_JY_1olB1XN4rF0dxEuIIF-xsYjHgg/edit?usp=sharing"",""งบกองทุน!cc24"")"),117)</f>
        <v>117</v>
      </c>
      <c r="J392" s="265">
        <f t="shared" si="87"/>
        <v>0</v>
      </c>
      <c r="K392" s="80">
        <f t="shared" ca="1" si="82"/>
        <v>0</v>
      </c>
      <c r="L392" s="61"/>
      <c r="M392" s="61"/>
      <c r="N392" s="61"/>
    </row>
    <row r="393" spans="1:14" ht="21.75" customHeight="1" x14ac:dyDescent="0.4">
      <c r="A393" s="55"/>
      <c r="B393" s="56"/>
      <c r="C393" s="56"/>
      <c r="D393" s="251"/>
      <c r="E393" s="251" t="s">
        <v>165</v>
      </c>
      <c r="F393" s="75"/>
      <c r="G393" s="76"/>
      <c r="H393" s="267" t="s">
        <v>103</v>
      </c>
      <c r="I393" s="48">
        <v>0</v>
      </c>
      <c r="J393" s="48">
        <f t="shared" ref="J393:J394" si="88">J395+J397+J399</f>
        <v>0</v>
      </c>
      <c r="K393" s="49">
        <f t="shared" si="82"/>
        <v>0</v>
      </c>
      <c r="L393" s="61"/>
      <c r="M393" s="61"/>
      <c r="N393" s="61"/>
    </row>
    <row r="394" spans="1:14" ht="21.75" customHeight="1" x14ac:dyDescent="0.4">
      <c r="A394" s="55"/>
      <c r="B394" s="56"/>
      <c r="C394" s="56"/>
      <c r="D394" s="73"/>
      <c r="E394" s="75"/>
      <c r="F394" s="75"/>
      <c r="G394" s="76"/>
      <c r="H394" s="267" t="s">
        <v>15</v>
      </c>
      <c r="I394" s="48">
        <v>0</v>
      </c>
      <c r="J394" s="48">
        <f t="shared" si="88"/>
        <v>0</v>
      </c>
      <c r="K394" s="49">
        <f t="shared" si="82"/>
        <v>0</v>
      </c>
      <c r="L394" s="61"/>
      <c r="M394" s="61"/>
      <c r="N394" s="61"/>
    </row>
    <row r="395" spans="1:14" ht="21.75" customHeight="1" x14ac:dyDescent="0.4">
      <c r="A395" s="55"/>
      <c r="B395" s="56"/>
      <c r="C395" s="56"/>
      <c r="D395" s="73"/>
      <c r="E395" s="75"/>
      <c r="F395" s="242" t="s">
        <v>166</v>
      </c>
      <c r="G395" s="266"/>
      <c r="H395" s="267" t="s">
        <v>103</v>
      </c>
      <c r="I395" s="48">
        <v>0</v>
      </c>
      <c r="J395" s="68">
        <v>0</v>
      </c>
      <c r="K395" s="49">
        <f t="shared" si="82"/>
        <v>0</v>
      </c>
      <c r="L395" s="61"/>
      <c r="M395" s="61"/>
      <c r="N395" s="61"/>
    </row>
    <row r="396" spans="1:14" ht="21.75" customHeight="1" x14ac:dyDescent="0.4">
      <c r="A396" s="55"/>
      <c r="B396" s="56"/>
      <c r="C396" s="56"/>
      <c r="D396" s="73"/>
      <c r="E396" s="75"/>
      <c r="F396" s="75"/>
      <c r="G396" s="266"/>
      <c r="H396" s="267" t="s">
        <v>15</v>
      </c>
      <c r="I396" s="48">
        <v>0</v>
      </c>
      <c r="J396" s="68">
        <v>0</v>
      </c>
      <c r="K396" s="49">
        <f t="shared" si="82"/>
        <v>0</v>
      </c>
      <c r="L396" s="61"/>
      <c r="M396" s="61"/>
      <c r="N396" s="61"/>
    </row>
    <row r="397" spans="1:14" ht="21.75" customHeight="1" x14ac:dyDescent="0.4">
      <c r="A397" s="55"/>
      <c r="B397" s="56"/>
      <c r="C397" s="56"/>
      <c r="D397" s="73"/>
      <c r="E397" s="75"/>
      <c r="F397" s="242" t="s">
        <v>167</v>
      </c>
      <c r="G397" s="266"/>
      <c r="H397" s="267" t="s">
        <v>103</v>
      </c>
      <c r="I397" s="48">
        <v>0</v>
      </c>
      <c r="J397" s="68">
        <v>0</v>
      </c>
      <c r="K397" s="49">
        <f t="shared" si="82"/>
        <v>0</v>
      </c>
      <c r="L397" s="61"/>
      <c r="M397" s="61"/>
      <c r="N397" s="61"/>
    </row>
    <row r="398" spans="1:14" ht="21.75" customHeight="1" x14ac:dyDescent="0.4">
      <c r="A398" s="55"/>
      <c r="B398" s="56"/>
      <c r="C398" s="56"/>
      <c r="D398" s="73"/>
      <c r="E398" s="75"/>
      <c r="F398" s="75"/>
      <c r="G398" s="266"/>
      <c r="H398" s="267" t="s">
        <v>15</v>
      </c>
      <c r="I398" s="48">
        <v>0</v>
      </c>
      <c r="J398" s="68">
        <v>0</v>
      </c>
      <c r="K398" s="49">
        <f t="shared" si="82"/>
        <v>0</v>
      </c>
      <c r="L398" s="61"/>
      <c r="M398" s="61"/>
      <c r="N398" s="61"/>
    </row>
    <row r="399" spans="1:14" ht="21.75" customHeight="1" x14ac:dyDescent="0.4">
      <c r="A399" s="55"/>
      <c r="B399" s="56"/>
      <c r="C399" s="56"/>
      <c r="D399" s="73"/>
      <c r="E399" s="75"/>
      <c r="F399" s="242" t="s">
        <v>168</v>
      </c>
      <c r="G399" s="266"/>
      <c r="H399" s="267" t="s">
        <v>103</v>
      </c>
      <c r="I399" s="48">
        <v>0</v>
      </c>
      <c r="J399" s="68">
        <v>0</v>
      </c>
      <c r="K399" s="49">
        <f t="shared" si="82"/>
        <v>0</v>
      </c>
      <c r="L399" s="61"/>
      <c r="M399" s="61"/>
      <c r="N399" s="61"/>
    </row>
    <row r="400" spans="1:14" ht="21.75" customHeight="1" x14ac:dyDescent="0.4">
      <c r="A400" s="55"/>
      <c r="B400" s="56"/>
      <c r="C400" s="56"/>
      <c r="D400" s="73"/>
      <c r="E400" s="75"/>
      <c r="F400" s="75"/>
      <c r="G400" s="75"/>
      <c r="H400" s="267" t="s">
        <v>15</v>
      </c>
      <c r="I400" s="48">
        <v>0</v>
      </c>
      <c r="J400" s="68">
        <v>0</v>
      </c>
      <c r="K400" s="49">
        <f t="shared" si="82"/>
        <v>0</v>
      </c>
      <c r="L400" s="61"/>
      <c r="M400" s="61"/>
      <c r="N400" s="61"/>
    </row>
    <row r="401" spans="1:14" ht="21.75" customHeight="1" x14ac:dyDescent="0.4">
      <c r="A401" s="55"/>
      <c r="B401" s="56"/>
      <c r="C401" s="56"/>
      <c r="D401" s="73"/>
      <c r="E401" s="74" t="s">
        <v>169</v>
      </c>
      <c r="F401" s="75"/>
      <c r="G401" s="266"/>
      <c r="H401" s="267" t="s">
        <v>103</v>
      </c>
      <c r="I401" s="48">
        <v>0</v>
      </c>
      <c r="J401" s="48">
        <f t="shared" ref="J401:J402" si="89">+J403+J405</f>
        <v>0</v>
      </c>
      <c r="K401" s="49">
        <f t="shared" si="82"/>
        <v>0</v>
      </c>
      <c r="L401" s="61"/>
      <c r="M401" s="61"/>
      <c r="N401" s="61"/>
    </row>
    <row r="402" spans="1:14" ht="21.75" customHeight="1" x14ac:dyDescent="0.4">
      <c r="A402" s="55"/>
      <c r="B402" s="56"/>
      <c r="C402" s="56"/>
      <c r="D402" s="73"/>
      <c r="E402" s="75"/>
      <c r="F402" s="75"/>
      <c r="G402" s="75"/>
      <c r="H402" s="267" t="s">
        <v>15</v>
      </c>
      <c r="I402" s="48">
        <v>0</v>
      </c>
      <c r="J402" s="48">
        <f t="shared" si="89"/>
        <v>0</v>
      </c>
      <c r="K402" s="49">
        <f t="shared" si="82"/>
        <v>0</v>
      </c>
      <c r="L402" s="61"/>
      <c r="M402" s="61"/>
      <c r="N402" s="61"/>
    </row>
    <row r="403" spans="1:14" ht="21.75" customHeight="1" x14ac:dyDescent="0.4">
      <c r="A403" s="55"/>
      <c r="B403" s="56"/>
      <c r="C403" s="56"/>
      <c r="D403" s="73"/>
      <c r="E403" s="75"/>
      <c r="F403" s="74" t="s">
        <v>170</v>
      </c>
      <c r="G403" s="75"/>
      <c r="H403" s="267" t="s">
        <v>103</v>
      </c>
      <c r="I403" s="48">
        <v>0</v>
      </c>
      <c r="J403" s="68">
        <v>0</v>
      </c>
      <c r="K403" s="49">
        <f t="shared" si="82"/>
        <v>0</v>
      </c>
      <c r="L403" s="61"/>
      <c r="M403" s="61"/>
      <c r="N403" s="61"/>
    </row>
    <row r="404" spans="1:14" ht="21.75" customHeight="1" x14ac:dyDescent="0.4">
      <c r="A404" s="55"/>
      <c r="B404" s="56"/>
      <c r="C404" s="56"/>
      <c r="D404" s="73"/>
      <c r="E404" s="75"/>
      <c r="F404" s="75"/>
      <c r="G404" s="75"/>
      <c r="H404" s="267" t="s">
        <v>15</v>
      </c>
      <c r="I404" s="48">
        <v>0</v>
      </c>
      <c r="J404" s="68">
        <v>0</v>
      </c>
      <c r="K404" s="49">
        <f t="shared" si="82"/>
        <v>0</v>
      </c>
      <c r="L404" s="61"/>
      <c r="M404" s="61"/>
      <c r="N404" s="61"/>
    </row>
    <row r="405" spans="1:14" ht="21.75" customHeight="1" x14ac:dyDescent="0.4">
      <c r="A405" s="55"/>
      <c r="B405" s="56"/>
      <c r="C405" s="56"/>
      <c r="D405" s="73"/>
      <c r="E405" s="75"/>
      <c r="F405" s="74" t="s">
        <v>171</v>
      </c>
      <c r="G405" s="75"/>
      <c r="H405" s="267" t="s">
        <v>103</v>
      </c>
      <c r="I405" s="48">
        <v>0</v>
      </c>
      <c r="J405" s="68">
        <v>0</v>
      </c>
      <c r="K405" s="49">
        <f t="shared" si="82"/>
        <v>0</v>
      </c>
      <c r="L405" s="61"/>
      <c r="M405" s="61"/>
      <c r="N405" s="61"/>
    </row>
    <row r="406" spans="1:14" ht="21.75" customHeight="1" x14ac:dyDescent="0.4">
      <c r="A406" s="55"/>
      <c r="B406" s="56"/>
      <c r="C406" s="56"/>
      <c r="D406" s="73"/>
      <c r="E406" s="75"/>
      <c r="F406" s="75"/>
      <c r="G406" s="76"/>
      <c r="H406" s="267" t="s">
        <v>15</v>
      </c>
      <c r="I406" s="48">
        <v>0</v>
      </c>
      <c r="J406" s="68">
        <v>0</v>
      </c>
      <c r="K406" s="49">
        <f t="shared" si="82"/>
        <v>0</v>
      </c>
      <c r="L406" s="61"/>
      <c r="M406" s="61"/>
      <c r="N406" s="61"/>
    </row>
    <row r="407" spans="1:14" ht="21.75" customHeight="1" x14ac:dyDescent="0.4">
      <c r="A407" s="55"/>
      <c r="B407" s="56"/>
      <c r="C407" s="56"/>
      <c r="D407" s="251"/>
      <c r="E407" s="251" t="s">
        <v>225</v>
      </c>
      <c r="F407" s="75"/>
      <c r="G407" s="76"/>
      <c r="H407" s="267" t="s">
        <v>103</v>
      </c>
      <c r="I407" s="48">
        <v>0</v>
      </c>
      <c r="J407" s="68">
        <v>0</v>
      </c>
      <c r="K407" s="49">
        <f t="shared" si="82"/>
        <v>0</v>
      </c>
      <c r="L407" s="61"/>
      <c r="M407" s="61"/>
      <c r="N407" s="61"/>
    </row>
    <row r="408" spans="1:14" ht="21.75" customHeight="1" x14ac:dyDescent="0.4">
      <c r="A408" s="55"/>
      <c r="B408" s="56"/>
      <c r="C408" s="56"/>
      <c r="D408" s="73"/>
      <c r="E408" s="75"/>
      <c r="F408" s="75"/>
      <c r="G408" s="76"/>
      <c r="H408" s="267" t="s">
        <v>15</v>
      </c>
      <c r="I408" s="48">
        <v>0</v>
      </c>
      <c r="J408" s="68">
        <v>0</v>
      </c>
      <c r="K408" s="49">
        <f t="shared" si="82"/>
        <v>0</v>
      </c>
      <c r="L408" s="61"/>
      <c r="M408" s="61"/>
      <c r="N408" s="61"/>
    </row>
    <row r="409" spans="1:14" ht="21.75" customHeight="1" x14ac:dyDescent="0.4">
      <c r="A409" s="55"/>
      <c r="B409" s="56"/>
      <c r="C409" s="261" t="s">
        <v>173</v>
      </c>
      <c r="D409" s="261"/>
      <c r="E409" s="285"/>
      <c r="F409" s="285"/>
      <c r="G409" s="286"/>
      <c r="H409" s="287" t="s">
        <v>103</v>
      </c>
      <c r="I409" s="137">
        <f ca="1">IFERROR(__xludf.DUMMYFUNCTION("IMPORTRANGE(""https://docs.google.com/spreadsheets/d/1C3CXT74ZlgGe6_JY_1olB1XN4rF0dxEuIIF-xsYjHgg/edit?usp=sharing"",""งบกองทุน!cz24"")"),0)</f>
        <v>0</v>
      </c>
      <c r="J409" s="137">
        <f ca="1">SUM(J412,J414)</f>
        <v>0</v>
      </c>
      <c r="K409" s="138">
        <f t="shared" ca="1" si="82"/>
        <v>0</v>
      </c>
      <c r="L409" s="61"/>
      <c r="M409" s="61"/>
      <c r="N409" s="61"/>
    </row>
    <row r="410" spans="1:14" ht="21.75" customHeight="1" x14ac:dyDescent="0.4">
      <c r="A410" s="55"/>
      <c r="B410" s="56"/>
      <c r="C410" s="288"/>
      <c r="D410" s="288"/>
      <c r="E410" s="288" t="s">
        <v>174</v>
      </c>
      <c r="F410" s="289"/>
      <c r="G410" s="290"/>
      <c r="H410" s="291" t="s">
        <v>103</v>
      </c>
      <c r="I410" s="150">
        <f ca="1">IFERROR(__xludf.DUMMYFUNCTION("IMPORTRANGE(""https://docs.google.com/spreadsheets/d/1C3CXT74ZlgGe6_JY_1olB1XN4rF0dxEuIIF-xsYjHgg/edit?usp=sharing"",""งบกองทุน!cz24"")"),0)</f>
        <v>0</v>
      </c>
      <c r="J410" s="150">
        <f t="shared" ref="J410:J411" ca="1" si="90">SUM(J412,J414)</f>
        <v>0</v>
      </c>
      <c r="K410" s="147">
        <f t="shared" ca="1" si="82"/>
        <v>0</v>
      </c>
      <c r="L410" s="61"/>
      <c r="M410" s="61"/>
      <c r="N410" s="61"/>
    </row>
    <row r="411" spans="1:14" ht="21.75" customHeight="1" x14ac:dyDescent="0.4">
      <c r="A411" s="55"/>
      <c r="B411" s="56"/>
      <c r="C411" s="288"/>
      <c r="D411" s="288"/>
      <c r="E411" s="288" t="s">
        <v>175</v>
      </c>
      <c r="F411" s="289"/>
      <c r="G411" s="290"/>
      <c r="H411" s="291" t="s">
        <v>15</v>
      </c>
      <c r="I411" s="150">
        <f ca="1">IFERROR(__xludf.DUMMYFUNCTION("IMPORTRANGE(""https://docs.google.com/spreadsheets/d/1C3CXT74ZlgGe6_JY_1olB1XN4rF0dxEuIIF-xsYjHgg/edit?usp=sharing"",""งบกองทุน!cy24"")"),0)</f>
        <v>0</v>
      </c>
      <c r="J411" s="150">
        <f t="shared" ca="1" si="90"/>
        <v>0</v>
      </c>
      <c r="K411" s="147">
        <f t="shared" ca="1" si="82"/>
        <v>0</v>
      </c>
      <c r="L411" s="61"/>
      <c r="M411" s="61"/>
      <c r="N411" s="61"/>
    </row>
    <row r="412" spans="1:14" ht="21.75" customHeight="1" x14ac:dyDescent="0.4">
      <c r="A412" s="55"/>
      <c r="B412" s="56"/>
      <c r="C412" s="56"/>
      <c r="D412" s="73"/>
      <c r="E412" s="75"/>
      <c r="F412" s="75"/>
      <c r="G412" s="99" t="s">
        <v>176</v>
      </c>
      <c r="H412" s="267" t="s">
        <v>103</v>
      </c>
      <c r="I412" s="48">
        <v>0</v>
      </c>
      <c r="J412" s="67">
        <f ca="1">IFERROR(__xludf.DUMMYFUNCTION("IMPORTRANGE(""https://docs.google.com/spreadsheets/d/1C3CXT74ZlgGe6_JY_1olB1XN4rF0dxEuIIF-xsYjHgg/edit?usp=sharing"",""งบกองทุน!db24"")"),0)</f>
        <v>0</v>
      </c>
      <c r="K412" s="49">
        <f t="shared" si="82"/>
        <v>0</v>
      </c>
      <c r="L412" s="61"/>
      <c r="M412" s="61"/>
      <c r="N412" s="61"/>
    </row>
    <row r="413" spans="1:14" ht="21.75" customHeight="1" x14ac:dyDescent="0.4">
      <c r="A413" s="55"/>
      <c r="B413" s="56"/>
      <c r="C413" s="56"/>
      <c r="D413" s="73"/>
      <c r="E413" s="75"/>
      <c r="F413" s="75"/>
      <c r="G413" s="76"/>
      <c r="H413" s="267" t="s">
        <v>15</v>
      </c>
      <c r="I413" s="48">
        <v>0</v>
      </c>
      <c r="J413" s="67">
        <f ca="1">IFERROR(__xludf.DUMMYFUNCTION("IMPORTRANGE(""https://docs.google.com/spreadsheets/d/1C3CXT74ZlgGe6_JY_1olB1XN4rF0dxEuIIF-xsYjHgg/edit?usp=sharing"",""งบกองทุน!da24"")"),0)</f>
        <v>0</v>
      </c>
      <c r="K413" s="49">
        <f t="shared" si="82"/>
        <v>0</v>
      </c>
      <c r="L413" s="61"/>
      <c r="M413" s="61"/>
      <c r="N413" s="61"/>
    </row>
    <row r="414" spans="1:14" ht="21.75" customHeight="1" x14ac:dyDescent="0.4">
      <c r="A414" s="55"/>
      <c r="B414" s="56"/>
      <c r="C414" s="56"/>
      <c r="D414" s="73"/>
      <c r="E414" s="75"/>
      <c r="F414" s="75"/>
      <c r="G414" s="99" t="s">
        <v>177</v>
      </c>
      <c r="H414" s="267" t="s">
        <v>103</v>
      </c>
      <c r="I414" s="48">
        <v>0</v>
      </c>
      <c r="J414" s="67">
        <f ca="1">IFERROR(__xludf.DUMMYFUNCTION("IMPORTRANGE(""https://docs.google.com/spreadsheets/d/1C3CXT74ZlgGe6_JY_1olB1XN4rF0dxEuIIF-xsYjHgg/edit?usp=sharing"",""งบกองทุน!dd24"")"),0)</f>
        <v>0</v>
      </c>
      <c r="K414" s="49">
        <f t="shared" si="82"/>
        <v>0</v>
      </c>
      <c r="L414" s="61"/>
      <c r="M414" s="61"/>
      <c r="N414" s="61"/>
    </row>
    <row r="415" spans="1:14" ht="21.75" customHeight="1" x14ac:dyDescent="0.4">
      <c r="A415" s="55"/>
      <c r="B415" s="56"/>
      <c r="C415" s="56"/>
      <c r="D415" s="73"/>
      <c r="E415" s="75"/>
      <c r="F415" s="75"/>
      <c r="G415" s="76"/>
      <c r="H415" s="267" t="s">
        <v>15</v>
      </c>
      <c r="I415" s="48">
        <v>0</v>
      </c>
      <c r="J415" s="67">
        <f ca="1">IFERROR(__xludf.DUMMYFUNCTION("IMPORTRANGE(""https://docs.google.com/spreadsheets/d/1C3CXT74ZlgGe6_JY_1olB1XN4rF0dxEuIIF-xsYjHgg/edit?usp=sharing"",""งบกองทุน!dc24"")"),0)</f>
        <v>0</v>
      </c>
      <c r="K415" s="49">
        <f t="shared" si="82"/>
        <v>0</v>
      </c>
      <c r="L415" s="61"/>
      <c r="M415" s="61"/>
      <c r="N415" s="61"/>
    </row>
    <row r="416" spans="1:14" ht="21.75" customHeight="1" x14ac:dyDescent="0.4">
      <c r="A416" s="55"/>
      <c r="B416" s="56"/>
      <c r="C416" s="56"/>
      <c r="D416" s="73"/>
      <c r="E416" s="75"/>
      <c r="F416" s="75"/>
      <c r="G416" s="99" t="s">
        <v>178</v>
      </c>
      <c r="H416" s="267" t="s">
        <v>103</v>
      </c>
      <c r="I416" s="48">
        <v>0</v>
      </c>
      <c r="J416" s="67">
        <f ca="1">IFERROR(__xludf.DUMMYFUNCTION("IMPORTRANGE(""https://docs.google.com/spreadsheets/d/1C3CXT74ZlgGe6_JY_1olB1XN4rF0dxEuIIF-xsYjHgg/edit?usp=sharing"",""งบกองทุน!df24"")"),0)</f>
        <v>0</v>
      </c>
      <c r="K416" s="49">
        <f t="shared" si="82"/>
        <v>0</v>
      </c>
      <c r="L416" s="61"/>
      <c r="M416" s="61"/>
      <c r="N416" s="61"/>
    </row>
    <row r="417" spans="1:14" ht="21.75" customHeight="1" x14ac:dyDescent="0.4">
      <c r="A417" s="55"/>
      <c r="B417" s="56"/>
      <c r="C417" s="56"/>
      <c r="D417" s="73"/>
      <c r="E417" s="75"/>
      <c r="F417" s="75"/>
      <c r="G417" s="76"/>
      <c r="H417" s="267" t="s">
        <v>15</v>
      </c>
      <c r="I417" s="48">
        <v>0</v>
      </c>
      <c r="J417" s="67">
        <f ca="1">IFERROR(__xludf.DUMMYFUNCTION("IMPORTRANGE(""https://docs.google.com/spreadsheets/d/1C3CXT74ZlgGe6_JY_1olB1XN4rF0dxEuIIF-xsYjHgg/edit?usp=sharing"",""งบกองทุน!de24"")"),0)</f>
        <v>0</v>
      </c>
      <c r="K417" s="49">
        <f t="shared" si="82"/>
        <v>0</v>
      </c>
      <c r="L417" s="61"/>
      <c r="M417" s="61"/>
      <c r="N417" s="61"/>
    </row>
    <row r="418" spans="1:14" ht="21.75" customHeight="1" x14ac:dyDescent="0.4">
      <c r="A418" s="55"/>
      <c r="B418" s="56"/>
      <c r="C418" s="288"/>
      <c r="D418" s="288"/>
      <c r="E418" s="288" t="s">
        <v>179</v>
      </c>
      <c r="F418" s="289"/>
      <c r="G418" s="290"/>
      <c r="H418" s="291" t="s">
        <v>103</v>
      </c>
      <c r="I418" s="150">
        <f t="shared" ref="I418:I419" ca="1" si="91">J416</f>
        <v>0</v>
      </c>
      <c r="J418" s="150">
        <f t="shared" ref="J418:J419" si="92">SUM(J420,J422,J424)</f>
        <v>0</v>
      </c>
      <c r="K418" s="147">
        <f t="shared" ca="1" si="82"/>
        <v>0</v>
      </c>
      <c r="L418" s="61"/>
      <c r="M418" s="61"/>
      <c r="N418" s="61"/>
    </row>
    <row r="419" spans="1:14" ht="21.75" customHeight="1" x14ac:dyDescent="0.4">
      <c r="A419" s="55"/>
      <c r="B419" s="56"/>
      <c r="C419" s="288"/>
      <c r="D419" s="288"/>
      <c r="E419" s="288" t="s">
        <v>180</v>
      </c>
      <c r="F419" s="289"/>
      <c r="G419" s="290"/>
      <c r="H419" s="291" t="s">
        <v>15</v>
      </c>
      <c r="I419" s="150">
        <f t="shared" ca="1" si="91"/>
        <v>0</v>
      </c>
      <c r="J419" s="150">
        <f t="shared" si="92"/>
        <v>0</v>
      </c>
      <c r="K419" s="147">
        <f t="shared" ca="1" si="82"/>
        <v>0</v>
      </c>
      <c r="L419" s="61"/>
      <c r="M419" s="61"/>
      <c r="N419" s="61"/>
    </row>
    <row r="420" spans="1:14" ht="21.75" customHeight="1" x14ac:dyDescent="0.4">
      <c r="A420" s="55"/>
      <c r="B420" s="56"/>
      <c r="C420" s="56"/>
      <c r="D420" s="73"/>
      <c r="E420" s="75"/>
      <c r="F420" s="75"/>
      <c r="G420" s="99" t="s">
        <v>176</v>
      </c>
      <c r="H420" s="267" t="s">
        <v>103</v>
      </c>
      <c r="I420" s="48">
        <v>0</v>
      </c>
      <c r="J420" s="68">
        <v>0</v>
      </c>
      <c r="K420" s="49">
        <f t="shared" si="82"/>
        <v>0</v>
      </c>
      <c r="L420" s="61"/>
      <c r="M420" s="61"/>
      <c r="N420" s="61"/>
    </row>
    <row r="421" spans="1:14" ht="21.75" customHeight="1" x14ac:dyDescent="0.4">
      <c r="A421" s="55"/>
      <c r="B421" s="56"/>
      <c r="C421" s="56"/>
      <c r="D421" s="73"/>
      <c r="E421" s="75"/>
      <c r="F421" s="75"/>
      <c r="G421" s="76"/>
      <c r="H421" s="267" t="s">
        <v>15</v>
      </c>
      <c r="I421" s="48">
        <v>0</v>
      </c>
      <c r="J421" s="68">
        <v>0</v>
      </c>
      <c r="K421" s="49">
        <f t="shared" si="82"/>
        <v>0</v>
      </c>
      <c r="L421" s="61"/>
      <c r="M421" s="61"/>
      <c r="N421" s="61"/>
    </row>
    <row r="422" spans="1:14" ht="21.75" customHeight="1" x14ac:dyDescent="0.4">
      <c r="A422" s="55"/>
      <c r="B422" s="56"/>
      <c r="C422" s="56"/>
      <c r="D422" s="73"/>
      <c r="E422" s="75"/>
      <c r="F422" s="75"/>
      <c r="G422" s="99" t="s">
        <v>177</v>
      </c>
      <c r="H422" s="267" t="s">
        <v>103</v>
      </c>
      <c r="I422" s="48">
        <v>0</v>
      </c>
      <c r="J422" s="68">
        <v>0</v>
      </c>
      <c r="K422" s="49">
        <f t="shared" si="82"/>
        <v>0</v>
      </c>
      <c r="L422" s="61"/>
      <c r="M422" s="61"/>
      <c r="N422" s="61"/>
    </row>
    <row r="423" spans="1:14" ht="21.75" customHeight="1" x14ac:dyDescent="0.4">
      <c r="A423" s="55"/>
      <c r="B423" s="56"/>
      <c r="C423" s="56"/>
      <c r="D423" s="73"/>
      <c r="E423" s="75"/>
      <c r="F423" s="75"/>
      <c r="G423" s="76"/>
      <c r="H423" s="267" t="s">
        <v>15</v>
      </c>
      <c r="I423" s="48">
        <v>0</v>
      </c>
      <c r="J423" s="68">
        <v>0</v>
      </c>
      <c r="K423" s="49">
        <f t="shared" si="82"/>
        <v>0</v>
      </c>
      <c r="L423" s="61"/>
      <c r="M423" s="61"/>
      <c r="N423" s="61"/>
    </row>
    <row r="424" spans="1:14" ht="21.75" customHeight="1" x14ac:dyDescent="0.4">
      <c r="A424" s="55"/>
      <c r="B424" s="56"/>
      <c r="C424" s="56"/>
      <c r="D424" s="73"/>
      <c r="E424" s="75"/>
      <c r="F424" s="75"/>
      <c r="G424" s="99" t="s">
        <v>181</v>
      </c>
      <c r="H424" s="267" t="s">
        <v>103</v>
      </c>
      <c r="I424" s="48">
        <v>0</v>
      </c>
      <c r="J424" s="68">
        <v>0</v>
      </c>
      <c r="K424" s="49">
        <f t="shared" si="82"/>
        <v>0</v>
      </c>
      <c r="L424" s="61"/>
      <c r="M424" s="61"/>
      <c r="N424" s="61"/>
    </row>
    <row r="425" spans="1:14" ht="21.75" customHeight="1" x14ac:dyDescent="0.4">
      <c r="A425" s="292"/>
      <c r="B425" s="293"/>
      <c r="C425" s="293"/>
      <c r="D425" s="294"/>
      <c r="E425" s="295"/>
      <c r="F425" s="295"/>
      <c r="G425" s="296"/>
      <c r="H425" s="297" t="s">
        <v>15</v>
      </c>
      <c r="I425" s="298">
        <v>0</v>
      </c>
      <c r="J425" s="299">
        <v>0</v>
      </c>
      <c r="K425" s="309">
        <f t="shared" si="82"/>
        <v>0</v>
      </c>
      <c r="L425" s="300"/>
      <c r="M425" s="300"/>
      <c r="N425" s="300"/>
    </row>
    <row r="426" spans="1:14" ht="21.75" customHeight="1" x14ac:dyDescent="0.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3">I440</f>
        <v>22</v>
      </c>
      <c r="J426" s="257">
        <f t="shared" si="93"/>
        <v>22</v>
      </c>
      <c r="K426" s="258">
        <f ca="1">IF(I426&gt;0,J426*100/I426,0)</f>
        <v>100</v>
      </c>
      <c r="L426" s="259">
        <f t="shared" ref="L426:M426" ca="1" si="94">SUM(L427:L428)</f>
        <v>34340</v>
      </c>
      <c r="M426" s="259">
        <f t="shared" si="94"/>
        <v>19715</v>
      </c>
      <c r="N426" s="259">
        <f t="shared" ref="N426:N430" ca="1" si="95">+IF(L426&gt;0,M426*100/L426,0)</f>
        <v>57.411182294700055</v>
      </c>
    </row>
    <row r="427" spans="1:14" ht="21.75" customHeight="1" x14ac:dyDescent="0.4">
      <c r="A427" s="42"/>
      <c r="B427" s="43"/>
      <c r="C427" s="43" t="s">
        <v>17</v>
      </c>
      <c r="D427" s="44" t="s">
        <v>18</v>
      </c>
      <c r="E427" s="45"/>
      <c r="F427" s="45"/>
      <c r="G427" s="46" t="s">
        <v>19</v>
      </c>
      <c r="H427" s="47" t="s">
        <v>20</v>
      </c>
      <c r="I427" s="48" t="s">
        <v>21</v>
      </c>
      <c r="J427" s="48"/>
      <c r="K427" s="49"/>
      <c r="L427" s="50">
        <v>0</v>
      </c>
      <c r="M427" s="53">
        <v>0</v>
      </c>
      <c r="N427" s="53">
        <f t="shared" si="95"/>
        <v>0</v>
      </c>
    </row>
    <row r="428" spans="1:14" ht="21.75" customHeight="1" x14ac:dyDescent="0.4">
      <c r="A428" s="42"/>
      <c r="B428" s="43"/>
      <c r="C428" s="43"/>
      <c r="D428" s="51"/>
      <c r="E428" s="45"/>
      <c r="F428" s="45" t="s">
        <v>21</v>
      </c>
      <c r="G428" s="46" t="s">
        <v>22</v>
      </c>
      <c r="H428" s="47" t="s">
        <v>20</v>
      </c>
      <c r="I428" s="48"/>
      <c r="J428" s="48"/>
      <c r="K428" s="49"/>
      <c r="L428" s="50">
        <f t="shared" ref="L428:M428" ca="1" si="96">SUM(L429:L430)</f>
        <v>34340</v>
      </c>
      <c r="M428" s="53">
        <f t="shared" si="96"/>
        <v>19715</v>
      </c>
      <c r="N428" s="53">
        <f t="shared" ca="1" si="95"/>
        <v>57.411182294700055</v>
      </c>
    </row>
    <row r="429" spans="1:14" ht="21.75" customHeight="1" x14ac:dyDescent="0.4">
      <c r="A429" s="42"/>
      <c r="B429" s="43"/>
      <c r="C429" s="43"/>
      <c r="D429" s="51"/>
      <c r="E429" s="45"/>
      <c r="F429" s="45"/>
      <c r="G429" s="52" t="s">
        <v>110</v>
      </c>
      <c r="H429" s="47" t="s">
        <v>20</v>
      </c>
      <c r="I429" s="48"/>
      <c r="J429" s="48"/>
      <c r="K429" s="49"/>
      <c r="L429" s="53">
        <f ca="1">IFERROR(__xludf.DUMMYFUNCTION("IMPORTRANGE(""https://docs.google.com/spreadsheets/d/1C3CXT74ZlgGe6_JY_1olB1XN4rF0dxEuIIF-xsYjHgg/edit?usp=sharing"",""งบกองทุน!dn24"")"),0)</f>
        <v>0</v>
      </c>
      <c r="M429" s="53">
        <v>0</v>
      </c>
      <c r="N429" s="53">
        <f t="shared" ca="1" si="95"/>
        <v>0</v>
      </c>
    </row>
    <row r="430" spans="1:14" ht="21.75" customHeight="1" x14ac:dyDescent="0.4">
      <c r="A430" s="42"/>
      <c r="B430" s="43"/>
      <c r="C430" s="43"/>
      <c r="D430" s="51"/>
      <c r="E430" s="45"/>
      <c r="F430" s="45"/>
      <c r="G430" s="52" t="s">
        <v>111</v>
      </c>
      <c r="H430" s="47" t="s">
        <v>20</v>
      </c>
      <c r="I430" s="48"/>
      <c r="J430" s="48"/>
      <c r="K430" s="49"/>
      <c r="L430" s="53">
        <f ca="1">IFERROR(__xludf.DUMMYFUNCTION("IMPORTRANGE(""https://docs.google.com/spreadsheets/d/1C3CXT74ZlgGe6_JY_1olB1XN4rF0dxEuIIF-xsYjHgg/edit?usp=sharing"",""งบกองทุน!do24"")"),34340)</f>
        <v>34340</v>
      </c>
      <c r="M430" s="53">
        <f>SUM(M431:M434)</f>
        <v>19715</v>
      </c>
      <c r="N430" s="53">
        <f t="shared" ca="1" si="95"/>
        <v>57.411182294700055</v>
      </c>
    </row>
    <row r="431" spans="1:14" ht="21.75" customHeight="1" x14ac:dyDescent="0.4">
      <c r="A431" s="230"/>
      <c r="B431" s="231"/>
      <c r="C431" s="43"/>
      <c r="D431" s="232"/>
      <c r="E431" s="45"/>
      <c r="F431" s="45"/>
      <c r="G431" s="46" t="s">
        <v>112</v>
      </c>
      <c r="H431" s="47" t="s">
        <v>20</v>
      </c>
      <c r="I431" s="67"/>
      <c r="J431" s="67"/>
      <c r="K431" s="233"/>
      <c r="L431" s="53"/>
      <c r="M431" s="54">
        <v>18740</v>
      </c>
      <c r="N431" s="53"/>
    </row>
    <row r="432" spans="1:14" ht="21.75" customHeight="1" x14ac:dyDescent="0.4">
      <c r="A432" s="230"/>
      <c r="B432" s="231"/>
      <c r="C432" s="43"/>
      <c r="D432" s="232"/>
      <c r="E432" s="45"/>
      <c r="F432" s="45"/>
      <c r="G432" s="46" t="s">
        <v>113</v>
      </c>
      <c r="H432" s="47" t="s">
        <v>20</v>
      </c>
      <c r="I432" s="67"/>
      <c r="J432" s="67"/>
      <c r="K432" s="233"/>
      <c r="L432" s="53"/>
      <c r="M432" s="54">
        <v>0</v>
      </c>
      <c r="N432" s="53"/>
    </row>
    <row r="433" spans="1:14" ht="21.75" customHeight="1" x14ac:dyDescent="0.4">
      <c r="A433" s="230"/>
      <c r="B433" s="231"/>
      <c r="C433" s="43"/>
      <c r="D433" s="232"/>
      <c r="E433" s="45"/>
      <c r="F433" s="45"/>
      <c r="G433" s="46" t="s">
        <v>114</v>
      </c>
      <c r="H433" s="47" t="s">
        <v>20</v>
      </c>
      <c r="I433" s="67"/>
      <c r="J433" s="67"/>
      <c r="K433" s="233"/>
      <c r="L433" s="53"/>
      <c r="M433" s="54">
        <v>0</v>
      </c>
      <c r="N433" s="53"/>
    </row>
    <row r="434" spans="1:14" ht="21.75" customHeight="1" x14ac:dyDescent="0.4">
      <c r="A434" s="230"/>
      <c r="B434" s="231"/>
      <c r="C434" s="43"/>
      <c r="D434" s="232"/>
      <c r="E434" s="45"/>
      <c r="F434" s="45"/>
      <c r="G434" s="46" t="s">
        <v>115</v>
      </c>
      <c r="H434" s="47" t="s">
        <v>20</v>
      </c>
      <c r="I434" s="67"/>
      <c r="J434" s="67"/>
      <c r="K434" s="233"/>
      <c r="L434" s="53"/>
      <c r="M434" s="54">
        <v>975</v>
      </c>
      <c r="N434" s="53"/>
    </row>
    <row r="435" spans="1:14" ht="21.75" customHeight="1" x14ac:dyDescent="0.4">
      <c r="A435" s="55"/>
      <c r="B435" s="56"/>
      <c r="C435" s="43" t="s">
        <v>17</v>
      </c>
      <c r="D435" s="57" t="s">
        <v>25</v>
      </c>
      <c r="E435" s="58"/>
      <c r="F435" s="58"/>
      <c r="G435" s="59"/>
      <c r="H435" s="60"/>
      <c r="I435" s="48"/>
      <c r="J435" s="48"/>
      <c r="K435" s="49"/>
      <c r="L435" s="61"/>
      <c r="M435" s="61"/>
      <c r="N435" s="61"/>
    </row>
    <row r="436" spans="1:14" ht="21.75" customHeight="1" x14ac:dyDescent="0.4">
      <c r="A436" s="55"/>
      <c r="B436" s="56"/>
      <c r="C436" s="56"/>
      <c r="D436" s="62">
        <v>1</v>
      </c>
      <c r="E436" s="63" t="s">
        <v>26</v>
      </c>
      <c r="F436" s="64"/>
      <c r="G436" s="65"/>
      <c r="H436" s="66"/>
      <c r="I436" s="67"/>
      <c r="J436" s="68">
        <v>0</v>
      </c>
      <c r="K436" s="49"/>
      <c r="L436" s="61"/>
      <c r="M436" s="61"/>
      <c r="N436" s="61"/>
    </row>
    <row r="437" spans="1:14" ht="21.75" customHeight="1" x14ac:dyDescent="0.4">
      <c r="A437" s="55"/>
      <c r="B437" s="56"/>
      <c r="C437" s="56"/>
      <c r="D437" s="69">
        <v>2</v>
      </c>
      <c r="E437" s="70" t="s">
        <v>27</v>
      </c>
      <c r="F437" s="71"/>
      <c r="G437" s="72"/>
      <c r="H437" s="66"/>
      <c r="I437" s="67"/>
      <c r="J437" s="68">
        <v>1</v>
      </c>
      <c r="K437" s="49"/>
      <c r="L437" s="61" t="s">
        <v>21</v>
      </c>
      <c r="M437" s="61" t="s">
        <v>21</v>
      </c>
      <c r="N437" s="61"/>
    </row>
    <row r="438" spans="1:14" ht="21.75" customHeight="1" x14ac:dyDescent="0.4">
      <c r="A438" s="55"/>
      <c r="B438" s="56"/>
      <c r="C438" s="56"/>
      <c r="D438" s="73"/>
      <c r="E438" s="74" t="s">
        <v>28</v>
      </c>
      <c r="F438" s="75"/>
      <c r="G438" s="76"/>
      <c r="H438" s="66"/>
      <c r="I438" s="67"/>
      <c r="J438" s="68">
        <v>1</v>
      </c>
      <c r="K438" s="49"/>
      <c r="L438" s="61"/>
      <c r="M438" s="61"/>
      <c r="N438" s="61"/>
    </row>
    <row r="439" spans="1:14" ht="21.75" customHeight="1" x14ac:dyDescent="0.4">
      <c r="A439" s="55"/>
      <c r="B439" s="56"/>
      <c r="C439" s="56"/>
      <c r="D439" s="73"/>
      <c r="E439" s="74" t="s">
        <v>29</v>
      </c>
      <c r="F439" s="75"/>
      <c r="G439" s="76"/>
      <c r="H439" s="66"/>
      <c r="I439" s="67"/>
      <c r="J439" s="68">
        <v>1</v>
      </c>
      <c r="K439" s="49"/>
      <c r="L439" s="61"/>
      <c r="M439" s="61"/>
      <c r="N439" s="61"/>
    </row>
    <row r="440" spans="1:14" ht="21.75" customHeight="1" x14ac:dyDescent="0.4">
      <c r="A440" s="55"/>
      <c r="B440" s="56"/>
      <c r="C440" s="56"/>
      <c r="D440" s="73"/>
      <c r="E440" s="77"/>
      <c r="F440" s="75"/>
      <c r="G440" s="99" t="s">
        <v>183</v>
      </c>
      <c r="H440" s="66" t="s">
        <v>16</v>
      </c>
      <c r="I440" s="200">
        <f ca="1">IFERROR(__xludf.DUMMYFUNCTION("IMPORTRANGE(""https://docs.google.com/spreadsheets/d/1C3CXT74ZlgGe6_JY_1olB1XN4rF0dxEuIIF-xsYjHgg/edit?usp=sharing"",""งบกองทุน!dq24"")"),22)</f>
        <v>22</v>
      </c>
      <c r="J440" s="68">
        <v>22</v>
      </c>
      <c r="K440" s="49">
        <f t="shared" ref="K440:K441" ca="1" si="97">IF(I440&gt;0,J440*100/I440,0)</f>
        <v>100</v>
      </c>
      <c r="L440" s="61"/>
      <c r="M440" s="61"/>
      <c r="N440" s="61"/>
    </row>
    <row r="441" spans="1:14" ht="21.75" hidden="1" customHeight="1" x14ac:dyDescent="0.4">
      <c r="A441" s="55"/>
      <c r="B441" s="56"/>
      <c r="C441" s="56"/>
      <c r="D441" s="73"/>
      <c r="E441" s="77"/>
      <c r="F441" s="75"/>
      <c r="G441" s="99" t="s">
        <v>184</v>
      </c>
      <c r="H441" s="66" t="s">
        <v>16</v>
      </c>
      <c r="I441" s="200">
        <f ca="1">IFERROR(__xludf.DUMMYFUNCTION("IMPORTRANGE(""https://docs.google.com/spreadsheets/d/1C3CXT74ZlgGe6_JY_1olB1XN4rF0dxEuIIF-xsYjHgg/edit?usp=sharing"",""งบกองทุน!dr24"")"),22)</f>
        <v>22</v>
      </c>
      <c r="J441" s="68">
        <v>0</v>
      </c>
      <c r="K441" s="49">
        <f t="shared" ca="1" si="97"/>
        <v>0</v>
      </c>
      <c r="L441" s="61"/>
      <c r="M441" s="61"/>
      <c r="N441" s="61"/>
    </row>
    <row r="442" spans="1:14" ht="21.75" customHeight="1" x14ac:dyDescent="0.4">
      <c r="A442" s="55"/>
      <c r="B442" s="56"/>
      <c r="C442" s="56"/>
      <c r="D442" s="73"/>
      <c r="E442" s="74" t="s">
        <v>35</v>
      </c>
      <c r="F442" s="75"/>
      <c r="G442" s="76"/>
      <c r="H442" s="66"/>
      <c r="I442" s="67"/>
      <c r="J442" s="68">
        <v>0</v>
      </c>
      <c r="K442" s="49"/>
      <c r="L442" s="61"/>
      <c r="M442" s="61"/>
      <c r="N442" s="61"/>
    </row>
    <row r="443" spans="1:14" ht="21.75" customHeight="1" x14ac:dyDescent="0.4">
      <c r="A443" s="292"/>
      <c r="B443" s="293"/>
      <c r="C443" s="293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309"/>
      <c r="L443" s="300"/>
      <c r="M443" s="300"/>
      <c r="N443" s="300"/>
    </row>
    <row r="444" spans="1:14" ht="21.75" customHeight="1" x14ac:dyDescent="0.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8">SUM(I453,I455)</f>
        <v>0</v>
      </c>
      <c r="J444" s="257">
        <f t="shared" si="98"/>
        <v>0</v>
      </c>
      <c r="K444" s="258">
        <f ca="1">IF(I444&gt;0,J444*100/I444,0)</f>
        <v>0</v>
      </c>
      <c r="L444" s="259">
        <f t="shared" ref="L444:M444" ca="1" si="99">SUM(L445:L446)</f>
        <v>0</v>
      </c>
      <c r="M444" s="259">
        <f t="shared" si="99"/>
        <v>0</v>
      </c>
      <c r="N444" s="259">
        <f t="shared" ref="N444:N448" ca="1" si="100">+IF(L444&gt;0,M444*100/L444,0)</f>
        <v>0</v>
      </c>
    </row>
    <row r="445" spans="1:14" ht="21.75" customHeight="1" x14ac:dyDescent="0.4">
      <c r="A445" s="42"/>
      <c r="B445" s="43"/>
      <c r="C445" s="43" t="s">
        <v>17</v>
      </c>
      <c r="D445" s="44" t="s">
        <v>18</v>
      </c>
      <c r="E445" s="45"/>
      <c r="F445" s="45"/>
      <c r="G445" s="46" t="s">
        <v>19</v>
      </c>
      <c r="H445" s="47" t="s">
        <v>20</v>
      </c>
      <c r="I445" s="48" t="s">
        <v>21</v>
      </c>
      <c r="J445" s="48"/>
      <c r="K445" s="49"/>
      <c r="L445" s="50">
        <v>0</v>
      </c>
      <c r="M445" s="53">
        <v>0</v>
      </c>
      <c r="N445" s="53">
        <f t="shared" si="100"/>
        <v>0</v>
      </c>
    </row>
    <row r="446" spans="1:14" ht="21.75" customHeight="1" x14ac:dyDescent="0.4">
      <c r="A446" s="42"/>
      <c r="B446" s="43"/>
      <c r="C446" s="43"/>
      <c r="D446" s="51"/>
      <c r="E446" s="45"/>
      <c r="F446" s="45" t="s">
        <v>21</v>
      </c>
      <c r="G446" s="46" t="s">
        <v>22</v>
      </c>
      <c r="H446" s="47" t="s">
        <v>20</v>
      </c>
      <c r="I446" s="48"/>
      <c r="J446" s="48"/>
      <c r="K446" s="49"/>
      <c r="L446" s="50">
        <f t="shared" ref="L446:M446" ca="1" si="101">SUM(L447:L448)</f>
        <v>0</v>
      </c>
      <c r="M446" s="53">
        <f t="shared" si="101"/>
        <v>0</v>
      </c>
      <c r="N446" s="53">
        <f t="shared" ca="1" si="100"/>
        <v>0</v>
      </c>
    </row>
    <row r="447" spans="1:14" ht="21.75" customHeight="1" x14ac:dyDescent="0.4">
      <c r="A447" s="42"/>
      <c r="B447" s="43"/>
      <c r="C447" s="43"/>
      <c r="D447" s="51"/>
      <c r="E447" s="45"/>
      <c r="F447" s="45"/>
      <c r="G447" s="52" t="s">
        <v>110</v>
      </c>
      <c r="H447" s="47" t="s">
        <v>20</v>
      </c>
      <c r="I447" s="48"/>
      <c r="J447" s="48"/>
      <c r="K447" s="49"/>
      <c r="L447" s="53">
        <f ca="1">IFERROR(__xludf.DUMMYFUNCTION("IMPORTRANGE(""https://docs.google.com/spreadsheets/d/1C3CXT74ZlgGe6_JY_1olB1XN4rF0dxEuIIF-xsYjHgg/edit?usp=sharing"",""งบกองทุน!dt24"")"),0)</f>
        <v>0</v>
      </c>
      <c r="M447" s="53">
        <v>0</v>
      </c>
      <c r="N447" s="53">
        <f t="shared" ca="1" si="100"/>
        <v>0</v>
      </c>
    </row>
    <row r="448" spans="1:14" ht="21.75" customHeight="1" x14ac:dyDescent="0.4">
      <c r="A448" s="42"/>
      <c r="B448" s="43"/>
      <c r="C448" s="43"/>
      <c r="D448" s="51"/>
      <c r="E448" s="45"/>
      <c r="F448" s="45"/>
      <c r="G448" s="52" t="s">
        <v>111</v>
      </c>
      <c r="H448" s="47" t="s">
        <v>20</v>
      </c>
      <c r="I448" s="48"/>
      <c r="J448" s="48"/>
      <c r="K448" s="49"/>
      <c r="L448" s="53">
        <f ca="1">IFERROR(__xludf.DUMMYFUNCTION("IMPORTRANGE(""https://docs.google.com/spreadsheets/d/1C3CXT74ZlgGe6_JY_1olB1XN4rF0dxEuIIF-xsYjHgg/edit?usp=sharing"",""งบกองทุน!du24"")"),0)</f>
        <v>0</v>
      </c>
      <c r="M448" s="53">
        <f>SUM(M449:M452)</f>
        <v>0</v>
      </c>
      <c r="N448" s="53">
        <f t="shared" ca="1" si="100"/>
        <v>0</v>
      </c>
    </row>
    <row r="449" spans="1:14" ht="21.75" customHeight="1" x14ac:dyDescent="0.4">
      <c r="A449" s="230"/>
      <c r="B449" s="231"/>
      <c r="C449" s="43"/>
      <c r="D449" s="232"/>
      <c r="E449" s="45"/>
      <c r="F449" s="45"/>
      <c r="G449" s="46" t="s">
        <v>112</v>
      </c>
      <c r="H449" s="47" t="s">
        <v>20</v>
      </c>
      <c r="I449" s="67"/>
      <c r="J449" s="67"/>
      <c r="K449" s="233"/>
      <c r="L449" s="53"/>
      <c r="M449" s="53">
        <v>0</v>
      </c>
      <c r="N449" s="53"/>
    </row>
    <row r="450" spans="1:14" ht="21.75" customHeight="1" x14ac:dyDescent="0.4">
      <c r="A450" s="230"/>
      <c r="B450" s="231"/>
      <c r="C450" s="43"/>
      <c r="D450" s="232"/>
      <c r="E450" s="45"/>
      <c r="F450" s="45"/>
      <c r="G450" s="46" t="s">
        <v>113</v>
      </c>
      <c r="H450" s="47" t="s">
        <v>20</v>
      </c>
      <c r="I450" s="67"/>
      <c r="J450" s="67"/>
      <c r="K450" s="233"/>
      <c r="L450" s="53"/>
      <c r="M450" s="53">
        <v>0</v>
      </c>
      <c r="N450" s="53"/>
    </row>
    <row r="451" spans="1:14" ht="21.75" customHeight="1" x14ac:dyDescent="0.4">
      <c r="A451" s="230"/>
      <c r="B451" s="231"/>
      <c r="C451" s="43"/>
      <c r="D451" s="232"/>
      <c r="E451" s="45"/>
      <c r="F451" s="45"/>
      <c r="G451" s="46" t="s">
        <v>114</v>
      </c>
      <c r="H451" s="47" t="s">
        <v>20</v>
      </c>
      <c r="I451" s="67"/>
      <c r="J451" s="67"/>
      <c r="K451" s="233"/>
      <c r="L451" s="53"/>
      <c r="M451" s="53">
        <v>0</v>
      </c>
      <c r="N451" s="53"/>
    </row>
    <row r="452" spans="1:14" ht="21.75" customHeight="1" x14ac:dyDescent="0.4">
      <c r="A452" s="230"/>
      <c r="B452" s="231"/>
      <c r="C452" s="43"/>
      <c r="D452" s="232"/>
      <c r="E452" s="45"/>
      <c r="F452" s="45"/>
      <c r="G452" s="46" t="s">
        <v>115</v>
      </c>
      <c r="H452" s="47" t="s">
        <v>20</v>
      </c>
      <c r="I452" s="67"/>
      <c r="J452" s="67"/>
      <c r="K452" s="233"/>
      <c r="L452" s="53"/>
      <c r="M452" s="53">
        <v>0</v>
      </c>
      <c r="N452" s="53"/>
    </row>
    <row r="453" spans="1:14" ht="21.75" customHeight="1" x14ac:dyDescent="0.4">
      <c r="A453" s="55"/>
      <c r="B453" s="56"/>
      <c r="C453" s="56"/>
      <c r="D453" s="73"/>
      <c r="E453" s="75"/>
      <c r="F453" s="75" t="s">
        <v>186</v>
      </c>
      <c r="G453" s="76"/>
      <c r="H453" s="315" t="s">
        <v>103</v>
      </c>
      <c r="I453" s="48">
        <f ca="1">IFERROR(__xludf.DUMMYFUNCTION("IMPORTRANGE(""https://docs.google.com/spreadsheets/d/1C3CXT74ZlgGe6_JY_1olB1XN4rF0dxEuIIF-xsYjHgg/edit?usp=sharing"",""งบกองทุน!dw24"")"),0)</f>
        <v>0</v>
      </c>
      <c r="J453" s="67">
        <v>0</v>
      </c>
      <c r="K453" s="233">
        <f t="shared" ref="K453:K457" ca="1" si="102">IF(I453&gt;0,J453*100/I453,0)</f>
        <v>0</v>
      </c>
      <c r="L453" s="53"/>
      <c r="M453" s="53"/>
      <c r="N453" s="61"/>
    </row>
    <row r="454" spans="1:14" ht="21.75" customHeight="1" x14ac:dyDescent="0.4">
      <c r="A454" s="55"/>
      <c r="B454" s="56"/>
      <c r="C454" s="56"/>
      <c r="D454" s="73"/>
      <c r="E454" s="75"/>
      <c r="F454" s="75"/>
      <c r="G454" s="76"/>
      <c r="H454" s="315" t="s">
        <v>15</v>
      </c>
      <c r="I454" s="48">
        <f ca="1">IFERROR(__xludf.DUMMYFUNCTION("IMPORTRANGE(""https://docs.google.com/spreadsheets/d/1C3CXT74ZlgGe6_JY_1olB1XN4rF0dxEuIIF-xsYjHgg/edit?usp=sharing"",""งบกองทุน!dx24"")"),0)</f>
        <v>0</v>
      </c>
      <c r="J454" s="67">
        <v>0</v>
      </c>
      <c r="K454" s="233">
        <f t="shared" ca="1" si="102"/>
        <v>0</v>
      </c>
      <c r="L454" s="53"/>
      <c r="M454" s="53"/>
      <c r="N454" s="61"/>
    </row>
    <row r="455" spans="1:14" ht="21.75" customHeight="1" x14ac:dyDescent="0.4">
      <c r="A455" s="55"/>
      <c r="B455" s="56"/>
      <c r="C455" s="56"/>
      <c r="D455" s="73"/>
      <c r="E455" s="75"/>
      <c r="F455" s="75" t="s">
        <v>187</v>
      </c>
      <c r="G455" s="76"/>
      <c r="H455" s="315" t="s">
        <v>103</v>
      </c>
      <c r="I455" s="48">
        <f ca="1">IFERROR(__xludf.DUMMYFUNCTION("IMPORTRANGE(""https://docs.google.com/spreadsheets/d/1C3CXT74ZlgGe6_JY_1olB1XN4rF0dxEuIIF-xsYjHgg/edit?usp=sharing"",""งบกองทุน!dy24"")"),0)</f>
        <v>0</v>
      </c>
      <c r="J455" s="67">
        <v>0</v>
      </c>
      <c r="K455" s="49">
        <f t="shared" ca="1" si="102"/>
        <v>0</v>
      </c>
      <c r="L455" s="61"/>
      <c r="M455" s="61"/>
      <c r="N455" s="61"/>
    </row>
    <row r="456" spans="1:14" ht="21.75" customHeight="1" x14ac:dyDescent="0.4">
      <c r="A456" s="55"/>
      <c r="B456" s="56"/>
      <c r="C456" s="56"/>
      <c r="D456" s="73"/>
      <c r="E456" s="75"/>
      <c r="F456" s="75"/>
      <c r="G456" s="76"/>
      <c r="H456" s="315" t="s">
        <v>15</v>
      </c>
      <c r="I456" s="48">
        <f ca="1">IFERROR(__xludf.DUMMYFUNCTION("IMPORTRANGE(""https://docs.google.com/spreadsheets/d/1C3CXT74ZlgGe6_JY_1olB1XN4rF0dxEuIIF-xsYjHgg/edit?usp=sharing"",""งบกองทุน!dz24"")"),0)</f>
        <v>0</v>
      </c>
      <c r="J456" s="67">
        <v>0</v>
      </c>
      <c r="K456" s="49">
        <f t="shared" ca="1" si="102"/>
        <v>0</v>
      </c>
      <c r="L456" s="61"/>
      <c r="M456" s="61"/>
      <c r="N456" s="61"/>
    </row>
    <row r="457" spans="1:14" ht="21.75" customHeight="1" x14ac:dyDescent="0.4">
      <c r="A457" s="222"/>
      <c r="B457" s="223">
        <v>8</v>
      </c>
      <c r="C457" s="224" t="s">
        <v>188</v>
      </c>
      <c r="D457" s="224"/>
      <c r="E457" s="224"/>
      <c r="F457" s="224"/>
      <c r="G457" s="225"/>
      <c r="H457" s="226" t="s">
        <v>16</v>
      </c>
      <c r="I457" s="227">
        <f ca="1">I466</f>
        <v>2750</v>
      </c>
      <c r="J457" s="227">
        <f>+J466</f>
        <v>355</v>
      </c>
      <c r="K457" s="228">
        <f t="shared" ca="1" si="102"/>
        <v>12.909090909090908</v>
      </c>
      <c r="L457" s="229">
        <f t="shared" ref="L457:M457" ca="1" si="103">SUM(L458:L459)</f>
        <v>140160</v>
      </c>
      <c r="M457" s="229">
        <f t="shared" si="103"/>
        <v>10266</v>
      </c>
      <c r="N457" s="229">
        <f t="shared" ref="N457:N461" ca="1" si="104">+IF(L457&gt;0,M457*100/L457,0)</f>
        <v>7.3244863013698627</v>
      </c>
    </row>
    <row r="458" spans="1:14" ht="21.75" customHeight="1" x14ac:dyDescent="0.4">
      <c r="A458" s="42"/>
      <c r="B458" s="43"/>
      <c r="C458" s="43" t="s">
        <v>17</v>
      </c>
      <c r="D458" s="44" t="s">
        <v>18</v>
      </c>
      <c r="E458" s="45"/>
      <c r="F458" s="45"/>
      <c r="G458" s="46" t="s">
        <v>19</v>
      </c>
      <c r="H458" s="47" t="s">
        <v>20</v>
      </c>
      <c r="I458" s="48" t="s">
        <v>21</v>
      </c>
      <c r="J458" s="48"/>
      <c r="K458" s="49"/>
      <c r="L458" s="50">
        <v>0</v>
      </c>
      <c r="M458" s="53">
        <v>0</v>
      </c>
      <c r="N458" s="53">
        <f t="shared" si="104"/>
        <v>0</v>
      </c>
    </row>
    <row r="459" spans="1:14" ht="21.75" customHeight="1" x14ac:dyDescent="0.4">
      <c r="A459" s="42"/>
      <c r="B459" s="43"/>
      <c r="C459" s="43"/>
      <c r="D459" s="51"/>
      <c r="E459" s="45"/>
      <c r="F459" s="45" t="s">
        <v>21</v>
      </c>
      <c r="G459" s="46" t="s">
        <v>22</v>
      </c>
      <c r="H459" s="47" t="s">
        <v>20</v>
      </c>
      <c r="I459" s="48"/>
      <c r="J459" s="48"/>
      <c r="K459" s="49"/>
      <c r="L459" s="50">
        <f t="shared" ref="L459:M459" ca="1" si="105">SUM(L460:L461)</f>
        <v>140160</v>
      </c>
      <c r="M459" s="53">
        <f t="shared" si="105"/>
        <v>10266</v>
      </c>
      <c r="N459" s="53">
        <f t="shared" ca="1" si="104"/>
        <v>7.3244863013698627</v>
      </c>
    </row>
    <row r="460" spans="1:14" ht="21.75" customHeight="1" x14ac:dyDescent="0.4">
      <c r="A460" s="42"/>
      <c r="B460" s="43"/>
      <c r="C460" s="43"/>
      <c r="D460" s="51"/>
      <c r="E460" s="45"/>
      <c r="F460" s="45"/>
      <c r="G460" s="52" t="s">
        <v>110</v>
      </c>
      <c r="H460" s="47" t="s">
        <v>20</v>
      </c>
      <c r="I460" s="48"/>
      <c r="J460" s="48"/>
      <c r="K460" s="49"/>
      <c r="L460" s="53">
        <f ca="1">IFERROR(__xludf.DUMMYFUNCTION("IMPORTRANGE(""https://docs.google.com/spreadsheets/d/1C3CXT74ZlgGe6_JY_1olB1XN4rF0dxEuIIF-xsYjHgg/edit?usp=sharing"",""งบกองทุน!Eb24"")"),0)</f>
        <v>0</v>
      </c>
      <c r="M460" s="53">
        <v>0</v>
      </c>
      <c r="N460" s="53">
        <f t="shared" ca="1" si="104"/>
        <v>0</v>
      </c>
    </row>
    <row r="461" spans="1:14" ht="21.75" customHeight="1" x14ac:dyDescent="0.4">
      <c r="A461" s="42"/>
      <c r="B461" s="43"/>
      <c r="C461" s="43"/>
      <c r="D461" s="51"/>
      <c r="E461" s="45"/>
      <c r="F461" s="45"/>
      <c r="G461" s="52" t="s">
        <v>111</v>
      </c>
      <c r="H461" s="47" t="s">
        <v>20</v>
      </c>
      <c r="I461" s="48"/>
      <c r="J461" s="48"/>
      <c r="K461" s="49"/>
      <c r="L461" s="53">
        <f ca="1">IFERROR(__xludf.DUMMYFUNCTION("IMPORTRANGE(""https://docs.google.com/spreadsheets/d/1C3CXT74ZlgGe6_JY_1olB1XN4rF0dxEuIIF-xsYjHgg/edit?usp=sharing"",""งบกองทุน!Ec24"")"),140160)</f>
        <v>140160</v>
      </c>
      <c r="M461" s="53">
        <f>SUM(M462:M465)</f>
        <v>10266</v>
      </c>
      <c r="N461" s="53">
        <f t="shared" ca="1" si="104"/>
        <v>7.3244863013698627</v>
      </c>
    </row>
    <row r="462" spans="1:14" ht="21.75" customHeight="1" x14ac:dyDescent="0.4">
      <c r="A462" s="230"/>
      <c r="B462" s="231"/>
      <c r="C462" s="43"/>
      <c r="D462" s="232"/>
      <c r="E462" s="45"/>
      <c r="F462" s="45"/>
      <c r="G462" s="46" t="s">
        <v>112</v>
      </c>
      <c r="H462" s="47" t="s">
        <v>20</v>
      </c>
      <c r="I462" s="67"/>
      <c r="J462" s="67"/>
      <c r="K462" s="233"/>
      <c r="L462" s="53"/>
      <c r="M462" s="53">
        <v>0</v>
      </c>
      <c r="N462" s="53"/>
    </row>
    <row r="463" spans="1:14" ht="21.75" customHeight="1" x14ac:dyDescent="0.4">
      <c r="A463" s="230"/>
      <c r="B463" s="231"/>
      <c r="C463" s="43"/>
      <c r="D463" s="232"/>
      <c r="E463" s="45"/>
      <c r="F463" s="45"/>
      <c r="G463" s="46" t="s">
        <v>113</v>
      </c>
      <c r="H463" s="47" t="s">
        <v>20</v>
      </c>
      <c r="I463" s="67"/>
      <c r="J463" s="67"/>
      <c r="K463" s="233"/>
      <c r="L463" s="53"/>
      <c r="M463" s="53">
        <v>0</v>
      </c>
      <c r="N463" s="53"/>
    </row>
    <row r="464" spans="1:14" ht="21.75" customHeight="1" x14ac:dyDescent="0.4">
      <c r="A464" s="230"/>
      <c r="B464" s="231"/>
      <c r="C464" s="43"/>
      <c r="D464" s="232"/>
      <c r="E464" s="45"/>
      <c r="F464" s="45"/>
      <c r="G464" s="46" t="s">
        <v>114</v>
      </c>
      <c r="H464" s="47" t="s">
        <v>20</v>
      </c>
      <c r="I464" s="67"/>
      <c r="J464" s="67"/>
      <c r="K464" s="233"/>
      <c r="L464" s="53"/>
      <c r="M464" s="54">
        <v>10266</v>
      </c>
      <c r="N464" s="53"/>
    </row>
    <row r="465" spans="1:14" ht="21.75" customHeight="1" x14ac:dyDescent="0.4">
      <c r="A465" s="230"/>
      <c r="B465" s="231"/>
      <c r="C465" s="43"/>
      <c r="D465" s="232"/>
      <c r="E465" s="45"/>
      <c r="F465" s="45"/>
      <c r="G465" s="46" t="s">
        <v>115</v>
      </c>
      <c r="H465" s="47" t="s">
        <v>20</v>
      </c>
      <c r="I465" s="67"/>
      <c r="J465" s="67"/>
      <c r="K465" s="233"/>
      <c r="L465" s="53"/>
      <c r="M465" s="54">
        <v>0</v>
      </c>
      <c r="N465" s="53"/>
    </row>
    <row r="466" spans="1:14" ht="21.75" customHeight="1" x14ac:dyDescent="0.4">
      <c r="A466" s="55"/>
      <c r="B466" s="56"/>
      <c r="C466" s="56"/>
      <c r="D466" s="75"/>
      <c r="E466" s="74" t="s">
        <v>21</v>
      </c>
      <c r="F466" s="260" t="s">
        <v>189</v>
      </c>
      <c r="G466" s="240"/>
      <c r="H466" s="314" t="s">
        <v>16</v>
      </c>
      <c r="I466" s="265">
        <f ca="1">IFERROR(__xludf.DUMMYFUNCTION("IMPORTRANGE(""https://docs.google.com/spreadsheets/d/1C3CXT74ZlgGe6_JY_1olB1XN4rF0dxEuIIF-xsYjHgg/edit?usp=sharing"",""งบกองทุน!Ed24"")"),2750)</f>
        <v>2750</v>
      </c>
      <c r="J466" s="265">
        <f>+J469+J470+J471+J472</f>
        <v>355</v>
      </c>
      <c r="K466" s="80">
        <f ca="1">IF(I466&gt;0,J466*100/I466,0)</f>
        <v>12.909090909090908</v>
      </c>
      <c r="L466" s="61"/>
      <c r="M466" s="61"/>
      <c r="N466" s="61"/>
    </row>
    <row r="467" spans="1:14" ht="21.75" customHeight="1" x14ac:dyDescent="0.4">
      <c r="A467" s="55"/>
      <c r="B467" s="56"/>
      <c r="C467" s="56"/>
      <c r="D467" s="75"/>
      <c r="E467" s="75"/>
      <c r="F467" s="74" t="s">
        <v>190</v>
      </c>
      <c r="G467" s="76"/>
      <c r="H467" s="315"/>
      <c r="I467" s="48"/>
      <c r="J467" s="48"/>
      <c r="K467" s="49"/>
      <c r="L467" s="61"/>
      <c r="M467" s="61"/>
      <c r="N467" s="61"/>
    </row>
    <row r="468" spans="1:14" ht="21.75" customHeight="1" x14ac:dyDescent="0.4">
      <c r="A468" s="55"/>
      <c r="B468" s="56"/>
      <c r="C468" s="56"/>
      <c r="D468" s="75"/>
      <c r="E468" s="74" t="s">
        <v>21</v>
      </c>
      <c r="F468" s="74" t="s">
        <v>191</v>
      </c>
      <c r="G468" s="76"/>
      <c r="H468" s="315" t="s">
        <v>57</v>
      </c>
      <c r="I468" s="48">
        <v>0</v>
      </c>
      <c r="J468" s="68">
        <v>0</v>
      </c>
      <c r="K468" s="49">
        <f t="shared" ref="K468:K472" si="106">IF(I468&gt;0,J468*100/I468,0)</f>
        <v>0</v>
      </c>
      <c r="L468" s="61"/>
      <c r="M468" s="61"/>
      <c r="N468" s="61"/>
    </row>
    <row r="469" spans="1:14" ht="21.75" customHeight="1" x14ac:dyDescent="0.4">
      <c r="A469" s="55"/>
      <c r="B469" s="56"/>
      <c r="C469" s="56"/>
      <c r="D469" s="75"/>
      <c r="E469" s="75"/>
      <c r="F469" s="74" t="s">
        <v>192</v>
      </c>
      <c r="G469" s="76"/>
      <c r="H469" s="315" t="s">
        <v>16</v>
      </c>
      <c r="I469" s="48">
        <v>0</v>
      </c>
      <c r="J469" s="68">
        <v>0</v>
      </c>
      <c r="K469" s="49">
        <f t="shared" si="106"/>
        <v>0</v>
      </c>
      <c r="L469" s="61"/>
      <c r="M469" s="61"/>
      <c r="N469" s="61"/>
    </row>
    <row r="470" spans="1:14" ht="21.75" customHeight="1" x14ac:dyDescent="0.4">
      <c r="A470" s="55"/>
      <c r="B470" s="56"/>
      <c r="C470" s="56"/>
      <c r="D470" s="75"/>
      <c r="E470" s="75"/>
      <c r="F470" s="74" t="s">
        <v>193</v>
      </c>
      <c r="G470" s="76"/>
      <c r="H470" s="315" t="s">
        <v>16</v>
      </c>
      <c r="I470" s="48">
        <v>0</v>
      </c>
      <c r="J470" s="68">
        <v>355</v>
      </c>
      <c r="K470" s="49">
        <f t="shared" si="106"/>
        <v>0</v>
      </c>
      <c r="L470" s="61"/>
      <c r="M470" s="61"/>
      <c r="N470" s="61"/>
    </row>
    <row r="471" spans="1:14" ht="21.75" customHeight="1" x14ac:dyDescent="0.4">
      <c r="A471" s="55"/>
      <c r="B471" s="56"/>
      <c r="C471" s="56"/>
      <c r="D471" s="75"/>
      <c r="E471" s="75"/>
      <c r="F471" s="74" t="s">
        <v>194</v>
      </c>
      <c r="G471" s="266"/>
      <c r="H471" s="315" t="s">
        <v>16</v>
      </c>
      <c r="I471" s="48">
        <v>0</v>
      </c>
      <c r="J471" s="68">
        <v>0</v>
      </c>
      <c r="K471" s="49">
        <f t="shared" si="106"/>
        <v>0</v>
      </c>
      <c r="L471" s="61"/>
      <c r="M471" s="61"/>
      <c r="N471" s="61"/>
    </row>
    <row r="472" spans="1:14" ht="21.75" customHeight="1" x14ac:dyDescent="0.4">
      <c r="A472" s="55"/>
      <c r="B472" s="56"/>
      <c r="C472" s="56"/>
      <c r="D472" s="75"/>
      <c r="E472" s="75"/>
      <c r="F472" s="74" t="s">
        <v>195</v>
      </c>
      <c r="G472" s="266"/>
      <c r="H472" s="315" t="s">
        <v>16</v>
      </c>
      <c r="I472" s="48">
        <v>0</v>
      </c>
      <c r="J472" s="68">
        <v>0</v>
      </c>
      <c r="K472" s="49">
        <f t="shared" si="106"/>
        <v>0</v>
      </c>
      <c r="L472" s="61"/>
      <c r="M472" s="61"/>
      <c r="N472" s="61"/>
    </row>
    <row r="473" spans="1:14" ht="21.75" customHeight="1" x14ac:dyDescent="0.4">
      <c r="A473" s="222"/>
      <c r="B473" s="223">
        <v>9</v>
      </c>
      <c r="C473" s="224" t="s">
        <v>196</v>
      </c>
      <c r="D473" s="224"/>
      <c r="E473" s="224"/>
      <c r="F473" s="224"/>
      <c r="G473" s="225"/>
      <c r="H473" s="226" t="s">
        <v>16</v>
      </c>
      <c r="I473" s="227">
        <f ca="1">I484</f>
        <v>0</v>
      </c>
      <c r="J473" s="227">
        <f ca="1">J488</f>
        <v>0</v>
      </c>
      <c r="K473" s="228">
        <f ca="1">IF(I473&gt;0,J473*100/I473,0)</f>
        <v>0</v>
      </c>
      <c r="L473" s="229">
        <f ca="1">SUM(L474,L475)</f>
        <v>0</v>
      </c>
      <c r="M473" s="229">
        <f>SUM(M474:M475)</f>
        <v>0</v>
      </c>
      <c r="N473" s="229">
        <f t="shared" ref="N473:N477" ca="1" si="107">+IF(L473&gt;0,M473*100/L473,0)</f>
        <v>0</v>
      </c>
    </row>
    <row r="474" spans="1:14" ht="21.75" customHeight="1" x14ac:dyDescent="0.4">
      <c r="A474" s="42"/>
      <c r="B474" s="43"/>
      <c r="C474" s="43" t="s">
        <v>17</v>
      </c>
      <c r="D474" s="44" t="s">
        <v>18</v>
      </c>
      <c r="E474" s="45"/>
      <c r="F474" s="45"/>
      <c r="G474" s="46" t="s">
        <v>19</v>
      </c>
      <c r="H474" s="47" t="s">
        <v>20</v>
      </c>
      <c r="I474" s="48" t="s">
        <v>21</v>
      </c>
      <c r="J474" s="48"/>
      <c r="K474" s="49"/>
      <c r="L474" s="50">
        <v>0</v>
      </c>
      <c r="M474" s="53">
        <v>0</v>
      </c>
      <c r="N474" s="53">
        <f t="shared" si="107"/>
        <v>0</v>
      </c>
    </row>
    <row r="475" spans="1:14" ht="21.75" customHeight="1" x14ac:dyDescent="0.4">
      <c r="A475" s="42"/>
      <c r="B475" s="43"/>
      <c r="C475" s="43"/>
      <c r="D475" s="51"/>
      <c r="E475" s="45"/>
      <c r="F475" s="45" t="s">
        <v>21</v>
      </c>
      <c r="G475" s="46" t="s">
        <v>22</v>
      </c>
      <c r="H475" s="47" t="s">
        <v>20</v>
      </c>
      <c r="I475" s="48"/>
      <c r="J475" s="48"/>
      <c r="K475" s="49"/>
      <c r="L475" s="50">
        <f t="shared" ref="L475:M475" ca="1" si="108">SUM(L476:L477)</f>
        <v>0</v>
      </c>
      <c r="M475" s="53">
        <f t="shared" si="108"/>
        <v>0</v>
      </c>
      <c r="N475" s="53">
        <f t="shared" ca="1" si="107"/>
        <v>0</v>
      </c>
    </row>
    <row r="476" spans="1:14" ht="21.75" customHeight="1" x14ac:dyDescent="0.4">
      <c r="A476" s="42"/>
      <c r="B476" s="43"/>
      <c r="C476" s="43"/>
      <c r="D476" s="51"/>
      <c r="E476" s="45"/>
      <c r="F476" s="45"/>
      <c r="G476" s="52" t="s">
        <v>110</v>
      </c>
      <c r="H476" s="47" t="s">
        <v>20</v>
      </c>
      <c r="I476" s="48"/>
      <c r="J476" s="48"/>
      <c r="K476" s="49"/>
      <c r="L476" s="53">
        <f ca="1">IFERROR(__xludf.DUMMYFUNCTION("IMPORTRANGE(""https://docs.google.com/spreadsheets/d/1C3CXT74ZlgGe6_JY_1olB1XN4rF0dxEuIIF-xsYjHgg/edit?usp=sharing"",""งบกองทุน!Ek24"")"),0)</f>
        <v>0</v>
      </c>
      <c r="M476" s="53">
        <v>0</v>
      </c>
      <c r="N476" s="53">
        <f t="shared" ca="1" si="107"/>
        <v>0</v>
      </c>
    </row>
    <row r="477" spans="1:14" ht="21.75" customHeight="1" x14ac:dyDescent="0.4">
      <c r="A477" s="42"/>
      <c r="B477" s="43"/>
      <c r="C477" s="43"/>
      <c r="D477" s="51"/>
      <c r="E477" s="45"/>
      <c r="F477" s="45"/>
      <c r="G477" s="52" t="s">
        <v>111</v>
      </c>
      <c r="H477" s="47" t="s">
        <v>20</v>
      </c>
      <c r="I477" s="48"/>
      <c r="J477" s="48"/>
      <c r="K477" s="49"/>
      <c r="L477" s="53">
        <f ca="1">IFERROR(__xludf.DUMMYFUNCTION("IMPORTRANGE(""https://docs.google.com/spreadsheets/d/1C3CXT74ZlgGe6_JY_1olB1XN4rF0dxEuIIF-xsYjHgg/edit?usp=sharing"",""งบกองทุน!El24"")"),0)</f>
        <v>0</v>
      </c>
      <c r="M477" s="53">
        <f>SUM(M478:M481)</f>
        <v>0</v>
      </c>
      <c r="N477" s="53">
        <f t="shared" ca="1" si="107"/>
        <v>0</v>
      </c>
    </row>
    <row r="478" spans="1:14" ht="21.75" customHeight="1" x14ac:dyDescent="0.4">
      <c r="A478" s="230"/>
      <c r="B478" s="231"/>
      <c r="C478" s="43"/>
      <c r="D478" s="232"/>
      <c r="E478" s="45"/>
      <c r="F478" s="45"/>
      <c r="G478" s="46" t="s">
        <v>112</v>
      </c>
      <c r="H478" s="47" t="s">
        <v>20</v>
      </c>
      <c r="I478" s="67"/>
      <c r="J478" s="67"/>
      <c r="K478" s="233"/>
      <c r="L478" s="53"/>
      <c r="M478" s="53">
        <v>0</v>
      </c>
      <c r="N478" s="53"/>
    </row>
    <row r="479" spans="1:14" ht="21.75" customHeight="1" x14ac:dyDescent="0.4">
      <c r="A479" s="230"/>
      <c r="B479" s="231"/>
      <c r="C479" s="43"/>
      <c r="D479" s="232"/>
      <c r="E479" s="45"/>
      <c r="F479" s="45"/>
      <c r="G479" s="46" t="s">
        <v>113</v>
      </c>
      <c r="H479" s="47" t="s">
        <v>20</v>
      </c>
      <c r="I479" s="67"/>
      <c r="J479" s="67"/>
      <c r="K479" s="233"/>
      <c r="L479" s="53"/>
      <c r="M479" s="53">
        <v>0</v>
      </c>
      <c r="N479" s="53"/>
    </row>
    <row r="480" spans="1:14" ht="21.75" customHeight="1" x14ac:dyDescent="0.4">
      <c r="A480" s="230"/>
      <c r="B480" s="231"/>
      <c r="C480" s="43"/>
      <c r="D480" s="232"/>
      <c r="E480" s="45"/>
      <c r="F480" s="45"/>
      <c r="G480" s="46" t="s">
        <v>114</v>
      </c>
      <c r="H480" s="47" t="s">
        <v>20</v>
      </c>
      <c r="I480" s="67"/>
      <c r="J480" s="67"/>
      <c r="K480" s="233"/>
      <c r="L480" s="53"/>
      <c r="M480" s="53">
        <v>0</v>
      </c>
      <c r="N480" s="53"/>
    </row>
    <row r="481" spans="1:14" ht="21.75" customHeight="1" x14ac:dyDescent="0.4">
      <c r="A481" s="230"/>
      <c r="B481" s="231"/>
      <c r="C481" s="43"/>
      <c r="D481" s="232"/>
      <c r="E481" s="45"/>
      <c r="F481" s="45"/>
      <c r="G481" s="46" t="s">
        <v>115</v>
      </c>
      <c r="H481" s="47" t="s">
        <v>20</v>
      </c>
      <c r="I481" s="67"/>
      <c r="J481" s="67"/>
      <c r="K481" s="233"/>
      <c r="L481" s="53"/>
      <c r="M481" s="53">
        <v>0</v>
      </c>
      <c r="N481" s="53"/>
    </row>
    <row r="482" spans="1:14" ht="21.75" customHeight="1" x14ac:dyDescent="0.4">
      <c r="A482" s="316"/>
      <c r="B482" s="51"/>
      <c r="C482" s="43"/>
      <c r="D482" s="155"/>
      <c r="E482" s="74" t="s">
        <v>197</v>
      </c>
      <c r="F482" s="75"/>
      <c r="G482" s="76"/>
      <c r="H482" s="60" t="s">
        <v>15</v>
      </c>
      <c r="I482" s="200">
        <f ca="1">IFERROR(__xludf.DUMMYFUNCTION("IMPORTRANGE(""https://docs.google.com/spreadsheets/d/1C3CXT74ZlgGe6_JY_1olB1XN4rF0dxEuIIF-xsYjHgg/edit?usp=sharing"",""งบกองทุน!Em24"")"),0)</f>
        <v>0</v>
      </c>
      <c r="J482" s="67">
        <f ca="1">IFERROR(__xludf.DUMMYFUNCTION("IMPORTRANGE(""https://docs.google.com/spreadsheets/d/1AGHcLOeeYFL3K4b9R1dSzyJy00PE_ra89DNTVfnxSWM/edit?usp=sharing"",""รวมที่ชุมชน!G13"")"),0)</f>
        <v>0</v>
      </c>
      <c r="K482" s="233">
        <f t="shared" ref="K482:K489" ca="1" si="109">IF(I482&gt;0,J482*100/I482,0)</f>
        <v>0</v>
      </c>
      <c r="L482" s="53"/>
      <c r="M482" s="53"/>
      <c r="N482" s="61"/>
    </row>
    <row r="483" spans="1:14" ht="21.75" customHeight="1" x14ac:dyDescent="0.4">
      <c r="A483" s="316"/>
      <c r="B483" s="51"/>
      <c r="C483" s="43"/>
      <c r="D483" s="155"/>
      <c r="E483" s="75"/>
      <c r="F483" s="75"/>
      <c r="G483" s="76"/>
      <c r="H483" s="60" t="s">
        <v>103</v>
      </c>
      <c r="I483" s="200">
        <f ca="1">IFERROR(__xludf.DUMMYFUNCTION("IMPORTRANGE(""https://docs.google.com/spreadsheets/d/1C3CXT74ZlgGe6_JY_1olB1XN4rF0dxEuIIF-xsYjHgg/edit?usp=sharing"",""งบกองทุน!En24"")"),0)</f>
        <v>0</v>
      </c>
      <c r="J483" s="67">
        <f ca="1">IFERROR(__xludf.DUMMYFUNCTION("IMPORTRANGE(""https://docs.google.com/spreadsheets/d/1AGHcLOeeYFL3K4b9R1dSzyJy00PE_ra89DNTVfnxSWM/edit?usp=sharing"",""รวมที่ชุมชน!H13"")"),0)</f>
        <v>0</v>
      </c>
      <c r="K483" s="233">
        <f t="shared" ca="1" si="109"/>
        <v>0</v>
      </c>
      <c r="L483" s="53"/>
      <c r="M483" s="53"/>
      <c r="N483" s="61"/>
    </row>
    <row r="484" spans="1:14" ht="21.75" customHeight="1" x14ac:dyDescent="0.4">
      <c r="A484" s="316"/>
      <c r="B484" s="51"/>
      <c r="C484" s="43"/>
      <c r="D484" s="155"/>
      <c r="E484" s="74" t="s">
        <v>104</v>
      </c>
      <c r="F484" s="75"/>
      <c r="G484" s="76"/>
      <c r="H484" s="60" t="s">
        <v>16</v>
      </c>
      <c r="I484" s="200">
        <f ca="1">IFERROR(__xludf.DUMMYFUNCTION("IMPORTRANGE(""https://docs.google.com/spreadsheets/d/1C3CXT74ZlgGe6_JY_1olB1XN4rF0dxEuIIF-xsYjHgg/edit?usp=sharing"",""งบกองทุน!Eo24"")"),0)</f>
        <v>0</v>
      </c>
      <c r="J484" s="67">
        <f ca="1">IFERROR(__xludf.DUMMYFUNCTION("IMPORTRANGE(""https://docs.google.com/spreadsheets/d/1AGHcLOeeYFL3K4b9R1dSzyJy00PE_ra89DNTVfnxSWM/edit?usp=sharing"",""รวมที่ชุมชน!J13"")"),0)</f>
        <v>0</v>
      </c>
      <c r="K484" s="233">
        <f t="shared" ca="1" si="109"/>
        <v>0</v>
      </c>
      <c r="L484" s="53"/>
      <c r="M484" s="53"/>
      <c r="N484" s="61"/>
    </row>
    <row r="485" spans="1:14" ht="21.75" customHeight="1" x14ac:dyDescent="0.4">
      <c r="A485" s="316"/>
      <c r="B485" s="51"/>
      <c r="C485" s="43"/>
      <c r="D485" s="155"/>
      <c r="E485" s="75"/>
      <c r="F485" s="75"/>
      <c r="G485" s="76"/>
      <c r="H485" s="60" t="s">
        <v>103</v>
      </c>
      <c r="I485" s="200">
        <f ca="1">IFERROR(__xludf.DUMMYFUNCTION("IMPORTRANGE(""https://docs.google.com/spreadsheets/d/1C3CXT74ZlgGe6_JY_1olB1XN4rF0dxEuIIF-xsYjHgg/edit?usp=sharing"",""งบกองทุน!Ep24"")"),0)</f>
        <v>0</v>
      </c>
      <c r="J485" s="67">
        <f ca="1">IFERROR(__xludf.DUMMYFUNCTION("IMPORTRANGE(""https://docs.google.com/spreadsheets/d/1AGHcLOeeYFL3K4b9R1dSzyJy00PE_ra89DNTVfnxSWM/edit?usp=sharing"",""รวมที่ชุมชน!L13"")"),0)</f>
        <v>0</v>
      </c>
      <c r="K485" s="49">
        <f t="shared" ca="1" si="109"/>
        <v>0</v>
      </c>
      <c r="L485" s="61"/>
      <c r="M485" s="61"/>
      <c r="N485" s="61"/>
    </row>
    <row r="486" spans="1:14" ht="21.75" customHeight="1" x14ac:dyDescent="0.4">
      <c r="A486" s="316"/>
      <c r="B486" s="51"/>
      <c r="C486" s="43"/>
      <c r="D486" s="155"/>
      <c r="E486" s="74" t="s">
        <v>105</v>
      </c>
      <c r="F486" s="75"/>
      <c r="G486" s="76"/>
      <c r="H486" s="60" t="s">
        <v>16</v>
      </c>
      <c r="I486" s="200">
        <f ca="1">IFERROR(__xludf.DUMMYFUNCTION("IMPORTRANGE(""https://docs.google.com/spreadsheets/d/1C3CXT74ZlgGe6_JY_1olB1XN4rF0dxEuIIF-xsYjHgg/edit?usp=sharing"",""งบกองทุน!Eq24"")"),0)</f>
        <v>0</v>
      </c>
      <c r="J486" s="67">
        <f ca="1">IFERROR(__xludf.DUMMYFUNCTION("IMPORTRANGE(""https://docs.google.com/spreadsheets/d/1AGHcLOeeYFL3K4b9R1dSzyJy00PE_ra89DNTVfnxSWM/edit?usp=sharing"",""รวมที่ชุมชน!S13"")"),0)</f>
        <v>0</v>
      </c>
      <c r="K486" s="49">
        <f t="shared" ca="1" si="109"/>
        <v>0</v>
      </c>
      <c r="L486" s="61"/>
      <c r="M486" s="61"/>
      <c r="N486" s="61"/>
    </row>
    <row r="487" spans="1:14" ht="21.75" customHeight="1" x14ac:dyDescent="0.4">
      <c r="A487" s="316"/>
      <c r="B487" s="51"/>
      <c r="C487" s="43"/>
      <c r="D487" s="155"/>
      <c r="E487" s="75"/>
      <c r="F487" s="75"/>
      <c r="G487" s="76"/>
      <c r="H487" s="60" t="s">
        <v>103</v>
      </c>
      <c r="I487" s="200">
        <f ca="1">IFERROR(__xludf.DUMMYFUNCTION("IMPORTRANGE(""https://docs.google.com/spreadsheets/d/1C3CXT74ZlgGe6_JY_1olB1XN4rF0dxEuIIF-xsYjHgg/edit?usp=sharing"",""งบกองทุน!Er24"")"),0)</f>
        <v>0</v>
      </c>
      <c r="J487" s="67">
        <f ca="1">IFERROR(__xludf.DUMMYFUNCTION("IMPORTRANGE(""https://docs.google.com/spreadsheets/d/1AGHcLOeeYFL3K4b9R1dSzyJy00PE_ra89DNTVfnxSWM/edit?usp=sharing"",""รวมที่ชุมชน!U13"")"),0)</f>
        <v>0</v>
      </c>
      <c r="K487" s="49">
        <f t="shared" ca="1" si="109"/>
        <v>0</v>
      </c>
      <c r="L487" s="61"/>
      <c r="M487" s="61"/>
      <c r="N487" s="61"/>
    </row>
    <row r="488" spans="1:14" ht="21.75" customHeight="1" x14ac:dyDescent="0.4">
      <c r="A488" s="316"/>
      <c r="B488" s="51"/>
      <c r="C488" s="43"/>
      <c r="D488" s="155"/>
      <c r="E488" s="74" t="s">
        <v>106</v>
      </c>
      <c r="F488" s="75"/>
      <c r="G488" s="76"/>
      <c r="H488" s="60" t="s">
        <v>16</v>
      </c>
      <c r="I488" s="200">
        <f ca="1">IFERROR(__xludf.DUMMYFUNCTION("IMPORTRANGE(""https://docs.google.com/spreadsheets/d/1C3CXT74ZlgGe6_JY_1olB1XN4rF0dxEuIIF-xsYjHgg/edit?usp=sharing"",""งบกองทุน!Es24"")"),0)</f>
        <v>0</v>
      </c>
      <c r="J488" s="67">
        <f ca="1">IFERROR(__xludf.DUMMYFUNCTION("IMPORTRANGE(""https://docs.google.com/spreadsheets/d/1AGHcLOeeYFL3K4b9R1dSzyJy00PE_ra89DNTVfnxSWM/edit?usp=sharing"",""รวมที่ชุมชน!V13"")"),0)</f>
        <v>0</v>
      </c>
      <c r="K488" s="49">
        <f t="shared" ca="1" si="109"/>
        <v>0</v>
      </c>
      <c r="L488" s="61"/>
      <c r="M488" s="61"/>
      <c r="N488" s="61"/>
    </row>
    <row r="489" spans="1:14" ht="21.75" customHeight="1" x14ac:dyDescent="0.4">
      <c r="A489" s="317"/>
      <c r="B489" s="318"/>
      <c r="C489" s="319"/>
      <c r="D489" s="320"/>
      <c r="E489" s="295"/>
      <c r="F489" s="295"/>
      <c r="G489" s="296"/>
      <c r="H489" s="321" t="s">
        <v>103</v>
      </c>
      <c r="I489" s="322">
        <f ca="1">IFERROR(__xludf.DUMMYFUNCTION("IMPORTRANGE(""https://docs.google.com/spreadsheets/d/1C3CXT74ZlgGe6_JY_1olB1XN4rF0dxEuIIF-xsYjHgg/edit?usp=sharing"",""งบกองทุน!Et24"")"),0)</f>
        <v>0</v>
      </c>
      <c r="J489" s="112">
        <f ca="1">IFERROR(__xludf.DUMMYFUNCTION("IMPORTRANGE(""https://docs.google.com/spreadsheets/d/1AGHcLOeeYFL3K4b9R1dSzyJy00PE_ra89DNTVfnxSWM/edit?usp=sharing"",""รวมที่ชุมชน!X13"")"),0)</f>
        <v>0</v>
      </c>
      <c r="K489" s="114">
        <f t="shared" ca="1" si="109"/>
        <v>0</v>
      </c>
      <c r="L489" s="300"/>
      <c r="M489" s="300"/>
      <c r="N489" s="300"/>
    </row>
    <row r="490" spans="1:14" ht="21.75" customHeight="1" x14ac:dyDescent="0.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10">I504</f>
        <v>50</v>
      </c>
      <c r="J490" s="375">
        <f t="shared" si="110"/>
        <v>0</v>
      </c>
      <c r="K490" s="301">
        <f ca="1">IF(I490&gt;0,J490*100/I490,0)</f>
        <v>0</v>
      </c>
      <c r="L490" s="259">
        <f ca="1">SUM(L491,L492)</f>
        <v>5350</v>
      </c>
      <c r="M490" s="259">
        <f>SUM(M491:M492)</f>
        <v>0</v>
      </c>
      <c r="N490" s="259">
        <f t="shared" ref="N490:N494" ca="1" si="111">+IF(L490&gt;0,M490*100/L490,0)</f>
        <v>0</v>
      </c>
    </row>
    <row r="491" spans="1:14" ht="21.75" customHeight="1" x14ac:dyDescent="0.4">
      <c r="A491" s="42"/>
      <c r="B491" s="43"/>
      <c r="C491" s="43" t="s">
        <v>17</v>
      </c>
      <c r="D491" s="44" t="s">
        <v>18</v>
      </c>
      <c r="E491" s="45"/>
      <c r="F491" s="45"/>
      <c r="G491" s="46" t="s">
        <v>19</v>
      </c>
      <c r="H491" s="47" t="s">
        <v>20</v>
      </c>
      <c r="I491" s="48" t="s">
        <v>21</v>
      </c>
      <c r="J491" s="48"/>
      <c r="K491" s="49"/>
      <c r="L491" s="50">
        <v>0</v>
      </c>
      <c r="M491" s="53">
        <v>0</v>
      </c>
      <c r="N491" s="53">
        <f t="shared" si="111"/>
        <v>0</v>
      </c>
    </row>
    <row r="492" spans="1:14" ht="21.75" customHeight="1" x14ac:dyDescent="0.4">
      <c r="A492" s="42"/>
      <c r="B492" s="43"/>
      <c r="C492" s="43"/>
      <c r="D492" s="51"/>
      <c r="E492" s="45"/>
      <c r="F492" s="45" t="s">
        <v>21</v>
      </c>
      <c r="G492" s="46" t="s">
        <v>22</v>
      </c>
      <c r="H492" s="47" t="s">
        <v>20</v>
      </c>
      <c r="I492" s="48"/>
      <c r="J492" s="48"/>
      <c r="K492" s="49"/>
      <c r="L492" s="50">
        <f t="shared" ref="L492:M492" ca="1" si="112">SUM(L493:L494)</f>
        <v>5350</v>
      </c>
      <c r="M492" s="53">
        <f t="shared" si="112"/>
        <v>0</v>
      </c>
      <c r="N492" s="53">
        <f t="shared" ca="1" si="111"/>
        <v>0</v>
      </c>
    </row>
    <row r="493" spans="1:14" ht="21.75" customHeight="1" x14ac:dyDescent="0.4">
      <c r="A493" s="42"/>
      <c r="B493" s="43"/>
      <c r="C493" s="43"/>
      <c r="D493" s="51"/>
      <c r="E493" s="45"/>
      <c r="F493" s="45"/>
      <c r="G493" s="52" t="s">
        <v>110</v>
      </c>
      <c r="H493" s="47" t="s">
        <v>20</v>
      </c>
      <c r="I493" s="48"/>
      <c r="J493" s="48"/>
      <c r="K493" s="49"/>
      <c r="L493" s="53">
        <f ca="1">IFERROR(__xludf.DUMMYFUNCTION("IMPORTRANGE(""https://docs.google.com/spreadsheets/d/1C3CXT74ZlgGe6_JY_1olB1XN4rF0dxEuIIF-xsYjHgg/edit?usp=sharing"",""งบกองทุน!Ev24"")"),0)</f>
        <v>0</v>
      </c>
      <c r="M493" s="53">
        <v>0</v>
      </c>
      <c r="N493" s="53">
        <f t="shared" ca="1" si="111"/>
        <v>0</v>
      </c>
    </row>
    <row r="494" spans="1:14" ht="21.75" customHeight="1" x14ac:dyDescent="0.4">
      <c r="A494" s="42"/>
      <c r="B494" s="43"/>
      <c r="C494" s="43"/>
      <c r="D494" s="51"/>
      <c r="E494" s="45"/>
      <c r="F494" s="45"/>
      <c r="G494" s="52" t="s">
        <v>111</v>
      </c>
      <c r="H494" s="47" t="s">
        <v>20</v>
      </c>
      <c r="I494" s="48"/>
      <c r="J494" s="48"/>
      <c r="K494" s="49"/>
      <c r="L494" s="53">
        <f ca="1">IFERROR(__xludf.DUMMYFUNCTION("IMPORTRANGE(""https://docs.google.com/spreadsheets/d/1C3CXT74ZlgGe6_JY_1olB1XN4rF0dxEuIIF-xsYjHgg/edit?usp=sharing"",""งบกองทุน!Ew24"")"),5350)</f>
        <v>5350</v>
      </c>
      <c r="M494" s="53">
        <f>SUM(M495:M498)</f>
        <v>0</v>
      </c>
      <c r="N494" s="53">
        <f t="shared" ca="1" si="111"/>
        <v>0</v>
      </c>
    </row>
    <row r="495" spans="1:14" ht="21.75" customHeight="1" x14ac:dyDescent="0.4">
      <c r="A495" s="230"/>
      <c r="B495" s="231"/>
      <c r="C495" s="43"/>
      <c r="D495" s="232"/>
      <c r="E495" s="45"/>
      <c r="F495" s="45"/>
      <c r="G495" s="46" t="s">
        <v>112</v>
      </c>
      <c r="H495" s="47" t="s">
        <v>20</v>
      </c>
      <c r="I495" s="67"/>
      <c r="J495" s="67"/>
      <c r="K495" s="233"/>
      <c r="L495" s="53"/>
      <c r="M495" s="53">
        <v>0</v>
      </c>
      <c r="N495" s="53"/>
    </row>
    <row r="496" spans="1:14" ht="21.75" customHeight="1" x14ac:dyDescent="0.4">
      <c r="A496" s="230"/>
      <c r="B496" s="231"/>
      <c r="C496" s="43"/>
      <c r="D496" s="232"/>
      <c r="E496" s="45"/>
      <c r="F496" s="45"/>
      <c r="G496" s="46" t="s">
        <v>113</v>
      </c>
      <c r="H496" s="47" t="s">
        <v>20</v>
      </c>
      <c r="I496" s="67"/>
      <c r="J496" s="67"/>
      <c r="K496" s="233"/>
      <c r="L496" s="53"/>
      <c r="M496" s="53">
        <v>0</v>
      </c>
      <c r="N496" s="53"/>
    </row>
    <row r="497" spans="1:14" ht="21.75" customHeight="1" x14ac:dyDescent="0.4">
      <c r="A497" s="230"/>
      <c r="B497" s="231"/>
      <c r="C497" s="43"/>
      <c r="D497" s="232"/>
      <c r="E497" s="45"/>
      <c r="F497" s="45"/>
      <c r="G497" s="46" t="s">
        <v>114</v>
      </c>
      <c r="H497" s="47" t="s">
        <v>20</v>
      </c>
      <c r="I497" s="67"/>
      <c r="J497" s="67"/>
      <c r="K497" s="233"/>
      <c r="L497" s="53"/>
      <c r="M497" s="54">
        <v>0</v>
      </c>
      <c r="N497" s="53"/>
    </row>
    <row r="498" spans="1:14" ht="21.75" customHeight="1" x14ac:dyDescent="0.4">
      <c r="A498" s="230"/>
      <c r="B498" s="231"/>
      <c r="C498" s="43"/>
      <c r="D498" s="232"/>
      <c r="E498" s="45"/>
      <c r="F498" s="45"/>
      <c r="G498" s="46" t="s">
        <v>115</v>
      </c>
      <c r="H498" s="47" t="s">
        <v>20</v>
      </c>
      <c r="I498" s="67"/>
      <c r="J498" s="67"/>
      <c r="K498" s="233"/>
      <c r="L498" s="53"/>
      <c r="M498" s="54">
        <v>0</v>
      </c>
      <c r="N498" s="53"/>
    </row>
    <row r="499" spans="1:14" ht="21.75" customHeight="1" x14ac:dyDescent="0.4">
      <c r="A499" s="55"/>
      <c r="B499" s="56"/>
      <c r="C499" s="43" t="s">
        <v>17</v>
      </c>
      <c r="D499" s="57" t="s">
        <v>25</v>
      </c>
      <c r="E499" s="58"/>
      <c r="F499" s="58"/>
      <c r="G499" s="59"/>
      <c r="H499" s="60"/>
      <c r="I499" s="48"/>
      <c r="J499" s="48"/>
      <c r="K499" s="49"/>
      <c r="L499" s="61"/>
      <c r="M499" s="61"/>
      <c r="N499" s="61"/>
    </row>
    <row r="500" spans="1:14" ht="21.75" customHeight="1" x14ac:dyDescent="0.4">
      <c r="A500" s="55"/>
      <c r="B500" s="56"/>
      <c r="C500" s="56"/>
      <c r="D500" s="62">
        <v>1</v>
      </c>
      <c r="E500" s="63" t="s">
        <v>26</v>
      </c>
      <c r="F500" s="64"/>
      <c r="G500" s="65"/>
      <c r="H500" s="66"/>
      <c r="I500" s="67"/>
      <c r="J500" s="68">
        <v>0</v>
      </c>
      <c r="K500" s="49"/>
      <c r="L500" s="61"/>
      <c r="M500" s="61"/>
      <c r="N500" s="61"/>
    </row>
    <row r="501" spans="1:14" ht="21.75" customHeight="1" x14ac:dyDescent="0.4">
      <c r="A501" s="55"/>
      <c r="B501" s="56"/>
      <c r="C501" s="56"/>
      <c r="D501" s="69">
        <v>2</v>
      </c>
      <c r="E501" s="70" t="s">
        <v>27</v>
      </c>
      <c r="F501" s="71"/>
      <c r="G501" s="72"/>
      <c r="H501" s="66"/>
      <c r="I501" s="67"/>
      <c r="J501" s="68">
        <v>1</v>
      </c>
      <c r="K501" s="49"/>
      <c r="L501" s="61" t="s">
        <v>21</v>
      </c>
      <c r="M501" s="61" t="s">
        <v>21</v>
      </c>
      <c r="N501" s="61"/>
    </row>
    <row r="502" spans="1:14" ht="21.75" hidden="1" customHeight="1" x14ac:dyDescent="0.4">
      <c r="A502" s="376"/>
      <c r="B502" s="377"/>
      <c r="C502" s="377"/>
      <c r="D502" s="378"/>
      <c r="E502" s="379" t="s">
        <v>28</v>
      </c>
      <c r="F502" s="380"/>
      <c r="G502" s="381"/>
      <c r="H502" s="330"/>
      <c r="I502" s="331"/>
      <c r="J502" s="331">
        <v>0</v>
      </c>
      <c r="K502" s="382"/>
      <c r="L502" s="383"/>
      <c r="M502" s="383"/>
      <c r="N502" s="383"/>
    </row>
    <row r="503" spans="1:14" ht="21.75" hidden="1" customHeight="1" x14ac:dyDescent="0.4">
      <c r="A503" s="376"/>
      <c r="B503" s="377"/>
      <c r="C503" s="377"/>
      <c r="D503" s="378"/>
      <c r="E503" s="379" t="s">
        <v>29</v>
      </c>
      <c r="F503" s="380"/>
      <c r="G503" s="381"/>
      <c r="H503" s="330"/>
      <c r="I503" s="331"/>
      <c r="J503" s="331">
        <v>0</v>
      </c>
      <c r="K503" s="382"/>
      <c r="L503" s="383"/>
      <c r="M503" s="383"/>
      <c r="N503" s="383"/>
    </row>
    <row r="504" spans="1:14" ht="21.75" customHeight="1" x14ac:dyDescent="0.4">
      <c r="A504" s="55"/>
      <c r="B504" s="56"/>
      <c r="C504" s="56"/>
      <c r="D504" s="73"/>
      <c r="E504" s="75"/>
      <c r="F504" s="75" t="s">
        <v>199</v>
      </c>
      <c r="G504" s="76"/>
      <c r="H504" s="60" t="s">
        <v>103</v>
      </c>
      <c r="I504" s="67">
        <f ca="1">IFERROR(__xludf.DUMMYFUNCTION("IMPORTRANGE(""https://docs.google.com/spreadsheets/d/1C3CXT74ZlgGe6_JY_1olB1XN4rF0dxEuIIF-xsYjHgg/edit?usp=sharing"",""งบกองทุน!EZ24"")"),50)</f>
        <v>50</v>
      </c>
      <c r="J504" s="48">
        <f>+J510</f>
        <v>0</v>
      </c>
      <c r="K504" s="49">
        <f t="shared" ref="K504:K512" ca="1" si="113">IF(I$504&gt;0,J504*100/I$504,0)</f>
        <v>0</v>
      </c>
      <c r="L504" s="61"/>
      <c r="M504" s="61"/>
      <c r="N504" s="61"/>
    </row>
    <row r="505" spans="1:14" ht="21.75" customHeight="1" x14ac:dyDescent="0.4">
      <c r="A505" s="55"/>
      <c r="B505" s="56"/>
      <c r="C505" s="56"/>
      <c r="D505" s="73"/>
      <c r="E505" s="77"/>
      <c r="F505" s="75"/>
      <c r="G505" s="99" t="s">
        <v>200</v>
      </c>
      <c r="H505" s="60" t="s">
        <v>103</v>
      </c>
      <c r="I505" s="67">
        <v>0</v>
      </c>
      <c r="J505" s="68">
        <v>0</v>
      </c>
      <c r="K505" s="49">
        <f t="shared" ca="1" si="113"/>
        <v>0</v>
      </c>
      <c r="L505" s="61"/>
      <c r="M505" s="61"/>
      <c r="N505" s="61"/>
    </row>
    <row r="506" spans="1:14" ht="21.75" customHeight="1" x14ac:dyDescent="0.4">
      <c r="A506" s="55"/>
      <c r="B506" s="56"/>
      <c r="C506" s="56"/>
      <c r="D506" s="73"/>
      <c r="E506" s="77"/>
      <c r="F506" s="75"/>
      <c r="G506" s="99" t="s">
        <v>201</v>
      </c>
      <c r="H506" s="60" t="s">
        <v>103</v>
      </c>
      <c r="I506" s="67">
        <v>0</v>
      </c>
      <c r="J506" s="68">
        <v>0</v>
      </c>
      <c r="K506" s="49">
        <f t="shared" ca="1" si="113"/>
        <v>0</v>
      </c>
      <c r="L506" s="61"/>
      <c r="M506" s="61"/>
      <c r="N506" s="61"/>
    </row>
    <row r="507" spans="1:14" ht="21.75" customHeight="1" x14ac:dyDescent="0.4">
      <c r="A507" s="55"/>
      <c r="B507" s="56"/>
      <c r="C507" s="56"/>
      <c r="D507" s="73"/>
      <c r="E507" s="77"/>
      <c r="F507" s="75"/>
      <c r="G507" s="99" t="s">
        <v>202</v>
      </c>
      <c r="H507" s="60" t="s">
        <v>103</v>
      </c>
      <c r="I507" s="67">
        <v>0</v>
      </c>
      <c r="J507" s="68">
        <v>0</v>
      </c>
      <c r="K507" s="49">
        <f t="shared" ca="1" si="113"/>
        <v>0</v>
      </c>
      <c r="L507" s="61"/>
      <c r="M507" s="61"/>
      <c r="N507" s="61"/>
    </row>
    <row r="508" spans="1:14" ht="21.75" customHeight="1" x14ac:dyDescent="0.4">
      <c r="A508" s="55"/>
      <c r="B508" s="56"/>
      <c r="C508" s="56"/>
      <c r="D508" s="73"/>
      <c r="E508" s="77"/>
      <c r="F508" s="75"/>
      <c r="G508" s="99" t="s">
        <v>203</v>
      </c>
      <c r="H508" s="60" t="s">
        <v>103</v>
      </c>
      <c r="I508" s="67">
        <v>0</v>
      </c>
      <c r="J508" s="68">
        <v>0</v>
      </c>
      <c r="K508" s="49">
        <f t="shared" ca="1" si="113"/>
        <v>0</v>
      </c>
      <c r="L508" s="61"/>
      <c r="M508" s="61"/>
      <c r="N508" s="61"/>
    </row>
    <row r="509" spans="1:14" ht="21.75" customHeight="1" x14ac:dyDescent="0.4">
      <c r="A509" s="55"/>
      <c r="B509" s="56"/>
      <c r="C509" s="56"/>
      <c r="D509" s="73"/>
      <c r="E509" s="77"/>
      <c r="F509" s="75"/>
      <c r="G509" s="74" t="s">
        <v>204</v>
      </c>
      <c r="H509" s="60" t="s">
        <v>103</v>
      </c>
      <c r="I509" s="67">
        <v>0</v>
      </c>
      <c r="J509" s="68">
        <v>0</v>
      </c>
      <c r="K509" s="49">
        <f t="shared" ca="1" si="113"/>
        <v>0</v>
      </c>
      <c r="L509" s="61"/>
      <c r="M509" s="61"/>
      <c r="N509" s="61"/>
    </row>
    <row r="510" spans="1:14" ht="21.75" customHeight="1" x14ac:dyDescent="0.4">
      <c r="A510" s="55"/>
      <c r="B510" s="56"/>
      <c r="C510" s="56"/>
      <c r="D510" s="73"/>
      <c r="E510" s="77"/>
      <c r="F510" s="75"/>
      <c r="G510" s="74" t="s">
        <v>205</v>
      </c>
      <c r="H510" s="60" t="s">
        <v>103</v>
      </c>
      <c r="I510" s="67">
        <f t="shared" ref="I510:J510" si="114">I511+I512</f>
        <v>0</v>
      </c>
      <c r="J510" s="67">
        <f t="shared" si="114"/>
        <v>0</v>
      </c>
      <c r="K510" s="49">
        <f t="shared" ca="1" si="113"/>
        <v>0</v>
      </c>
      <c r="L510" s="61"/>
      <c r="M510" s="61"/>
      <c r="N510" s="61"/>
    </row>
    <row r="511" spans="1:14" ht="21.75" customHeight="1" x14ac:dyDescent="0.4">
      <c r="A511" s="55"/>
      <c r="B511" s="56"/>
      <c r="C511" s="56"/>
      <c r="D511" s="73"/>
      <c r="E511" s="77"/>
      <c r="F511" s="75"/>
      <c r="G511" s="334" t="s">
        <v>206</v>
      </c>
      <c r="H511" s="60" t="s">
        <v>103</v>
      </c>
      <c r="I511" s="67">
        <v>0</v>
      </c>
      <c r="J511" s="68">
        <v>0</v>
      </c>
      <c r="K511" s="49">
        <f t="shared" ca="1" si="113"/>
        <v>0</v>
      </c>
      <c r="L511" s="61"/>
      <c r="M511" s="61"/>
      <c r="N511" s="61"/>
    </row>
    <row r="512" spans="1:14" ht="21.75" customHeight="1" x14ac:dyDescent="0.4">
      <c r="A512" s="55"/>
      <c r="B512" s="56"/>
      <c r="C512" s="56"/>
      <c r="D512" s="73"/>
      <c r="E512" s="77"/>
      <c r="F512" s="75"/>
      <c r="G512" s="334" t="s">
        <v>207</v>
      </c>
      <c r="H512" s="60" t="s">
        <v>103</v>
      </c>
      <c r="I512" s="67">
        <v>0</v>
      </c>
      <c r="J512" s="68">
        <v>0</v>
      </c>
      <c r="K512" s="49">
        <f t="shared" ca="1" si="113"/>
        <v>0</v>
      </c>
      <c r="L512" s="61"/>
      <c r="M512" s="61"/>
      <c r="N512" s="61"/>
    </row>
    <row r="513" spans="1:14" ht="21.75" customHeight="1" x14ac:dyDescent="0.4">
      <c r="A513" s="55"/>
      <c r="B513" s="56"/>
      <c r="C513" s="56"/>
      <c r="D513" s="73"/>
      <c r="E513" s="75"/>
      <c r="F513" s="74" t="s">
        <v>208</v>
      </c>
      <c r="G513" s="76"/>
      <c r="H513" s="60" t="s">
        <v>103</v>
      </c>
      <c r="I513" s="67">
        <f ca="1">IFERROR(__xludf.DUMMYFUNCTION("IMPORTRANGE(""https://docs.google.com/spreadsheets/d/1C3CXT74ZlgGe6_JY_1olB1XN4rF0dxEuIIF-xsYjHgg/edit?usp=sharing"",""งบกองทุน!ff24"")"),0)</f>
        <v>0</v>
      </c>
      <c r="J513" s="48">
        <f>J514</f>
        <v>0</v>
      </c>
      <c r="K513" s="49">
        <f t="shared" ref="K513:K519" ca="1" si="115">IF(I$513&gt;0,J513*100/I$513,0)</f>
        <v>0</v>
      </c>
      <c r="L513" s="61"/>
      <c r="M513" s="61"/>
      <c r="N513" s="61"/>
    </row>
    <row r="514" spans="1:14" ht="21.75" customHeight="1" x14ac:dyDescent="0.4">
      <c r="A514" s="55"/>
      <c r="B514" s="56"/>
      <c r="C514" s="56"/>
      <c r="D514" s="73"/>
      <c r="E514" s="77"/>
      <c r="F514" s="75"/>
      <c r="G514" s="99" t="s">
        <v>205</v>
      </c>
      <c r="H514" s="60" t="s">
        <v>103</v>
      </c>
      <c r="I514" s="48">
        <f t="shared" ref="I514:J514" si="116">I515+I516</f>
        <v>0</v>
      </c>
      <c r="J514" s="48">
        <f t="shared" si="116"/>
        <v>0</v>
      </c>
      <c r="K514" s="49">
        <f t="shared" ca="1" si="115"/>
        <v>0</v>
      </c>
      <c r="L514" s="61"/>
      <c r="M514" s="61"/>
      <c r="N514" s="61"/>
    </row>
    <row r="515" spans="1:14" ht="21.75" customHeight="1" x14ac:dyDescent="0.4">
      <c r="A515" s="55"/>
      <c r="B515" s="56"/>
      <c r="C515" s="56"/>
      <c r="D515" s="73"/>
      <c r="E515" s="77"/>
      <c r="F515" s="75"/>
      <c r="G515" s="334" t="s">
        <v>206</v>
      </c>
      <c r="H515" s="60" t="s">
        <v>103</v>
      </c>
      <c r="I515" s="67">
        <v>0</v>
      </c>
      <c r="J515" s="68">
        <v>0</v>
      </c>
      <c r="K515" s="49">
        <f t="shared" ca="1" si="115"/>
        <v>0</v>
      </c>
      <c r="L515" s="61"/>
      <c r="M515" s="61"/>
      <c r="N515" s="61"/>
    </row>
    <row r="516" spans="1:14" ht="21.75" customHeight="1" x14ac:dyDescent="0.4">
      <c r="A516" s="55"/>
      <c r="B516" s="56"/>
      <c r="C516" s="56"/>
      <c r="D516" s="73"/>
      <c r="E516" s="77"/>
      <c r="F516" s="75"/>
      <c r="G516" s="334" t="s">
        <v>207</v>
      </c>
      <c r="H516" s="60" t="s">
        <v>103</v>
      </c>
      <c r="I516" s="67">
        <v>0</v>
      </c>
      <c r="J516" s="68">
        <v>0</v>
      </c>
      <c r="K516" s="49">
        <f t="shared" ca="1" si="115"/>
        <v>0</v>
      </c>
      <c r="L516" s="61"/>
      <c r="M516" s="61"/>
      <c r="N516" s="61"/>
    </row>
    <row r="517" spans="1:14" ht="21.75" customHeight="1" x14ac:dyDescent="0.4">
      <c r="A517" s="55"/>
      <c r="B517" s="56"/>
      <c r="C517" s="56"/>
      <c r="D517" s="73"/>
      <c r="E517" s="77"/>
      <c r="F517" s="75"/>
      <c r="G517" s="99" t="s">
        <v>209</v>
      </c>
      <c r="H517" s="60" t="s">
        <v>103</v>
      </c>
      <c r="I517" s="67">
        <f t="shared" ref="I517:J517" si="117">SUM(I518:I519)</f>
        <v>0</v>
      </c>
      <c r="J517" s="67">
        <f t="shared" si="117"/>
        <v>0</v>
      </c>
      <c r="K517" s="49">
        <f t="shared" ca="1" si="115"/>
        <v>0</v>
      </c>
      <c r="L517" s="61"/>
      <c r="M517" s="61"/>
      <c r="N517" s="61"/>
    </row>
    <row r="518" spans="1:14" ht="21.75" customHeight="1" x14ac:dyDescent="0.4">
      <c r="A518" s="55"/>
      <c r="B518" s="56"/>
      <c r="C518" s="56"/>
      <c r="D518" s="73"/>
      <c r="E518" s="77"/>
      <c r="F518" s="75"/>
      <c r="G518" s="334" t="s">
        <v>210</v>
      </c>
      <c r="H518" s="60" t="s">
        <v>103</v>
      </c>
      <c r="I518" s="67">
        <v>0</v>
      </c>
      <c r="J518" s="68">
        <v>0</v>
      </c>
      <c r="K518" s="49">
        <f t="shared" ca="1" si="115"/>
        <v>0</v>
      </c>
      <c r="L518" s="61"/>
      <c r="M518" s="61"/>
      <c r="N518" s="61"/>
    </row>
    <row r="519" spans="1:14" ht="21.75" customHeight="1" x14ac:dyDescent="0.4">
      <c r="A519" s="55"/>
      <c r="B519" s="56"/>
      <c r="C519" s="56"/>
      <c r="D519" s="73"/>
      <c r="E519" s="77"/>
      <c r="F519" s="75"/>
      <c r="G519" s="334" t="s">
        <v>211</v>
      </c>
      <c r="H519" s="60" t="s">
        <v>103</v>
      </c>
      <c r="I519" s="67">
        <v>0</v>
      </c>
      <c r="J519" s="68">
        <v>0</v>
      </c>
      <c r="K519" s="49">
        <f t="shared" ca="1" si="115"/>
        <v>0</v>
      </c>
      <c r="L519" s="61"/>
      <c r="M519" s="61"/>
      <c r="N519" s="61"/>
    </row>
    <row r="520" spans="1:14" ht="21.75" customHeight="1" x14ac:dyDescent="0.4">
      <c r="A520" s="335" t="s">
        <v>212</v>
      </c>
      <c r="B520" s="336"/>
      <c r="C520" s="336"/>
      <c r="D520" s="336"/>
      <c r="E520" s="336"/>
      <c r="F520" s="336"/>
      <c r="G520" s="337"/>
      <c r="H520" s="338"/>
      <c r="I520" s="339"/>
      <c r="J520" s="339"/>
      <c r="K520" s="340"/>
      <c r="L520" s="340"/>
      <c r="M520" s="340"/>
      <c r="N520" s="341"/>
    </row>
    <row r="521" spans="1:14" ht="21.75" customHeight="1" x14ac:dyDescent="0.4">
      <c r="A521" s="316"/>
      <c r="B521" s="45" t="s">
        <v>213</v>
      </c>
      <c r="C521" s="43"/>
      <c r="D521" s="51"/>
      <c r="E521" s="45"/>
      <c r="F521" s="45"/>
      <c r="G521" s="46"/>
      <c r="H521" s="342" t="s">
        <v>20</v>
      </c>
      <c r="I521" s="200">
        <f ca="1">IFERROR(__xludf.DUMMYFUNCTION("IMPORTRANGE(""https://docs.google.com/spreadsheets/d/1muirlRDkqiswvy_NRZ3Yh955hx-PF6_HhssUYiSJj8o/edit?usp=sharing"",""กองทุน!D24"")"),1200000)</f>
        <v>1200000</v>
      </c>
      <c r="J521" s="200">
        <f ca="1">IFERROR(__xludf.DUMMYFUNCTION("IMPORTRANGE(""https://docs.google.com/spreadsheets/d/1muirlRDkqiswvy_NRZ3Yh955hx-PF6_HhssUYiSJj8o/edit?usp=sharing"",""กองทุน!F24"")"),0)</f>
        <v>0</v>
      </c>
      <c r="K521" s="201">
        <f t="shared" ref="K521:K528" ca="1" si="118">IF(I521&gt;0,J521*100/I521,0)</f>
        <v>0</v>
      </c>
      <c r="L521" s="201"/>
      <c r="M521" s="201"/>
      <c r="N521" s="53"/>
    </row>
    <row r="522" spans="1:14" ht="21.75" customHeight="1" x14ac:dyDescent="0.4">
      <c r="A522" s="316"/>
      <c r="B522" s="43"/>
      <c r="C522" s="43"/>
      <c r="D522" s="51"/>
      <c r="E522" s="45"/>
      <c r="F522" s="45"/>
      <c r="G522" s="46"/>
      <c r="H522" s="342" t="s">
        <v>16</v>
      </c>
      <c r="I522" s="200">
        <f ca="1">IFERROR(__xludf.DUMMYFUNCTION("IMPORTRANGE(""https://docs.google.com/spreadsheets/d/1muirlRDkqiswvy_NRZ3Yh955hx-PF6_HhssUYiSJj8o/edit?usp=sharing"",""กองทุน!C24"")"),60)</f>
        <v>60</v>
      </c>
      <c r="J522" s="200">
        <f ca="1">IFERROR(__xludf.DUMMYFUNCTION("IMPORTRANGE(""https://docs.google.com/spreadsheets/d/1muirlRDkqiswvy_NRZ3Yh955hx-PF6_HhssUYiSJj8o/edit?usp=sharing"",""กองทุน!E24"")"),0)</f>
        <v>0</v>
      </c>
      <c r="K522" s="201">
        <f t="shared" ca="1" si="118"/>
        <v>0</v>
      </c>
      <c r="L522" s="201"/>
      <c r="M522" s="201"/>
      <c r="N522" s="53"/>
    </row>
    <row r="523" spans="1:14" ht="21.75" customHeight="1" x14ac:dyDescent="0.4">
      <c r="A523" s="316"/>
      <c r="B523" s="45" t="s">
        <v>214</v>
      </c>
      <c r="C523" s="43"/>
      <c r="D523" s="51"/>
      <c r="E523" s="45"/>
      <c r="F523" s="45"/>
      <c r="G523" s="46"/>
      <c r="H523" s="342" t="s">
        <v>20</v>
      </c>
      <c r="I523" s="200">
        <f ca="1">IFERROR(__xludf.DUMMYFUNCTION("IMPORTRANGE(""https://docs.google.com/spreadsheets/d/1muirlRDkqiswvy_NRZ3Yh955hx-PF6_HhssUYiSJj8o/edit?usp=sharing"",""กองทุน!I24"")"),11511319.53)</f>
        <v>11511319.529999999</v>
      </c>
      <c r="J523" s="200">
        <f ca="1">IFERROR(__xludf.DUMMYFUNCTION("IMPORTRANGE(""https://docs.google.com/spreadsheets/d/1muirlRDkqiswvy_NRZ3Yh955hx-PF6_HhssUYiSJj8o/edit?usp=sharing"",""กองทุน!K24"")"),12791.96)</f>
        <v>12791.96</v>
      </c>
      <c r="K523" s="201">
        <f t="shared" ca="1" si="118"/>
        <v>0.11112505361928739</v>
      </c>
      <c r="L523" s="201"/>
      <c r="M523" s="201"/>
      <c r="N523" s="53"/>
    </row>
    <row r="524" spans="1:14" ht="21.75" customHeight="1" x14ac:dyDescent="0.4">
      <c r="A524" s="316"/>
      <c r="B524" s="43"/>
      <c r="C524" s="43"/>
      <c r="D524" s="51"/>
      <c r="E524" s="45"/>
      <c r="F524" s="45"/>
      <c r="G524" s="46"/>
      <c r="H524" s="342" t="s">
        <v>16</v>
      </c>
      <c r="I524" s="200">
        <f ca="1">IFERROR(__xludf.DUMMYFUNCTION("IMPORTRANGE(""https://docs.google.com/spreadsheets/d/1muirlRDkqiswvy_NRZ3Yh955hx-PF6_HhssUYiSJj8o/edit?usp=sharing"",""กองทุน!H24"")"),331)</f>
        <v>331</v>
      </c>
      <c r="J524" s="200">
        <f ca="1">IFERROR(__xludf.DUMMYFUNCTION("IMPORTRANGE(""https://docs.google.com/spreadsheets/d/1muirlRDkqiswvy_NRZ3Yh955hx-PF6_HhssUYiSJj8o/edit?usp=sharing"",""กองทุน!J24"")"),4)</f>
        <v>4</v>
      </c>
      <c r="K524" s="201">
        <f t="shared" ca="1" si="118"/>
        <v>1.2084592145015105</v>
      </c>
      <c r="L524" s="201"/>
      <c r="M524" s="201"/>
      <c r="N524" s="53"/>
    </row>
    <row r="525" spans="1:14" ht="21.75" customHeight="1" x14ac:dyDescent="0.4">
      <c r="A525" s="316"/>
      <c r="B525" s="45" t="s">
        <v>215</v>
      </c>
      <c r="C525" s="43"/>
      <c r="D525" s="51"/>
      <c r="E525" s="45"/>
      <c r="F525" s="45"/>
      <c r="G525" s="46"/>
      <c r="H525" s="342" t="s">
        <v>20</v>
      </c>
      <c r="I525" s="200">
        <f ca="1">IFERROR(__xludf.DUMMYFUNCTION("IMPORTRANGE(""https://docs.google.com/spreadsheets/d/1muirlRDkqiswvy_NRZ3Yh955hx-PF6_HhssUYiSJj8o/edit?usp=sharing"",""กองทุน!N24"")"),41056380.57)</f>
        <v>41056380.57</v>
      </c>
      <c r="J525" s="200">
        <f ca="1">IFERROR(__xludf.DUMMYFUNCTION("IMPORTRANGE(""https://docs.google.com/spreadsheets/d/1muirlRDkqiswvy_NRZ3Yh955hx-PF6_HhssUYiSJj8o/edit?usp=sharing"",""กองทุน!P24"")"),931434.2)</f>
        <v>931434.2</v>
      </c>
      <c r="K525" s="201">
        <f t="shared" ca="1" si="118"/>
        <v>2.26867100087386</v>
      </c>
      <c r="L525" s="201"/>
      <c r="M525" s="201"/>
      <c r="N525" s="53"/>
    </row>
    <row r="526" spans="1:14" ht="21.75" customHeight="1" x14ac:dyDescent="0.4">
      <c r="A526" s="316"/>
      <c r="B526" s="45"/>
      <c r="C526" s="43"/>
      <c r="D526" s="51"/>
      <c r="E526" s="45"/>
      <c r="F526" s="45"/>
      <c r="G526" s="46"/>
      <c r="H526" s="342" t="s">
        <v>16</v>
      </c>
      <c r="I526" s="200">
        <f ca="1">IFERROR(__xludf.DUMMYFUNCTION("IMPORTRANGE(""https://docs.google.com/spreadsheets/d/1muirlRDkqiswvy_NRZ3Yh955hx-PF6_HhssUYiSJj8o/edit?usp=sharing"",""กองทุน!M24"")"),2035)</f>
        <v>2035</v>
      </c>
      <c r="J526" s="200">
        <f ca="1">IFERROR(__xludf.DUMMYFUNCTION("IMPORTRANGE(""https://docs.google.com/spreadsheets/d/1muirlRDkqiswvy_NRZ3Yh955hx-PF6_HhssUYiSJj8o/edit?usp=sharing"",""กองทุน!O24"")"),72)</f>
        <v>72</v>
      </c>
      <c r="K526" s="201">
        <f t="shared" ca="1" si="118"/>
        <v>3.538083538083538</v>
      </c>
      <c r="L526" s="201"/>
      <c r="M526" s="201"/>
      <c r="N526" s="53"/>
    </row>
    <row r="527" spans="1:14" ht="21.75" customHeight="1" x14ac:dyDescent="0.4">
      <c r="A527" s="316"/>
      <c r="B527" s="45" t="s">
        <v>216</v>
      </c>
      <c r="C527" s="43"/>
      <c r="D527" s="51"/>
      <c r="E527" s="45"/>
      <c r="F527" s="45"/>
      <c r="G527" s="46"/>
      <c r="H527" s="342" t="s">
        <v>20</v>
      </c>
      <c r="I527" s="200">
        <f ca="1">IFERROR(__xludf.DUMMYFUNCTION("IMPORTRANGE(""https://docs.google.com/spreadsheets/d/1muirlRDkqiswvy_NRZ3Yh955hx-PF6_HhssUYiSJj8o/edit?usp=sharing"",""กองทุน!S24"")"),1260000)</f>
        <v>1260000</v>
      </c>
      <c r="J527" s="200">
        <f ca="1">IFERROR(__xludf.DUMMYFUNCTION("IMPORTRANGE(""https://docs.google.com/spreadsheets/d/1muirlRDkqiswvy_NRZ3Yh955hx-PF6_HhssUYiSJj8o/edit?usp=sharing"",""กองทุน!U24"")"),0)</f>
        <v>0</v>
      </c>
      <c r="K527" s="201">
        <f t="shared" ca="1" si="118"/>
        <v>0</v>
      </c>
      <c r="L527" s="201"/>
      <c r="M527" s="201"/>
      <c r="N527" s="53"/>
    </row>
    <row r="528" spans="1:14" ht="21.75" customHeight="1" x14ac:dyDescent="0.4">
      <c r="A528" s="317"/>
      <c r="B528" s="319"/>
      <c r="C528" s="319"/>
      <c r="D528" s="318"/>
      <c r="E528" s="343"/>
      <c r="F528" s="343"/>
      <c r="G528" s="344"/>
      <c r="H528" s="345" t="s">
        <v>16</v>
      </c>
      <c r="I528" s="322">
        <f ca="1">IFERROR(__xludf.DUMMYFUNCTION("IMPORTRANGE(""https://docs.google.com/spreadsheets/d/1muirlRDkqiswvy_NRZ3Yh955hx-PF6_HhssUYiSJj8o/edit?usp=sharing"",""กองทุน!R24"")"),63)</f>
        <v>63</v>
      </c>
      <c r="J528" s="322">
        <f ca="1">IFERROR(__xludf.DUMMYFUNCTION("IMPORTRANGE(""https://docs.google.com/spreadsheets/d/1muirlRDkqiswvy_NRZ3Yh955hx-PF6_HhssUYiSJj8o/edit?usp=sharing"",""กองทุน!T24"")"),0)</f>
        <v>0</v>
      </c>
      <c r="K528" s="323">
        <f t="shared" ca="1" si="118"/>
        <v>0</v>
      </c>
      <c r="L528" s="323"/>
      <c r="M528" s="323"/>
      <c r="N528" s="346"/>
    </row>
    <row r="529" spans="1:14" ht="21.75" customHeight="1" x14ac:dyDescent="0.4">
      <c r="A529" s="347"/>
      <c r="B529" s="347"/>
      <c r="C529" s="347"/>
      <c r="D529" s="347"/>
      <c r="E529" s="348" t="s">
        <v>217</v>
      </c>
      <c r="F529" s="348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&amp;P/&amp;N&amp;R&amp;F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L18" sqref="L18"/>
      <selection pane="bottomLeft" activeCell="L18" sqref="L18"/>
    </sheetView>
  </sheetViews>
  <sheetFormatPr defaultColWidth="12.625" defaultRowHeight="15" customHeight="1" x14ac:dyDescent="0.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4">
      <c r="A1" s="403" t="s">
        <v>0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</row>
    <row r="2" spans="1:14" ht="18" customHeight="1" x14ac:dyDescent="0.4">
      <c r="A2" s="403" t="s">
        <v>232</v>
      </c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404"/>
    </row>
    <row r="3" spans="1:14" ht="18" customHeight="1" x14ac:dyDescent="0.4">
      <c r="A3" s="403" t="s">
        <v>249</v>
      </c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04"/>
    </row>
    <row r="4" spans="1:14" ht="33.75" customHeight="1" x14ac:dyDescent="0.4">
      <c r="A4" s="2"/>
      <c r="B4" s="2"/>
      <c r="C4" s="2"/>
      <c r="D4" s="2"/>
      <c r="E4" s="2"/>
      <c r="F4" s="2"/>
      <c r="G4" s="2"/>
      <c r="H4" s="2"/>
      <c r="I4" s="2"/>
      <c r="J4" s="354" t="s">
        <v>2</v>
      </c>
      <c r="K4" s="4"/>
      <c r="L4" s="5"/>
      <c r="M4" s="355" t="s">
        <v>3</v>
      </c>
      <c r="N4" s="2"/>
    </row>
    <row r="5" spans="1:14" ht="21.75" customHeight="1" x14ac:dyDescent="0.55000000000000004">
      <c r="A5" s="405" t="s">
        <v>4</v>
      </c>
      <c r="B5" s="406"/>
      <c r="C5" s="406"/>
      <c r="D5" s="406"/>
      <c r="E5" s="406"/>
      <c r="F5" s="406"/>
      <c r="G5" s="407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2487575</v>
      </c>
      <c r="M6" s="16">
        <f t="shared" si="0"/>
        <v>105708.42</v>
      </c>
      <c r="N6" s="17">
        <f ca="1">IF(L6&gt;0,M6*100/L6,0)</f>
        <v>4.2494565992985134</v>
      </c>
    </row>
    <row r="7" spans="1:14" ht="21.75" customHeight="1" x14ac:dyDescent="0.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1</v>
      </c>
      <c r="J9" s="38">
        <f t="shared" si="1"/>
        <v>0</v>
      </c>
      <c r="K9" s="41">
        <f t="shared" ref="K9:K10" ca="1" si="2">IF(I9&gt;0,J9*100/I9,0)</f>
        <v>0</v>
      </c>
      <c r="L9" s="40">
        <f ca="1">L11+L12</f>
        <v>553600</v>
      </c>
      <c r="M9" s="40">
        <f>SUM(M11:M12)</f>
        <v>1600</v>
      </c>
      <c r="N9" s="41">
        <f ca="1">IF(L9&gt;0,M9*100/L9,0)</f>
        <v>0.28901734104046245</v>
      </c>
    </row>
    <row r="10" spans="1:14" ht="21.75" customHeight="1" x14ac:dyDescent="0.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63</v>
      </c>
      <c r="J10" s="38">
        <f t="shared" si="3"/>
        <v>0</v>
      </c>
      <c r="K10" s="41">
        <f t="shared" ca="1" si="2"/>
        <v>0</v>
      </c>
      <c r="L10" s="40"/>
      <c r="M10" s="40"/>
      <c r="N10" s="41"/>
    </row>
    <row r="11" spans="1:14" ht="21.75" customHeight="1" x14ac:dyDescent="0.4">
      <c r="A11" s="42"/>
      <c r="B11" s="43"/>
      <c r="C11" s="43" t="s">
        <v>17</v>
      </c>
      <c r="D11" s="44" t="s">
        <v>18</v>
      </c>
      <c r="E11" s="45"/>
      <c r="F11" s="45"/>
      <c r="G11" s="46" t="s">
        <v>19</v>
      </c>
      <c r="H11" s="47" t="s">
        <v>20</v>
      </c>
      <c r="I11" s="48" t="s">
        <v>21</v>
      </c>
      <c r="J11" s="48"/>
      <c r="K11" s="49"/>
      <c r="L11" s="50">
        <v>0</v>
      </c>
      <c r="M11" s="50">
        <v>0</v>
      </c>
      <c r="N11" s="50">
        <f t="shared" ref="N11:N14" si="4">+IF(L11&gt;0,M11*100/L11,0)</f>
        <v>0</v>
      </c>
    </row>
    <row r="12" spans="1:14" ht="21.75" customHeight="1" x14ac:dyDescent="0.4">
      <c r="A12" s="42"/>
      <c r="B12" s="43"/>
      <c r="C12" s="43"/>
      <c r="D12" s="51"/>
      <c r="E12" s="45"/>
      <c r="F12" s="45" t="s">
        <v>21</v>
      </c>
      <c r="G12" s="46" t="s">
        <v>22</v>
      </c>
      <c r="H12" s="47" t="s">
        <v>20</v>
      </c>
      <c r="I12" s="48"/>
      <c r="J12" s="48"/>
      <c r="K12" s="49"/>
      <c r="L12" s="53">
        <f ca="1">IFERROR(__xludf.DUMMYFUNCTION("IMPORTRANGE(""https://docs.google.com/spreadsheets/d/1C3CXT74ZlgGe6_JY_1olB1XN4rF0dxEuIIF-xsYjHgg/edit?usp=sharing"",""พรบ!C25"")"),553600)</f>
        <v>553600</v>
      </c>
      <c r="M12" s="50">
        <f>SUM(M13:M14)</f>
        <v>1600</v>
      </c>
      <c r="N12" s="50">
        <f t="shared" ca="1" si="4"/>
        <v>0.28901734104046245</v>
      </c>
    </row>
    <row r="13" spans="1:14" ht="21.75" customHeight="1" x14ac:dyDescent="0.4">
      <c r="A13" s="42"/>
      <c r="B13" s="43"/>
      <c r="C13" s="43"/>
      <c r="D13" s="51"/>
      <c r="E13" s="45"/>
      <c r="F13" s="45"/>
      <c r="G13" s="52" t="s">
        <v>23</v>
      </c>
      <c r="H13" s="47" t="s">
        <v>20</v>
      </c>
      <c r="I13" s="48"/>
      <c r="J13" s="48"/>
      <c r="K13" s="49"/>
      <c r="L13" s="53">
        <f ca="1">IFERROR(__xludf.DUMMYFUNCTION("IMPORTRANGE(""https://docs.google.com/spreadsheets/d/1C3CXT74ZlgGe6_JY_1olB1XN4rF0dxEuIIF-xsYjHgg/edit?usp=sharing"",""พรบ!D25"")"),0)</f>
        <v>0</v>
      </c>
      <c r="M13" s="53">
        <v>0</v>
      </c>
      <c r="N13" s="53">
        <f t="shared" ca="1" si="4"/>
        <v>0</v>
      </c>
    </row>
    <row r="14" spans="1:14" ht="21.75" customHeight="1" x14ac:dyDescent="0.4">
      <c r="A14" s="42"/>
      <c r="B14" s="43"/>
      <c r="C14" s="43"/>
      <c r="D14" s="51"/>
      <c r="E14" s="45"/>
      <c r="F14" s="45"/>
      <c r="G14" s="52" t="s">
        <v>24</v>
      </c>
      <c r="H14" s="47" t="s">
        <v>20</v>
      </c>
      <c r="I14" s="48"/>
      <c r="J14" s="48"/>
      <c r="K14" s="49"/>
      <c r="L14" s="53">
        <f ca="1">IFERROR(__xludf.DUMMYFUNCTION("IMPORTRANGE(""https://docs.google.com/spreadsheets/d/1C3CXT74ZlgGe6_JY_1olB1XN4rF0dxEuIIF-xsYjHgg/edit?usp=sharing"",""พรบ!E25"")"),553600)</f>
        <v>553600</v>
      </c>
      <c r="M14" s="54">
        <v>1600</v>
      </c>
      <c r="N14" s="53">
        <f t="shared" ca="1" si="4"/>
        <v>0.28901734104046245</v>
      </c>
    </row>
    <row r="15" spans="1:14" ht="21.75" customHeight="1" x14ac:dyDescent="0.4">
      <c r="A15" s="55"/>
      <c r="B15" s="56"/>
      <c r="C15" s="43" t="s">
        <v>17</v>
      </c>
      <c r="D15" s="57" t="s">
        <v>25</v>
      </c>
      <c r="E15" s="58"/>
      <c r="F15" s="58"/>
      <c r="G15" s="59"/>
      <c r="H15" s="60"/>
      <c r="I15" s="48"/>
      <c r="J15" s="48"/>
      <c r="K15" s="49"/>
      <c r="L15" s="61"/>
      <c r="M15" s="61"/>
      <c r="N15" s="61"/>
    </row>
    <row r="16" spans="1:14" ht="21.75" customHeight="1" x14ac:dyDescent="0.4">
      <c r="A16" s="55"/>
      <c r="B16" s="56"/>
      <c r="C16" s="56"/>
      <c r="D16" s="62">
        <v>1</v>
      </c>
      <c r="E16" s="63" t="s">
        <v>26</v>
      </c>
      <c r="F16" s="64"/>
      <c r="G16" s="65"/>
      <c r="H16" s="66"/>
      <c r="I16" s="67"/>
      <c r="J16" s="68">
        <v>0</v>
      </c>
      <c r="K16" s="49"/>
      <c r="L16" s="61"/>
      <c r="M16" s="61"/>
      <c r="N16" s="61"/>
    </row>
    <row r="17" spans="1:14" ht="21.75" customHeight="1" x14ac:dyDescent="0.4">
      <c r="A17" s="55"/>
      <c r="B17" s="56"/>
      <c r="C17" s="56"/>
      <c r="D17" s="69">
        <v>2</v>
      </c>
      <c r="E17" s="70" t="s">
        <v>27</v>
      </c>
      <c r="F17" s="71"/>
      <c r="G17" s="72"/>
      <c r="H17" s="66"/>
      <c r="I17" s="67"/>
      <c r="J17" s="68">
        <v>1</v>
      </c>
      <c r="K17" s="49"/>
      <c r="L17" s="61" t="s">
        <v>21</v>
      </c>
      <c r="M17" s="61" t="s">
        <v>21</v>
      </c>
      <c r="N17" s="61"/>
    </row>
    <row r="18" spans="1:14" ht="21.75" customHeight="1" x14ac:dyDescent="0.4">
      <c r="A18" s="55"/>
      <c r="B18" s="56"/>
      <c r="C18" s="56"/>
      <c r="D18" s="73"/>
      <c r="E18" s="74" t="s">
        <v>28</v>
      </c>
      <c r="F18" s="75"/>
      <c r="G18" s="76"/>
      <c r="H18" s="66"/>
      <c r="I18" s="67"/>
      <c r="J18" s="68">
        <v>1</v>
      </c>
      <c r="K18" s="49"/>
      <c r="L18" s="61"/>
      <c r="M18" s="61"/>
      <c r="N18" s="61"/>
    </row>
    <row r="19" spans="1:14" ht="21.75" customHeight="1" x14ac:dyDescent="0.4">
      <c r="A19" s="55"/>
      <c r="B19" s="56"/>
      <c r="C19" s="56"/>
      <c r="D19" s="73"/>
      <c r="E19" s="74" t="s">
        <v>29</v>
      </c>
      <c r="F19" s="75"/>
      <c r="G19" s="76"/>
      <c r="H19" s="66"/>
      <c r="I19" s="67"/>
      <c r="J19" s="68">
        <v>0</v>
      </c>
      <c r="K19" s="49"/>
      <c r="L19" s="61"/>
      <c r="M19" s="61"/>
      <c r="N19" s="61"/>
    </row>
    <row r="20" spans="1:14" ht="21.75" customHeight="1" x14ac:dyDescent="0.4">
      <c r="A20" s="55"/>
      <c r="B20" s="56"/>
      <c r="C20" s="56"/>
      <c r="D20" s="73"/>
      <c r="E20" s="77"/>
      <c r="F20" s="74" t="s">
        <v>30</v>
      </c>
      <c r="G20" s="75"/>
      <c r="H20" s="78" t="s">
        <v>15</v>
      </c>
      <c r="I20" s="79">
        <f t="shared" ref="I20:J20" ca="1" si="5">+I22+I24+I26</f>
        <v>1</v>
      </c>
      <c r="J20" s="79">
        <f t="shared" si="5"/>
        <v>0</v>
      </c>
      <c r="K20" s="80">
        <f t="shared" ref="K20:K28" ca="1" si="6">IF(I20&gt;0,J20*100/I20,0)</f>
        <v>0</v>
      </c>
      <c r="L20" s="61"/>
      <c r="M20" s="61"/>
      <c r="N20" s="61"/>
    </row>
    <row r="21" spans="1:14" ht="21.75" customHeight="1" x14ac:dyDescent="0.4">
      <c r="A21" s="55"/>
      <c r="B21" s="56"/>
      <c r="C21" s="56"/>
      <c r="D21" s="73"/>
      <c r="E21" s="77"/>
      <c r="F21" s="75"/>
      <c r="G21" s="76"/>
      <c r="H21" s="78" t="s">
        <v>16</v>
      </c>
      <c r="I21" s="79">
        <f t="shared" ref="I21:J21" ca="1" si="7">+I23+I25+I27</f>
        <v>63</v>
      </c>
      <c r="J21" s="79">
        <f t="shared" si="7"/>
        <v>0</v>
      </c>
      <c r="K21" s="80">
        <f t="shared" ca="1" si="6"/>
        <v>0</v>
      </c>
      <c r="L21" s="61"/>
      <c r="M21" s="61"/>
      <c r="N21" s="61"/>
    </row>
    <row r="22" spans="1:14" ht="21.75" customHeight="1" x14ac:dyDescent="0.4">
      <c r="A22" s="55"/>
      <c r="B22" s="56"/>
      <c r="C22" s="56"/>
      <c r="D22" s="73"/>
      <c r="E22" s="77"/>
      <c r="F22" s="75"/>
      <c r="G22" s="75" t="s">
        <v>31</v>
      </c>
      <c r="H22" s="60" t="s">
        <v>15</v>
      </c>
      <c r="I22" s="48">
        <f ca="1">IFERROR(__xludf.DUMMYFUNCTION("IMPORTRANGE(""https://docs.google.com/spreadsheets/d/1C3CXT74ZlgGe6_JY_1olB1XN4rF0dxEuIIF-xsYjHgg/edit?usp=sharing"",""พรบ!H25"")"),0)</f>
        <v>0</v>
      </c>
      <c r="J22" s="67">
        <v>0</v>
      </c>
      <c r="K22" s="49">
        <f t="shared" ca="1" si="6"/>
        <v>0</v>
      </c>
      <c r="L22" s="61"/>
      <c r="M22" s="61"/>
      <c r="N22" s="61"/>
    </row>
    <row r="23" spans="1:14" ht="21.75" customHeight="1" x14ac:dyDescent="0.4">
      <c r="A23" s="55"/>
      <c r="B23" s="56"/>
      <c r="C23" s="56"/>
      <c r="D23" s="73"/>
      <c r="E23" s="77"/>
      <c r="F23" s="75"/>
      <c r="G23" s="76"/>
      <c r="H23" s="60" t="s">
        <v>16</v>
      </c>
      <c r="I23" s="48">
        <f ca="1">IFERROR(__xludf.DUMMYFUNCTION("IMPORTRANGE(""https://docs.google.com/spreadsheets/d/1C3CXT74ZlgGe6_JY_1olB1XN4rF0dxEuIIF-xsYjHgg/edit?usp=sharing"",""พรบ!I25"")"),0)</f>
        <v>0</v>
      </c>
      <c r="J23" s="67">
        <v>0</v>
      </c>
      <c r="K23" s="49">
        <f t="shared" ca="1" si="6"/>
        <v>0</v>
      </c>
      <c r="L23" s="61"/>
      <c r="M23" s="61"/>
      <c r="N23" s="61"/>
    </row>
    <row r="24" spans="1:14" ht="21.75" customHeight="1" x14ac:dyDescent="0.4">
      <c r="A24" s="55"/>
      <c r="B24" s="56"/>
      <c r="C24" s="56"/>
      <c r="D24" s="73"/>
      <c r="E24" s="77"/>
      <c r="F24" s="75"/>
      <c r="G24" s="75" t="s">
        <v>32</v>
      </c>
      <c r="H24" s="60" t="s">
        <v>15</v>
      </c>
      <c r="I24" s="48">
        <f ca="1">IFERROR(__xludf.DUMMYFUNCTION("IMPORTRANGE(""https://docs.google.com/spreadsheets/d/1C3CXT74ZlgGe6_JY_1olB1XN4rF0dxEuIIF-xsYjHgg/edit?usp=sharing"",""พรบ!J25"")"),0)</f>
        <v>0</v>
      </c>
      <c r="J24" s="67">
        <v>0</v>
      </c>
      <c r="K24" s="49">
        <f t="shared" ca="1" si="6"/>
        <v>0</v>
      </c>
      <c r="L24" s="61"/>
      <c r="M24" s="61"/>
      <c r="N24" s="61"/>
    </row>
    <row r="25" spans="1:14" ht="21.75" customHeight="1" x14ac:dyDescent="0.4">
      <c r="A25" s="55"/>
      <c r="B25" s="56"/>
      <c r="C25" s="56"/>
      <c r="D25" s="73"/>
      <c r="E25" s="77"/>
      <c r="F25" s="75"/>
      <c r="G25" s="76"/>
      <c r="H25" s="60" t="s">
        <v>16</v>
      </c>
      <c r="I25" s="48">
        <f ca="1">IFERROR(__xludf.DUMMYFUNCTION("IMPORTRANGE(""https://docs.google.com/spreadsheets/d/1C3CXT74ZlgGe6_JY_1olB1XN4rF0dxEuIIF-xsYjHgg/edit?usp=sharing"",""พรบ!K25"")"),0)</f>
        <v>0</v>
      </c>
      <c r="J25" s="67">
        <v>0</v>
      </c>
      <c r="K25" s="49">
        <f t="shared" ca="1" si="6"/>
        <v>0</v>
      </c>
      <c r="L25" s="61"/>
      <c r="M25" s="61"/>
      <c r="N25" s="61"/>
    </row>
    <row r="26" spans="1:14" ht="21.75" customHeight="1" x14ac:dyDescent="0.4">
      <c r="A26" s="55"/>
      <c r="B26" s="56"/>
      <c r="C26" s="56"/>
      <c r="D26" s="73"/>
      <c r="E26" s="77"/>
      <c r="F26" s="75"/>
      <c r="G26" s="75" t="s">
        <v>33</v>
      </c>
      <c r="H26" s="60" t="s">
        <v>15</v>
      </c>
      <c r="I26" s="48">
        <f ca="1">IFERROR(__xludf.DUMMYFUNCTION("IMPORTRANGE(""https://docs.google.com/spreadsheets/d/1C3CXT74ZlgGe6_JY_1olB1XN4rF0dxEuIIF-xsYjHgg/edit?usp=sharing"",""พรบ!L25"")"),1)</f>
        <v>1</v>
      </c>
      <c r="J26" s="68">
        <v>0</v>
      </c>
      <c r="K26" s="49">
        <f t="shared" ca="1" si="6"/>
        <v>0</v>
      </c>
      <c r="L26" s="61"/>
      <c r="M26" s="61"/>
      <c r="N26" s="61"/>
    </row>
    <row r="27" spans="1:14" ht="21.75" customHeight="1" x14ac:dyDescent="0.4">
      <c r="A27" s="55"/>
      <c r="B27" s="56"/>
      <c r="C27" s="56"/>
      <c r="D27" s="73"/>
      <c r="E27" s="77"/>
      <c r="F27" s="75"/>
      <c r="G27" s="76"/>
      <c r="H27" s="60" t="s">
        <v>16</v>
      </c>
      <c r="I27" s="48">
        <f ca="1">IFERROR(__xludf.DUMMYFUNCTION("IMPORTRANGE(""https://docs.google.com/spreadsheets/d/1C3CXT74ZlgGe6_JY_1olB1XN4rF0dxEuIIF-xsYjHgg/edit?usp=sharing"",""พรบ!M25"")"),63)</f>
        <v>63</v>
      </c>
      <c r="J27" s="68">
        <v>0</v>
      </c>
      <c r="K27" s="49">
        <f t="shared" ca="1" si="6"/>
        <v>0</v>
      </c>
      <c r="L27" s="61"/>
      <c r="M27" s="61"/>
      <c r="N27" s="61"/>
    </row>
    <row r="28" spans="1:14" ht="21.75" customHeight="1" x14ac:dyDescent="0.4">
      <c r="A28" s="55"/>
      <c r="B28" s="56"/>
      <c r="C28" s="56"/>
      <c r="D28" s="73"/>
      <c r="E28" s="77"/>
      <c r="F28" s="74" t="s">
        <v>34</v>
      </c>
      <c r="G28" s="75"/>
      <c r="H28" s="60" t="s">
        <v>16</v>
      </c>
      <c r="I28" s="48">
        <f ca="1">IFERROR(__xludf.DUMMYFUNCTION("IMPORTRANGE(""https://docs.google.com/spreadsheets/d/1C3CXT74ZlgGe6_JY_1olB1XN4rF0dxEuIIF-xsYjHgg/edit?usp=sharing"",""พรบ!N25"")"),0)</f>
        <v>0</v>
      </c>
      <c r="J28" s="67">
        <v>0</v>
      </c>
      <c r="K28" s="49">
        <f t="shared" ca="1" si="6"/>
        <v>0</v>
      </c>
      <c r="L28" s="61"/>
      <c r="M28" s="61"/>
      <c r="N28" s="61"/>
    </row>
    <row r="29" spans="1:14" ht="21.75" customHeight="1" x14ac:dyDescent="0.4">
      <c r="A29" s="55"/>
      <c r="B29" s="56"/>
      <c r="C29" s="56"/>
      <c r="D29" s="73"/>
      <c r="E29" s="74" t="s">
        <v>35</v>
      </c>
      <c r="F29" s="75"/>
      <c r="G29" s="76"/>
      <c r="H29" s="66"/>
      <c r="I29" s="67"/>
      <c r="J29" s="68">
        <v>0</v>
      </c>
      <c r="K29" s="49"/>
      <c r="L29" s="61"/>
      <c r="M29" s="61"/>
      <c r="N29" s="61"/>
    </row>
    <row r="30" spans="1:14" ht="21.75" customHeight="1" x14ac:dyDescent="0.4">
      <c r="A30" s="55"/>
      <c r="B30" s="56"/>
      <c r="C30" s="56"/>
      <c r="D30" s="81">
        <v>3</v>
      </c>
      <c r="E30" s="82" t="s">
        <v>36</v>
      </c>
      <c r="F30" s="83"/>
      <c r="G30" s="84"/>
      <c r="H30" s="66"/>
      <c r="I30" s="67"/>
      <c r="J30" s="85">
        <v>0</v>
      </c>
      <c r="K30" s="49"/>
      <c r="L30" s="61"/>
      <c r="M30" s="61"/>
      <c r="N30" s="61"/>
    </row>
    <row r="31" spans="1:14" ht="21.75" customHeight="1" x14ac:dyDescent="0.4">
      <c r="A31" s="86" t="s">
        <v>37</v>
      </c>
      <c r="B31" s="87"/>
      <c r="C31" s="88"/>
      <c r="D31" s="87"/>
      <c r="E31" s="89"/>
      <c r="F31" s="89"/>
      <c r="G31" s="90"/>
      <c r="H31" s="91"/>
      <c r="I31" s="92"/>
      <c r="J31" s="92"/>
      <c r="K31" s="93"/>
      <c r="L31" s="94"/>
      <c r="M31" s="94"/>
      <c r="N31" s="95"/>
    </row>
    <row r="32" spans="1:14" ht="21.75" customHeight="1" x14ac:dyDescent="0.4">
      <c r="A32" s="34"/>
      <c r="B32" s="35" t="s">
        <v>38</v>
      </c>
      <c r="C32" s="35"/>
      <c r="D32" s="36"/>
      <c r="E32" s="35"/>
      <c r="F32" s="35"/>
      <c r="G32" s="96"/>
      <c r="H32" s="37" t="s">
        <v>16</v>
      </c>
      <c r="I32" s="38">
        <f t="shared" ref="I32:J32" ca="1" si="8">+I44</f>
        <v>4</v>
      </c>
      <c r="J32" s="38">
        <f t="shared" si="8"/>
        <v>0</v>
      </c>
      <c r="K32" s="41">
        <f t="shared" ref="K32:K33" ca="1" si="9">IF(I32&gt;0,J32*100/I32,0)</f>
        <v>0</v>
      </c>
      <c r="L32" s="97">
        <f ca="1">L34+L35</f>
        <v>122100</v>
      </c>
      <c r="M32" s="97">
        <f>SUM(M34:M35)</f>
        <v>0</v>
      </c>
      <c r="N32" s="41">
        <f ca="1">IF(L32&gt;0,M32*100/L32,0)</f>
        <v>0</v>
      </c>
    </row>
    <row r="33" spans="1:14" ht="21.75" customHeight="1" x14ac:dyDescent="0.4">
      <c r="A33" s="34"/>
      <c r="B33" s="35"/>
      <c r="C33" s="35"/>
      <c r="D33" s="36" t="s">
        <v>39</v>
      </c>
      <c r="E33" s="35"/>
      <c r="F33" s="35"/>
      <c r="G33" s="96"/>
      <c r="H33" s="37" t="s">
        <v>40</v>
      </c>
      <c r="I33" s="38">
        <f ca="1">I48</f>
        <v>1</v>
      </c>
      <c r="J33" s="38">
        <f>+J48</f>
        <v>0</v>
      </c>
      <c r="K33" s="41">
        <f t="shared" ca="1" si="9"/>
        <v>0</v>
      </c>
      <c r="L33" s="97"/>
      <c r="M33" s="97"/>
      <c r="N33" s="41"/>
    </row>
    <row r="34" spans="1:14" ht="21.75" customHeight="1" x14ac:dyDescent="0.4">
      <c r="A34" s="42"/>
      <c r="B34" s="43"/>
      <c r="C34" s="43" t="s">
        <v>17</v>
      </c>
      <c r="D34" s="44" t="s">
        <v>18</v>
      </c>
      <c r="E34" s="45"/>
      <c r="F34" s="45"/>
      <c r="G34" s="46" t="s">
        <v>19</v>
      </c>
      <c r="H34" s="47" t="s">
        <v>20</v>
      </c>
      <c r="I34" s="48" t="s">
        <v>21</v>
      </c>
      <c r="J34" s="48"/>
      <c r="K34" s="49"/>
      <c r="L34" s="53">
        <v>0</v>
      </c>
      <c r="M34" s="50">
        <v>0</v>
      </c>
      <c r="N34" s="50">
        <f t="shared" ref="N34:N37" si="10">+IF(L34&gt;0,M34*100/L34,0)</f>
        <v>0</v>
      </c>
    </row>
    <row r="35" spans="1:14" ht="21.75" customHeight="1" x14ac:dyDescent="0.4">
      <c r="A35" s="42"/>
      <c r="B35" s="43"/>
      <c r="C35" s="43"/>
      <c r="D35" s="51"/>
      <c r="E35" s="45"/>
      <c r="F35" s="45" t="s">
        <v>21</v>
      </c>
      <c r="G35" s="46" t="s">
        <v>22</v>
      </c>
      <c r="H35" s="47" t="s">
        <v>20</v>
      </c>
      <c r="I35" s="48"/>
      <c r="J35" s="48"/>
      <c r="K35" s="49"/>
      <c r="L35" s="53">
        <f ca="1">IFERROR(__xludf.DUMMYFUNCTION("IMPORTRANGE(""https://docs.google.com/spreadsheets/d/1C3CXT74ZlgGe6_JY_1olB1XN4rF0dxEuIIF-xsYjHgg/edit?usp=sharing"",""พรบ!O25"")"),122100)</f>
        <v>122100</v>
      </c>
      <c r="M35" s="50">
        <f>SUM(M36:M37)</f>
        <v>0</v>
      </c>
      <c r="N35" s="50">
        <f t="shared" ca="1" si="10"/>
        <v>0</v>
      </c>
    </row>
    <row r="36" spans="1:14" ht="21.75" customHeight="1" x14ac:dyDescent="0.4">
      <c r="A36" s="42"/>
      <c r="B36" s="43"/>
      <c r="C36" s="43"/>
      <c r="D36" s="51"/>
      <c r="E36" s="45"/>
      <c r="F36" s="45"/>
      <c r="G36" s="52" t="s">
        <v>23</v>
      </c>
      <c r="H36" s="47" t="s">
        <v>20</v>
      </c>
      <c r="I36" s="48"/>
      <c r="J36" s="48"/>
      <c r="K36" s="49"/>
      <c r="L36" s="53">
        <f ca="1">IFERROR(__xludf.DUMMYFUNCTION("IMPORTRANGE(""https://docs.google.com/spreadsheets/d/1C3CXT74ZlgGe6_JY_1olB1XN4rF0dxEuIIF-xsYjHgg/edit?usp=sharing"",""พรบ!P25"")"),0)</f>
        <v>0</v>
      </c>
      <c r="M36" s="53">
        <v>0</v>
      </c>
      <c r="N36" s="53">
        <f t="shared" ca="1" si="10"/>
        <v>0</v>
      </c>
    </row>
    <row r="37" spans="1:14" ht="21.75" customHeight="1" x14ac:dyDescent="0.4">
      <c r="A37" s="42"/>
      <c r="B37" s="43"/>
      <c r="C37" s="43"/>
      <c r="D37" s="51"/>
      <c r="E37" s="45"/>
      <c r="F37" s="45"/>
      <c r="G37" s="52" t="s">
        <v>24</v>
      </c>
      <c r="H37" s="47" t="s">
        <v>20</v>
      </c>
      <c r="I37" s="48"/>
      <c r="J37" s="48"/>
      <c r="K37" s="49"/>
      <c r="L37" s="53">
        <f ca="1">IFERROR(__xludf.DUMMYFUNCTION("IMPORTRANGE(""https://docs.google.com/spreadsheets/d/1C3CXT74ZlgGe6_JY_1olB1XN4rF0dxEuIIF-xsYjHgg/edit?usp=sharing"",""พรบ!Q25"")"),122100)</f>
        <v>122100</v>
      </c>
      <c r="M37" s="54">
        <v>0</v>
      </c>
      <c r="N37" s="53">
        <f t="shared" ca="1" si="10"/>
        <v>0</v>
      </c>
    </row>
    <row r="38" spans="1:14" ht="21.75" customHeight="1" x14ac:dyDescent="0.4">
      <c r="A38" s="55"/>
      <c r="B38" s="56"/>
      <c r="C38" s="43" t="s">
        <v>17</v>
      </c>
      <c r="D38" s="57" t="s">
        <v>25</v>
      </c>
      <c r="E38" s="58"/>
      <c r="F38" s="58"/>
      <c r="G38" s="59"/>
      <c r="H38" s="60"/>
      <c r="I38" s="48"/>
      <c r="J38" s="48"/>
      <c r="K38" s="49"/>
      <c r="L38" s="61"/>
      <c r="M38" s="61"/>
      <c r="N38" s="61"/>
    </row>
    <row r="39" spans="1:14" ht="21.75" customHeight="1" x14ac:dyDescent="0.4">
      <c r="A39" s="55"/>
      <c r="B39" s="56"/>
      <c r="C39" s="56"/>
      <c r="D39" s="62">
        <v>1</v>
      </c>
      <c r="E39" s="63" t="s">
        <v>26</v>
      </c>
      <c r="F39" s="64"/>
      <c r="G39" s="65"/>
      <c r="H39" s="66"/>
      <c r="I39" s="67"/>
      <c r="J39" s="68">
        <v>0</v>
      </c>
      <c r="K39" s="49"/>
      <c r="L39" s="61"/>
      <c r="M39" s="61"/>
      <c r="N39" s="61"/>
    </row>
    <row r="40" spans="1:14" ht="21.75" customHeight="1" x14ac:dyDescent="0.4">
      <c r="A40" s="55"/>
      <c r="B40" s="56"/>
      <c r="C40" s="56"/>
      <c r="D40" s="69">
        <v>2</v>
      </c>
      <c r="E40" s="70" t="s">
        <v>27</v>
      </c>
      <c r="F40" s="71"/>
      <c r="G40" s="72"/>
      <c r="H40" s="66"/>
      <c r="I40" s="67"/>
      <c r="J40" s="68">
        <v>1</v>
      </c>
      <c r="K40" s="49"/>
      <c r="L40" s="61" t="s">
        <v>21</v>
      </c>
      <c r="M40" s="61" t="s">
        <v>21</v>
      </c>
      <c r="N40" s="61"/>
    </row>
    <row r="41" spans="1:14" ht="21.75" customHeight="1" x14ac:dyDescent="0.4">
      <c r="A41" s="55"/>
      <c r="B41" s="56"/>
      <c r="C41" s="56"/>
      <c r="D41" s="73"/>
      <c r="E41" s="74" t="s">
        <v>28</v>
      </c>
      <c r="F41" s="75"/>
      <c r="G41" s="76"/>
      <c r="H41" s="66"/>
      <c r="I41" s="67"/>
      <c r="J41" s="68">
        <v>1</v>
      </c>
      <c r="K41" s="49"/>
      <c r="L41" s="61"/>
      <c r="M41" s="61"/>
      <c r="N41" s="61"/>
    </row>
    <row r="42" spans="1:14" ht="21.75" customHeight="1" x14ac:dyDescent="0.4">
      <c r="A42" s="55"/>
      <c r="B42" s="56"/>
      <c r="C42" s="56"/>
      <c r="D42" s="73"/>
      <c r="E42" s="74" t="s">
        <v>29</v>
      </c>
      <c r="F42" s="75"/>
      <c r="G42" s="76"/>
      <c r="H42" s="66"/>
      <c r="I42" s="67"/>
      <c r="J42" s="68">
        <v>0</v>
      </c>
      <c r="K42" s="49"/>
      <c r="L42" s="61"/>
      <c r="M42" s="61"/>
      <c r="N42" s="61"/>
    </row>
    <row r="43" spans="1:14" ht="21.75" customHeight="1" x14ac:dyDescent="0.4">
      <c r="A43" s="55"/>
      <c r="B43" s="56"/>
      <c r="C43" s="56"/>
      <c r="D43" s="73"/>
      <c r="E43" s="75"/>
      <c r="F43" s="75" t="s">
        <v>41</v>
      </c>
      <c r="G43" s="75"/>
      <c r="H43" s="60" t="s">
        <v>42</v>
      </c>
      <c r="I43" s="48">
        <f ca="1">IFERROR(__xludf.DUMMYFUNCTION("IMPORTRANGE(""https://docs.google.com/spreadsheets/d/1C3CXT74ZlgGe6_JY_1olB1XN4rF0dxEuIIF-xsYjHgg/edit?usp=sharing"",""พรบ!R25"")"),1)</f>
        <v>1</v>
      </c>
      <c r="J43" s="68">
        <v>0</v>
      </c>
      <c r="K43" s="49">
        <f t="shared" ref="K43:K48" ca="1" si="11">IF(I43&gt;0,J43*100/I43,0)</f>
        <v>0</v>
      </c>
      <c r="L43" s="61"/>
      <c r="M43" s="61"/>
      <c r="N43" s="61"/>
    </row>
    <row r="44" spans="1:14" ht="21.75" customHeight="1" x14ac:dyDescent="0.4">
      <c r="A44" s="55"/>
      <c r="B44" s="56"/>
      <c r="C44" s="56"/>
      <c r="D44" s="73"/>
      <c r="E44" s="77"/>
      <c r="F44" s="74" t="s">
        <v>43</v>
      </c>
      <c r="G44" s="75"/>
      <c r="H44" s="60" t="s">
        <v>16</v>
      </c>
      <c r="I44" s="48">
        <f ca="1">IFERROR(__xludf.DUMMYFUNCTION("IMPORTRANGE(""https://docs.google.com/spreadsheets/d/1C3CXT74ZlgGe6_JY_1olB1XN4rF0dxEuIIF-xsYjHgg/edit?usp=sharing"",""พรบ!S25"")"),4)</f>
        <v>4</v>
      </c>
      <c r="J44" s="68">
        <v>0</v>
      </c>
      <c r="K44" s="49">
        <f t="shared" ca="1" si="11"/>
        <v>0</v>
      </c>
      <c r="L44" s="61"/>
      <c r="M44" s="61"/>
      <c r="N44" s="61"/>
    </row>
    <row r="45" spans="1:14" ht="21.75" customHeight="1" x14ac:dyDescent="0.4">
      <c r="A45" s="55"/>
      <c r="B45" s="56"/>
      <c r="C45" s="56"/>
      <c r="D45" s="73"/>
      <c r="E45" s="77"/>
      <c r="F45" s="75"/>
      <c r="G45" s="98" t="s">
        <v>44</v>
      </c>
      <c r="H45" s="60" t="s">
        <v>16</v>
      </c>
      <c r="I45" s="48">
        <f ca="1">IFERROR(__xludf.DUMMYFUNCTION("IMPORTRANGE(""https://docs.google.com/spreadsheets/d/1C3CXT74ZlgGe6_JY_1olB1XN4rF0dxEuIIF-xsYjHgg/edit?usp=sharing"",""พรบ!T25"")"),4)</f>
        <v>4</v>
      </c>
      <c r="J45" s="68">
        <v>0</v>
      </c>
      <c r="K45" s="49">
        <f t="shared" ca="1" si="11"/>
        <v>0</v>
      </c>
      <c r="L45" s="61"/>
      <c r="M45" s="61"/>
      <c r="N45" s="61"/>
    </row>
    <row r="46" spans="1:14" ht="21.75" customHeight="1" x14ac:dyDescent="0.4">
      <c r="A46" s="55"/>
      <c r="B46" s="56"/>
      <c r="C46" s="56"/>
      <c r="D46" s="73"/>
      <c r="E46" s="77"/>
      <c r="F46" s="75"/>
      <c r="G46" s="98" t="s">
        <v>45</v>
      </c>
      <c r="H46" s="60" t="s">
        <v>16</v>
      </c>
      <c r="I46" s="48">
        <f ca="1">IFERROR(__xludf.DUMMYFUNCTION("IMPORTRANGE(""https://docs.google.com/spreadsheets/d/1C3CXT74ZlgGe6_JY_1olB1XN4rF0dxEuIIF-xsYjHgg/edit?usp=sharing"",""พรบ!U25"")"),4)</f>
        <v>4</v>
      </c>
      <c r="J46" s="68">
        <v>0</v>
      </c>
      <c r="K46" s="49">
        <f t="shared" ca="1" si="11"/>
        <v>0</v>
      </c>
      <c r="L46" s="61"/>
      <c r="M46" s="61"/>
      <c r="N46" s="61"/>
    </row>
    <row r="47" spans="1:14" ht="21.75" customHeight="1" x14ac:dyDescent="0.4">
      <c r="A47" s="55"/>
      <c r="B47" s="56"/>
      <c r="C47" s="56"/>
      <c r="D47" s="73"/>
      <c r="E47" s="77"/>
      <c r="F47" s="75"/>
      <c r="G47" s="99" t="s">
        <v>46</v>
      </c>
      <c r="H47" s="60" t="s">
        <v>16</v>
      </c>
      <c r="I47" s="48">
        <f ca="1">IFERROR(__xludf.DUMMYFUNCTION("IMPORTRANGE(""https://docs.google.com/spreadsheets/d/1C3CXT74ZlgGe6_JY_1olB1XN4rF0dxEuIIF-xsYjHgg/edit?usp=sharing"",""พรบ!V25"")"),4)</f>
        <v>4</v>
      </c>
      <c r="J47" s="68">
        <v>0</v>
      </c>
      <c r="K47" s="49">
        <f t="shared" ca="1" si="11"/>
        <v>0</v>
      </c>
      <c r="L47" s="61"/>
      <c r="M47" s="61"/>
      <c r="N47" s="61"/>
    </row>
    <row r="48" spans="1:14" ht="21.75" customHeight="1" x14ac:dyDescent="0.4">
      <c r="A48" s="55"/>
      <c r="B48" s="56"/>
      <c r="C48" s="56"/>
      <c r="D48" s="73"/>
      <c r="E48" s="77"/>
      <c r="F48" s="75" t="s">
        <v>47</v>
      </c>
      <c r="G48" s="75"/>
      <c r="H48" s="60" t="s">
        <v>40</v>
      </c>
      <c r="I48" s="48">
        <f ca="1">IFERROR(__xludf.DUMMYFUNCTION("IMPORTRANGE(""https://docs.google.com/spreadsheets/d/1C3CXT74ZlgGe6_JY_1olB1XN4rF0dxEuIIF-xsYjHgg/edit?usp=sharing"",""พรบ!W25"")"),1)</f>
        <v>1</v>
      </c>
      <c r="J48" s="68">
        <v>0</v>
      </c>
      <c r="K48" s="49">
        <f t="shared" ca="1" si="11"/>
        <v>0</v>
      </c>
      <c r="L48" s="61"/>
      <c r="M48" s="61"/>
      <c r="N48" s="61"/>
    </row>
    <row r="49" spans="1:14" ht="21.75" customHeight="1" x14ac:dyDescent="0.4">
      <c r="A49" s="55"/>
      <c r="B49" s="56"/>
      <c r="C49" s="56"/>
      <c r="D49" s="73"/>
      <c r="E49" s="74" t="s">
        <v>35</v>
      </c>
      <c r="F49" s="75"/>
      <c r="G49" s="76"/>
      <c r="H49" s="66"/>
      <c r="I49" s="67"/>
      <c r="J49" s="68">
        <v>0</v>
      </c>
      <c r="K49" s="49"/>
      <c r="L49" s="61"/>
      <c r="M49" s="61"/>
      <c r="N49" s="61"/>
    </row>
    <row r="50" spans="1:14" ht="21.75" customHeight="1" x14ac:dyDescent="0.4">
      <c r="A50" s="55"/>
      <c r="B50" s="56"/>
      <c r="C50" s="56"/>
      <c r="D50" s="81">
        <v>3</v>
      </c>
      <c r="E50" s="82" t="s">
        <v>36</v>
      </c>
      <c r="F50" s="83"/>
      <c r="G50" s="84"/>
      <c r="H50" s="66"/>
      <c r="I50" s="67"/>
      <c r="J50" s="85">
        <v>0</v>
      </c>
      <c r="K50" s="49"/>
      <c r="L50" s="61"/>
      <c r="M50" s="61"/>
      <c r="N50" s="61"/>
    </row>
    <row r="51" spans="1:14" ht="21.75" customHeight="1" x14ac:dyDescent="0.4">
      <c r="A51" s="86" t="s">
        <v>48</v>
      </c>
      <c r="B51" s="100"/>
      <c r="C51" s="101"/>
      <c r="D51" s="100"/>
      <c r="E51" s="102"/>
      <c r="F51" s="102"/>
      <c r="G51" s="103"/>
      <c r="H51" s="91"/>
      <c r="I51" s="92"/>
      <c r="J51" s="92"/>
      <c r="K51" s="93"/>
      <c r="L51" s="94"/>
      <c r="M51" s="94"/>
      <c r="N51" s="95"/>
    </row>
    <row r="52" spans="1:14" ht="21.75" customHeight="1" x14ac:dyDescent="0.4">
      <c r="A52" s="34"/>
      <c r="B52" s="35" t="s">
        <v>49</v>
      </c>
      <c r="C52" s="104"/>
      <c r="D52" s="36"/>
      <c r="E52" s="35"/>
      <c r="F52" s="35"/>
      <c r="G52" s="96"/>
      <c r="H52" s="37" t="s">
        <v>16</v>
      </c>
      <c r="I52" s="38">
        <f ca="1">I62</f>
        <v>0</v>
      </c>
      <c r="J52" s="38">
        <f>+J62</f>
        <v>0</v>
      </c>
      <c r="K52" s="41">
        <f ca="1">IF(I52&gt;0,J52*100/I52,0)</f>
        <v>0</v>
      </c>
      <c r="L52" s="40">
        <f ca="1">L53+L54</f>
        <v>0</v>
      </c>
      <c r="M52" s="40">
        <f>SUM(M53:M54)</f>
        <v>0</v>
      </c>
      <c r="N52" s="41">
        <f ca="1">IF(L52&gt;0,M52*100/L52,0)</f>
        <v>0</v>
      </c>
    </row>
    <row r="53" spans="1:14" ht="21.75" customHeight="1" x14ac:dyDescent="0.4">
      <c r="A53" s="42"/>
      <c r="B53" s="43"/>
      <c r="C53" s="43" t="s">
        <v>17</v>
      </c>
      <c r="D53" s="44" t="s">
        <v>18</v>
      </c>
      <c r="E53" s="45"/>
      <c r="F53" s="45"/>
      <c r="G53" s="46" t="s">
        <v>19</v>
      </c>
      <c r="H53" s="47" t="s">
        <v>20</v>
      </c>
      <c r="I53" s="48" t="s">
        <v>21</v>
      </c>
      <c r="J53" s="48"/>
      <c r="K53" s="49"/>
      <c r="L53" s="50">
        <v>0</v>
      </c>
      <c r="M53" s="50">
        <v>0</v>
      </c>
      <c r="N53" s="50">
        <f t="shared" ref="N53:N56" si="12">+IF(L53&gt;0,M53*100/L53,0)</f>
        <v>0</v>
      </c>
    </row>
    <row r="54" spans="1:14" ht="21.75" customHeight="1" x14ac:dyDescent="0.4">
      <c r="A54" s="42"/>
      <c r="B54" s="43"/>
      <c r="C54" s="43"/>
      <c r="D54" s="51"/>
      <c r="E54" s="45"/>
      <c r="F54" s="45" t="s">
        <v>21</v>
      </c>
      <c r="G54" s="46" t="s">
        <v>22</v>
      </c>
      <c r="H54" s="47" t="s">
        <v>20</v>
      </c>
      <c r="I54" s="48"/>
      <c r="J54" s="48"/>
      <c r="K54" s="49"/>
      <c r="L54" s="50">
        <f t="shared" ref="L54:M54" ca="1" si="13">SUM(L55:L56)</f>
        <v>0</v>
      </c>
      <c r="M54" s="50">
        <f t="shared" si="13"/>
        <v>0</v>
      </c>
      <c r="N54" s="50">
        <f t="shared" ca="1" si="12"/>
        <v>0</v>
      </c>
    </row>
    <row r="55" spans="1:14" ht="21.75" customHeight="1" x14ac:dyDescent="0.4">
      <c r="A55" s="42"/>
      <c r="B55" s="43"/>
      <c r="C55" s="43"/>
      <c r="D55" s="51"/>
      <c r="E55" s="45"/>
      <c r="F55" s="45"/>
      <c r="G55" s="52" t="s">
        <v>23</v>
      </c>
      <c r="H55" s="47" t="s">
        <v>20</v>
      </c>
      <c r="I55" s="48"/>
      <c r="J55" s="48"/>
      <c r="K55" s="49"/>
      <c r="L55" s="53">
        <f ca="1">IFERROR(__xludf.DUMMYFUNCTION("IMPORTRANGE(""https://docs.google.com/spreadsheets/d/1C3CXT74ZlgGe6_JY_1olB1XN4rF0dxEuIIF-xsYjHgg/edit?usp=sharing"",""พรบ!Y25"")"),0)</f>
        <v>0</v>
      </c>
      <c r="M55" s="53">
        <v>0</v>
      </c>
      <c r="N55" s="53">
        <f t="shared" ca="1" si="12"/>
        <v>0</v>
      </c>
    </row>
    <row r="56" spans="1:14" ht="21.75" customHeight="1" x14ac:dyDescent="0.4">
      <c r="A56" s="42"/>
      <c r="B56" s="43"/>
      <c r="C56" s="43"/>
      <c r="D56" s="51"/>
      <c r="E56" s="45"/>
      <c r="F56" s="45"/>
      <c r="G56" s="52" t="s">
        <v>24</v>
      </c>
      <c r="H56" s="47" t="s">
        <v>20</v>
      </c>
      <c r="I56" s="48"/>
      <c r="J56" s="67"/>
      <c r="K56" s="233"/>
      <c r="L56" s="53">
        <f ca="1">IFERROR(__xludf.DUMMYFUNCTION("IMPORTRANGE(""https://docs.google.com/spreadsheets/d/1C3CXT74ZlgGe6_JY_1olB1XN4rF0dxEuIIF-xsYjHgg/edit?usp=sharing"",""พรบ!Z25"")"),0)</f>
        <v>0</v>
      </c>
      <c r="M56" s="53">
        <v>0</v>
      </c>
      <c r="N56" s="53">
        <f t="shared" ca="1" si="12"/>
        <v>0</v>
      </c>
    </row>
    <row r="57" spans="1:14" ht="21.75" customHeight="1" x14ac:dyDescent="0.4">
      <c r="A57" s="55"/>
      <c r="B57" s="56"/>
      <c r="C57" s="43" t="s">
        <v>17</v>
      </c>
      <c r="D57" s="57" t="s">
        <v>250</v>
      </c>
      <c r="E57" s="58"/>
      <c r="F57" s="58"/>
      <c r="G57" s="59"/>
      <c r="H57" s="60"/>
      <c r="I57" s="48"/>
      <c r="J57" s="67"/>
      <c r="K57" s="233"/>
      <c r="L57" s="53"/>
      <c r="M57" s="53"/>
      <c r="N57" s="61"/>
    </row>
    <row r="58" spans="1:14" ht="21.75" customHeight="1" x14ac:dyDescent="0.4">
      <c r="A58" s="55"/>
      <c r="B58" s="56"/>
      <c r="C58" s="56"/>
      <c r="D58" s="62">
        <v>1</v>
      </c>
      <c r="E58" s="63" t="s">
        <v>26</v>
      </c>
      <c r="F58" s="64"/>
      <c r="G58" s="65"/>
      <c r="H58" s="66"/>
      <c r="I58" s="67"/>
      <c r="J58" s="67">
        <v>0</v>
      </c>
      <c r="K58" s="233"/>
      <c r="L58" s="53"/>
      <c r="M58" s="53"/>
      <c r="N58" s="61"/>
    </row>
    <row r="59" spans="1:14" ht="21.75" customHeight="1" x14ac:dyDescent="0.4">
      <c r="A59" s="55"/>
      <c r="B59" s="56"/>
      <c r="C59" s="56"/>
      <c r="D59" s="69">
        <v>2</v>
      </c>
      <c r="E59" s="70" t="s">
        <v>27</v>
      </c>
      <c r="F59" s="71"/>
      <c r="G59" s="72"/>
      <c r="H59" s="66"/>
      <c r="I59" s="67"/>
      <c r="J59" s="67">
        <v>0</v>
      </c>
      <c r="K59" s="233"/>
      <c r="L59" s="53" t="s">
        <v>21</v>
      </c>
      <c r="M59" s="53" t="s">
        <v>21</v>
      </c>
      <c r="N59" s="61"/>
    </row>
    <row r="60" spans="1:14" ht="21.75" customHeight="1" x14ac:dyDescent="0.4">
      <c r="A60" s="55"/>
      <c r="B60" s="56"/>
      <c r="C60" s="56"/>
      <c r="D60" s="73"/>
      <c r="E60" s="74" t="s">
        <v>28</v>
      </c>
      <c r="F60" s="75"/>
      <c r="G60" s="76"/>
      <c r="H60" s="66"/>
      <c r="I60" s="67"/>
      <c r="J60" s="67">
        <v>0</v>
      </c>
      <c r="K60" s="233"/>
      <c r="L60" s="53"/>
      <c r="M60" s="53"/>
      <c r="N60" s="61"/>
    </row>
    <row r="61" spans="1:14" ht="21.75" customHeight="1" x14ac:dyDescent="0.4">
      <c r="A61" s="55"/>
      <c r="B61" s="56"/>
      <c r="C61" s="56"/>
      <c r="D61" s="73"/>
      <c r="E61" s="74" t="s">
        <v>29</v>
      </c>
      <c r="F61" s="75"/>
      <c r="G61" s="76"/>
      <c r="H61" s="66"/>
      <c r="I61" s="67"/>
      <c r="J61" s="67">
        <v>0</v>
      </c>
      <c r="K61" s="233"/>
      <c r="L61" s="53"/>
      <c r="M61" s="53"/>
      <c r="N61" s="61"/>
    </row>
    <row r="62" spans="1:14" ht="21.75" customHeight="1" x14ac:dyDescent="0.4">
      <c r="A62" s="55"/>
      <c r="B62" s="56"/>
      <c r="C62" s="56"/>
      <c r="D62" s="73"/>
      <c r="E62" s="77"/>
      <c r="F62" s="74" t="s">
        <v>50</v>
      </c>
      <c r="G62" s="76"/>
      <c r="H62" s="60" t="s">
        <v>16</v>
      </c>
      <c r="I62" s="67">
        <f ca="1">IFERROR(__xludf.DUMMYFUNCTION("IMPORTRANGE(""https://docs.google.com/spreadsheets/d/1C3CXT74ZlgGe6_JY_1olB1XN4rF0dxEuIIF-xsYjHgg/edit?usp=sharing"",""พรบ!AA25"")"),0)</f>
        <v>0</v>
      </c>
      <c r="J62" s="67">
        <v>0</v>
      </c>
      <c r="K62" s="233">
        <f t="shared" ref="K62:K63" ca="1" si="14">IF(I62&gt;0,J62*100/I62,0)</f>
        <v>0</v>
      </c>
      <c r="L62" s="53"/>
      <c r="M62" s="53"/>
      <c r="N62" s="61"/>
    </row>
    <row r="63" spans="1:14" ht="21.75" customHeight="1" x14ac:dyDescent="0.4">
      <c r="A63" s="55"/>
      <c r="B63" s="56"/>
      <c r="C63" s="56"/>
      <c r="D63" s="73"/>
      <c r="E63" s="77"/>
      <c r="F63" s="74" t="s">
        <v>51</v>
      </c>
      <c r="G63" s="76"/>
      <c r="H63" s="60" t="s">
        <v>16</v>
      </c>
      <c r="I63" s="67">
        <f ca="1">I62</f>
        <v>0</v>
      </c>
      <c r="J63" s="67">
        <v>0</v>
      </c>
      <c r="K63" s="233">
        <f t="shared" ca="1" si="14"/>
        <v>0</v>
      </c>
      <c r="L63" s="53"/>
      <c r="M63" s="53"/>
      <c r="N63" s="61"/>
    </row>
    <row r="64" spans="1:14" ht="21.75" customHeight="1" x14ac:dyDescent="0.4">
      <c r="A64" s="55"/>
      <c r="B64" s="56"/>
      <c r="C64" s="56"/>
      <c r="D64" s="73"/>
      <c r="E64" s="74" t="s">
        <v>35</v>
      </c>
      <c r="F64" s="75"/>
      <c r="G64" s="76"/>
      <c r="H64" s="66"/>
      <c r="I64" s="67"/>
      <c r="J64" s="67">
        <v>0</v>
      </c>
      <c r="K64" s="233"/>
      <c r="L64" s="53"/>
      <c r="M64" s="53"/>
      <c r="N64" s="61"/>
    </row>
    <row r="65" spans="1:14" ht="21.75" customHeight="1" x14ac:dyDescent="0.4">
      <c r="A65" s="105"/>
      <c r="B65" s="106"/>
      <c r="C65" s="106"/>
      <c r="D65" s="107">
        <v>3</v>
      </c>
      <c r="E65" s="108" t="s">
        <v>36</v>
      </c>
      <c r="F65" s="109"/>
      <c r="G65" s="110"/>
      <c r="H65" s="111"/>
      <c r="I65" s="112"/>
      <c r="J65" s="356">
        <v>0</v>
      </c>
      <c r="K65" s="357"/>
      <c r="L65" s="358"/>
      <c r="M65" s="358"/>
      <c r="N65" s="115"/>
    </row>
    <row r="66" spans="1:14" ht="21.75" customHeight="1" x14ac:dyDescent="0.4">
      <c r="A66" s="116" t="s">
        <v>52</v>
      </c>
      <c r="B66" s="117"/>
      <c r="C66" s="117"/>
      <c r="D66" s="117"/>
      <c r="E66" s="118"/>
      <c r="F66" s="118"/>
      <c r="G66" s="119"/>
      <c r="H66" s="120"/>
      <c r="I66" s="121"/>
      <c r="J66" s="121"/>
      <c r="K66" s="122"/>
      <c r="L66" s="123"/>
      <c r="M66" s="123"/>
      <c r="N66" s="123"/>
    </row>
    <row r="67" spans="1:14" ht="21.75" customHeight="1" x14ac:dyDescent="0.4">
      <c r="A67" s="124" t="s">
        <v>53</v>
      </c>
      <c r="B67" s="125"/>
      <c r="C67" s="125"/>
      <c r="D67" s="126"/>
      <c r="E67" s="126"/>
      <c r="F67" s="126"/>
      <c r="G67" s="127"/>
      <c r="H67" s="128"/>
      <c r="I67" s="129"/>
      <c r="J67" s="129"/>
      <c r="K67" s="130"/>
      <c r="L67" s="130"/>
      <c r="M67" s="130"/>
      <c r="N67" s="131"/>
    </row>
    <row r="68" spans="1:14" ht="21.75" customHeight="1" x14ac:dyDescent="0.4">
      <c r="A68" s="132"/>
      <c r="B68" s="133" t="s">
        <v>54</v>
      </c>
      <c r="C68" s="134"/>
      <c r="D68" s="133"/>
      <c r="E68" s="133"/>
      <c r="F68" s="133"/>
      <c r="G68" s="135"/>
      <c r="H68" s="136" t="s">
        <v>16</v>
      </c>
      <c r="I68" s="137">
        <f t="shared" ref="I68:J68" ca="1" si="15">I126+I129</f>
        <v>90</v>
      </c>
      <c r="J68" s="137">
        <f t="shared" si="15"/>
        <v>0</v>
      </c>
      <c r="K68" s="138">
        <f ca="1">IF(I68&gt;0,J68*100/I68,0)</f>
        <v>0</v>
      </c>
      <c r="L68" s="139">
        <f t="shared" ref="L68:M68" ca="1" si="16">SUM(L70:L71)</f>
        <v>815200</v>
      </c>
      <c r="M68" s="139">
        <f t="shared" si="16"/>
        <v>33754.42</v>
      </c>
      <c r="N68" s="138">
        <f ca="1">IF(L68&gt;0,M68*100/L68,0)</f>
        <v>4.1406305201177629</v>
      </c>
    </row>
    <row r="69" spans="1:14" ht="21.75" customHeight="1" x14ac:dyDescent="0.4">
      <c r="A69" s="132"/>
      <c r="B69" s="133" t="s">
        <v>55</v>
      </c>
      <c r="C69" s="134"/>
      <c r="D69" s="133"/>
      <c r="E69" s="133"/>
      <c r="F69" s="133"/>
      <c r="G69" s="135"/>
      <c r="H69" s="136"/>
      <c r="I69" s="137"/>
      <c r="J69" s="137"/>
      <c r="K69" s="138"/>
      <c r="L69" s="139"/>
      <c r="M69" s="139"/>
      <c r="N69" s="138"/>
    </row>
    <row r="70" spans="1:14" ht="21.75" customHeight="1" x14ac:dyDescent="0.4">
      <c r="A70" s="42"/>
      <c r="B70" s="43"/>
      <c r="C70" s="43" t="s">
        <v>17</v>
      </c>
      <c r="D70" s="44" t="s">
        <v>18</v>
      </c>
      <c r="E70" s="45"/>
      <c r="F70" s="45"/>
      <c r="G70" s="46" t="s">
        <v>19</v>
      </c>
      <c r="H70" s="47" t="s">
        <v>20</v>
      </c>
      <c r="I70" s="48" t="s">
        <v>21</v>
      </c>
      <c r="J70" s="48"/>
      <c r="K70" s="49"/>
      <c r="L70" s="50">
        <v>0</v>
      </c>
      <c r="M70" s="50">
        <v>0</v>
      </c>
      <c r="N70" s="50">
        <f t="shared" ref="N70:N77" si="17">+IF(L70&gt;0,M70*100/L70,0)</f>
        <v>0</v>
      </c>
    </row>
    <row r="71" spans="1:14" ht="21.75" customHeight="1" x14ac:dyDescent="0.4">
      <c r="A71" s="42"/>
      <c r="B71" s="43"/>
      <c r="C71" s="43"/>
      <c r="D71" s="51"/>
      <c r="E71" s="45"/>
      <c r="F71" s="45" t="s">
        <v>21</v>
      </c>
      <c r="G71" s="46" t="s">
        <v>22</v>
      </c>
      <c r="H71" s="47" t="s">
        <v>20</v>
      </c>
      <c r="I71" s="48"/>
      <c r="J71" s="48"/>
      <c r="K71" s="49"/>
      <c r="L71" s="50">
        <f ca="1">L72+L73</f>
        <v>815200</v>
      </c>
      <c r="M71" s="140">
        <f>SUM(M72:M73)</f>
        <v>33754.42</v>
      </c>
      <c r="N71" s="50">
        <f t="shared" ca="1" si="17"/>
        <v>4.1406305201177629</v>
      </c>
    </row>
    <row r="72" spans="1:14" ht="21.75" customHeight="1" x14ac:dyDescent="0.4">
      <c r="A72" s="42"/>
      <c r="B72" s="43"/>
      <c r="C72" s="43"/>
      <c r="D72" s="51"/>
      <c r="E72" s="45"/>
      <c r="F72" s="45"/>
      <c r="G72" s="52" t="s">
        <v>23</v>
      </c>
      <c r="H72" s="47" t="s">
        <v>20</v>
      </c>
      <c r="I72" s="48"/>
      <c r="J72" s="48"/>
      <c r="K72" s="49"/>
      <c r="L72" s="53">
        <f ca="1">IFERROR(__xludf.DUMMYFUNCTION("IMPORTRANGE(""https://docs.google.com/spreadsheets/d/1C3CXT74ZlgGe6_JY_1olB1XN4rF0dxEuIIF-xsYjHgg/edit?usp=sharing"",""พรบ!AD25"")"),315900)</f>
        <v>315900</v>
      </c>
      <c r="M72" s="54">
        <v>19796.419999999998</v>
      </c>
      <c r="N72" s="53">
        <f t="shared" ca="1" si="17"/>
        <v>6.2666729977841085</v>
      </c>
    </row>
    <row r="73" spans="1:14" ht="21.75" customHeight="1" x14ac:dyDescent="0.4">
      <c r="A73" s="42"/>
      <c r="B73" s="43"/>
      <c r="C73" s="43"/>
      <c r="D73" s="51"/>
      <c r="E73" s="45"/>
      <c r="F73" s="45"/>
      <c r="G73" s="52" t="s">
        <v>24</v>
      </c>
      <c r="H73" s="47" t="s">
        <v>20</v>
      </c>
      <c r="I73" s="48"/>
      <c r="J73" s="48"/>
      <c r="K73" s="49"/>
      <c r="L73" s="53">
        <f t="shared" ref="L73:M73" ca="1" si="18">L77+L92+L104+L117+L132</f>
        <v>499300</v>
      </c>
      <c r="M73" s="53">
        <f t="shared" si="18"/>
        <v>13958</v>
      </c>
      <c r="N73" s="53">
        <f t="shared" ca="1" si="17"/>
        <v>2.7955137192068897</v>
      </c>
    </row>
    <row r="74" spans="1:14" ht="21.75" customHeight="1" x14ac:dyDescent="0.4">
      <c r="A74" s="141"/>
      <c r="B74" s="142"/>
      <c r="C74" s="143" t="s">
        <v>56</v>
      </c>
      <c r="D74" s="143"/>
      <c r="E74" s="143"/>
      <c r="F74" s="143"/>
      <c r="G74" s="144"/>
      <c r="H74" s="145" t="s">
        <v>57</v>
      </c>
      <c r="I74" s="146">
        <f t="shared" ref="I74:J74" ca="1" si="19">I83</f>
        <v>4</v>
      </c>
      <c r="J74" s="146">
        <f t="shared" si="19"/>
        <v>0</v>
      </c>
      <c r="K74" s="147">
        <f ca="1">IF(I74&gt;0,J74*100/I74,0)</f>
        <v>0</v>
      </c>
      <c r="L74" s="148">
        <f ca="1">L75+L76</f>
        <v>7500</v>
      </c>
      <c r="M74" s="148">
        <f>SUM(M75:M76)</f>
        <v>0</v>
      </c>
      <c r="N74" s="148">
        <f t="shared" ca="1" si="17"/>
        <v>0</v>
      </c>
    </row>
    <row r="75" spans="1:14" ht="21.75" customHeight="1" x14ac:dyDescent="0.4">
      <c r="A75" s="42"/>
      <c r="B75" s="43"/>
      <c r="C75" s="43" t="s">
        <v>17</v>
      </c>
      <c r="D75" s="44" t="s">
        <v>18</v>
      </c>
      <c r="E75" s="45"/>
      <c r="F75" s="45"/>
      <c r="G75" s="46" t="s">
        <v>19</v>
      </c>
      <c r="H75" s="47" t="s">
        <v>20</v>
      </c>
      <c r="I75" s="48" t="s">
        <v>21</v>
      </c>
      <c r="J75" s="48"/>
      <c r="K75" s="49"/>
      <c r="L75" s="50">
        <v>0</v>
      </c>
      <c r="M75" s="50">
        <v>0</v>
      </c>
      <c r="N75" s="50">
        <f t="shared" si="17"/>
        <v>0</v>
      </c>
    </row>
    <row r="76" spans="1:14" ht="21.75" customHeight="1" x14ac:dyDescent="0.4">
      <c r="A76" s="42"/>
      <c r="B76" s="43"/>
      <c r="C76" s="43"/>
      <c r="D76" s="51"/>
      <c r="E76" s="45"/>
      <c r="F76" s="45" t="s">
        <v>21</v>
      </c>
      <c r="G76" s="46" t="s">
        <v>22</v>
      </c>
      <c r="H76" s="47" t="s">
        <v>20</v>
      </c>
      <c r="I76" s="48"/>
      <c r="J76" s="48"/>
      <c r="K76" s="49"/>
      <c r="L76" s="50">
        <f t="shared" ref="L76:M76" ca="1" si="20">L77</f>
        <v>7500</v>
      </c>
      <c r="M76" s="50">
        <f t="shared" si="20"/>
        <v>0</v>
      </c>
      <c r="N76" s="50">
        <f t="shared" ca="1" si="17"/>
        <v>0</v>
      </c>
    </row>
    <row r="77" spans="1:14" ht="21.75" customHeight="1" x14ac:dyDescent="0.4">
      <c r="A77" s="42"/>
      <c r="B77" s="43"/>
      <c r="C77" s="43"/>
      <c r="D77" s="51"/>
      <c r="E77" s="45"/>
      <c r="F77" s="45"/>
      <c r="G77" s="52" t="s">
        <v>24</v>
      </c>
      <c r="H77" s="47" t="s">
        <v>20</v>
      </c>
      <c r="I77" s="48"/>
      <c r="J77" s="48"/>
      <c r="K77" s="49"/>
      <c r="L77" s="53">
        <f ca="1">IFERROR(__xludf.DUMMYFUNCTION("IMPORTRANGE(""https://docs.google.com/spreadsheets/d/1C3CXT74ZlgGe6_JY_1olB1XN4rF0dxEuIIF-xsYjHgg/edit?usp=sharing"",""พรบ!AF25"")"),7500)</f>
        <v>7500</v>
      </c>
      <c r="M77" s="54">
        <v>0</v>
      </c>
      <c r="N77" s="53">
        <f t="shared" ca="1" si="17"/>
        <v>0</v>
      </c>
    </row>
    <row r="78" spans="1:14" ht="21.75" customHeight="1" x14ac:dyDescent="0.4">
      <c r="A78" s="55"/>
      <c r="B78" s="56"/>
      <c r="C78" s="43" t="s">
        <v>17</v>
      </c>
      <c r="D78" s="57" t="s">
        <v>25</v>
      </c>
      <c r="E78" s="58"/>
      <c r="F78" s="58"/>
      <c r="G78" s="59"/>
      <c r="H78" s="60"/>
      <c r="I78" s="48"/>
      <c r="J78" s="48"/>
      <c r="K78" s="49"/>
      <c r="L78" s="61"/>
      <c r="M78" s="61"/>
      <c r="N78" s="61"/>
    </row>
    <row r="79" spans="1:14" ht="21.75" customHeight="1" x14ac:dyDescent="0.4">
      <c r="A79" s="55"/>
      <c r="B79" s="56"/>
      <c r="C79" s="56"/>
      <c r="D79" s="62">
        <v>1</v>
      </c>
      <c r="E79" s="63" t="s">
        <v>26</v>
      </c>
      <c r="F79" s="64"/>
      <c r="G79" s="65"/>
      <c r="H79" s="66"/>
      <c r="I79" s="67"/>
      <c r="J79" s="68">
        <v>0</v>
      </c>
      <c r="K79" s="49"/>
      <c r="L79" s="61"/>
      <c r="M79" s="61"/>
      <c r="N79" s="61"/>
    </row>
    <row r="80" spans="1:14" ht="21.75" customHeight="1" x14ac:dyDescent="0.4">
      <c r="A80" s="55"/>
      <c r="B80" s="56"/>
      <c r="C80" s="56"/>
      <c r="D80" s="69">
        <v>2</v>
      </c>
      <c r="E80" s="70" t="s">
        <v>27</v>
      </c>
      <c r="F80" s="71"/>
      <c r="G80" s="72"/>
      <c r="H80" s="66"/>
      <c r="I80" s="67"/>
      <c r="J80" s="68">
        <v>1</v>
      </c>
      <c r="K80" s="49"/>
      <c r="L80" s="61" t="s">
        <v>21</v>
      </c>
      <c r="M80" s="61" t="s">
        <v>21</v>
      </c>
      <c r="N80" s="61"/>
    </row>
    <row r="81" spans="1:14" ht="21.75" customHeight="1" x14ac:dyDescent="0.4">
      <c r="A81" s="55"/>
      <c r="B81" s="56"/>
      <c r="C81" s="56"/>
      <c r="D81" s="73"/>
      <c r="E81" s="74" t="s">
        <v>28</v>
      </c>
      <c r="F81" s="75"/>
      <c r="G81" s="76"/>
      <c r="H81" s="66"/>
      <c r="I81" s="67"/>
      <c r="J81" s="68">
        <v>1</v>
      </c>
      <c r="K81" s="49"/>
      <c r="L81" s="61"/>
      <c r="M81" s="61"/>
      <c r="N81" s="61"/>
    </row>
    <row r="82" spans="1:14" ht="21.75" customHeight="1" x14ac:dyDescent="0.4">
      <c r="A82" s="55"/>
      <c r="B82" s="56"/>
      <c r="C82" s="56"/>
      <c r="D82" s="73"/>
      <c r="E82" s="74" t="s">
        <v>29</v>
      </c>
      <c r="F82" s="75"/>
      <c r="G82" s="76"/>
      <c r="H82" s="66"/>
      <c r="I82" s="67"/>
      <c r="J82" s="68">
        <v>0</v>
      </c>
      <c r="K82" s="49"/>
      <c r="L82" s="61"/>
      <c r="M82" s="61"/>
      <c r="N82" s="61"/>
    </row>
    <row r="83" spans="1:14" ht="21.75" customHeight="1" x14ac:dyDescent="0.4">
      <c r="A83" s="55"/>
      <c r="B83" s="56"/>
      <c r="C83" s="56"/>
      <c r="D83" s="73"/>
      <c r="E83" s="77"/>
      <c r="F83" s="74" t="s">
        <v>58</v>
      </c>
      <c r="G83" s="76"/>
      <c r="H83" s="60" t="s">
        <v>57</v>
      </c>
      <c r="I83" s="67">
        <f ca="1">IFERROR(__xludf.DUMMYFUNCTION("IMPORTRANGE(""https://docs.google.com/spreadsheets/d/1C3CXT74ZlgGe6_JY_1olB1XN4rF0dxEuIIF-xsYjHgg/edit?usp=sharing"",""พรบ!AG25"")"),4)</f>
        <v>4</v>
      </c>
      <c r="J83" s="68">
        <v>0</v>
      </c>
      <c r="K83" s="49">
        <f ca="1">IF(I83&gt;0,J83*100/I83,0)</f>
        <v>0</v>
      </c>
      <c r="L83" s="61"/>
      <c r="M83" s="61"/>
      <c r="N83" s="61"/>
    </row>
    <row r="84" spans="1:14" ht="21.75" customHeight="1" x14ac:dyDescent="0.4">
      <c r="A84" s="55"/>
      <c r="B84" s="56"/>
      <c r="C84" s="56"/>
      <c r="D84" s="73"/>
      <c r="E84" s="75"/>
      <c r="F84" s="75" t="s">
        <v>59</v>
      </c>
      <c r="G84" s="76"/>
      <c r="H84" s="66" t="s">
        <v>16</v>
      </c>
      <c r="I84" s="67"/>
      <c r="J84" s="67">
        <f>J85+J86</f>
        <v>0</v>
      </c>
      <c r="K84" s="49"/>
      <c r="L84" s="61"/>
      <c r="M84" s="61"/>
      <c r="N84" s="61"/>
    </row>
    <row r="85" spans="1:14" ht="21.75" customHeight="1" x14ac:dyDescent="0.4">
      <c r="A85" s="55"/>
      <c r="B85" s="56"/>
      <c r="C85" s="56"/>
      <c r="D85" s="73"/>
      <c r="E85" s="75"/>
      <c r="F85" s="75"/>
      <c r="G85" s="76" t="s">
        <v>60</v>
      </c>
      <c r="H85" s="66" t="s">
        <v>16</v>
      </c>
      <c r="I85" s="67"/>
      <c r="J85" s="68">
        <v>0</v>
      </c>
      <c r="K85" s="49"/>
      <c r="L85" s="61"/>
      <c r="M85" s="61"/>
      <c r="N85" s="61"/>
    </row>
    <row r="86" spans="1:14" ht="21.75" customHeight="1" x14ac:dyDescent="0.4">
      <c r="A86" s="55"/>
      <c r="B86" s="56"/>
      <c r="C86" s="56"/>
      <c r="D86" s="73"/>
      <c r="E86" s="75"/>
      <c r="F86" s="75"/>
      <c r="G86" s="76" t="s">
        <v>61</v>
      </c>
      <c r="H86" s="66" t="s">
        <v>16</v>
      </c>
      <c r="I86" s="67"/>
      <c r="J86" s="68">
        <v>0</v>
      </c>
      <c r="K86" s="49"/>
      <c r="L86" s="61"/>
      <c r="M86" s="61"/>
      <c r="N86" s="61"/>
    </row>
    <row r="87" spans="1:14" ht="21.75" customHeight="1" x14ac:dyDescent="0.4">
      <c r="A87" s="55"/>
      <c r="B87" s="56"/>
      <c r="C87" s="56"/>
      <c r="D87" s="73"/>
      <c r="E87" s="74" t="s">
        <v>35</v>
      </c>
      <c r="F87" s="75"/>
      <c r="G87" s="76"/>
      <c r="H87" s="66"/>
      <c r="I87" s="67"/>
      <c r="J87" s="68">
        <v>0</v>
      </c>
      <c r="K87" s="49"/>
      <c r="L87" s="61"/>
      <c r="M87" s="61"/>
      <c r="N87" s="61"/>
    </row>
    <row r="88" spans="1:14" ht="21.75" customHeight="1" x14ac:dyDescent="0.4">
      <c r="A88" s="55"/>
      <c r="B88" s="56"/>
      <c r="C88" s="56"/>
      <c r="D88" s="81">
        <v>3</v>
      </c>
      <c r="E88" s="82" t="s">
        <v>36</v>
      </c>
      <c r="F88" s="83"/>
      <c r="G88" s="84"/>
      <c r="H88" s="66"/>
      <c r="I88" s="67"/>
      <c r="J88" s="85">
        <v>0</v>
      </c>
      <c r="K88" s="49"/>
      <c r="L88" s="61"/>
      <c r="M88" s="61"/>
      <c r="N88" s="61"/>
    </row>
    <row r="89" spans="1:14" ht="21.75" customHeight="1" x14ac:dyDescent="0.4">
      <c r="A89" s="141"/>
      <c r="B89" s="142"/>
      <c r="C89" s="143" t="s">
        <v>62</v>
      </c>
      <c r="D89" s="143"/>
      <c r="E89" s="143"/>
      <c r="F89" s="143"/>
      <c r="G89" s="144"/>
      <c r="H89" s="149" t="s">
        <v>63</v>
      </c>
      <c r="I89" s="150">
        <f t="shared" ref="I89:J89" ca="1" si="21">I98</f>
        <v>4</v>
      </c>
      <c r="J89" s="150">
        <f t="shared" si="21"/>
        <v>0</v>
      </c>
      <c r="K89" s="151">
        <f ca="1">IF(I89&gt;0,J89*100/I89,0)</f>
        <v>0</v>
      </c>
      <c r="L89" s="148">
        <f ca="1">L90+L91</f>
        <v>56000</v>
      </c>
      <c r="M89" s="148">
        <f>SUM(M90:M91)</f>
        <v>0</v>
      </c>
      <c r="N89" s="148">
        <f t="shared" ref="N89:N92" ca="1" si="22">+IF(L89&gt;0,M89*100/L89,0)</f>
        <v>0</v>
      </c>
    </row>
    <row r="90" spans="1:14" ht="21.75" customHeight="1" x14ac:dyDescent="0.4">
      <c r="A90" s="42"/>
      <c r="B90" s="43"/>
      <c r="C90" s="43" t="s">
        <v>17</v>
      </c>
      <c r="D90" s="44" t="s">
        <v>18</v>
      </c>
      <c r="E90" s="45"/>
      <c r="F90" s="45"/>
      <c r="G90" s="46" t="s">
        <v>19</v>
      </c>
      <c r="H90" s="47" t="s">
        <v>20</v>
      </c>
      <c r="I90" s="48" t="s">
        <v>21</v>
      </c>
      <c r="J90" s="48"/>
      <c r="K90" s="49"/>
      <c r="L90" s="50">
        <v>0</v>
      </c>
      <c r="M90" s="50">
        <v>0</v>
      </c>
      <c r="N90" s="50">
        <f t="shared" si="22"/>
        <v>0</v>
      </c>
    </row>
    <row r="91" spans="1:14" ht="21.75" customHeight="1" x14ac:dyDescent="0.4">
      <c r="A91" s="42"/>
      <c r="B91" s="43"/>
      <c r="C91" s="43"/>
      <c r="D91" s="51"/>
      <c r="E91" s="45"/>
      <c r="F91" s="45" t="s">
        <v>21</v>
      </c>
      <c r="G91" s="46" t="s">
        <v>22</v>
      </c>
      <c r="H91" s="47" t="s">
        <v>20</v>
      </c>
      <c r="I91" s="48"/>
      <c r="J91" s="48"/>
      <c r="K91" s="49"/>
      <c r="L91" s="50">
        <f t="shared" ref="L91:M91" ca="1" si="23">L92</f>
        <v>56000</v>
      </c>
      <c r="M91" s="50">
        <f t="shared" si="23"/>
        <v>0</v>
      </c>
      <c r="N91" s="50">
        <f t="shared" ca="1" si="22"/>
        <v>0</v>
      </c>
    </row>
    <row r="92" spans="1:14" ht="21.75" customHeight="1" x14ac:dyDescent="0.4">
      <c r="A92" s="42"/>
      <c r="B92" s="43"/>
      <c r="C92" s="43"/>
      <c r="D92" s="51"/>
      <c r="E92" s="45"/>
      <c r="F92" s="45"/>
      <c r="G92" s="52" t="s">
        <v>24</v>
      </c>
      <c r="H92" s="47" t="s">
        <v>20</v>
      </c>
      <c r="I92" s="48"/>
      <c r="J92" s="48"/>
      <c r="K92" s="49"/>
      <c r="L92" s="53">
        <f ca="1">IFERROR(__xludf.DUMMYFUNCTION("IMPORTRANGE(""https://docs.google.com/spreadsheets/d/1C3CXT74ZlgGe6_JY_1olB1XN4rF0dxEuIIF-xsYjHgg/edit?usp=sharing"",""พรบ!AH25"")"),56000)</f>
        <v>56000</v>
      </c>
      <c r="M92" s="54">
        <v>0</v>
      </c>
      <c r="N92" s="53">
        <f t="shared" ca="1" si="22"/>
        <v>0</v>
      </c>
    </row>
    <row r="93" spans="1:14" ht="21.75" customHeight="1" x14ac:dyDescent="0.4">
      <c r="A93" s="55"/>
      <c r="B93" s="56"/>
      <c r="C93" s="43" t="s">
        <v>17</v>
      </c>
      <c r="D93" s="57" t="s">
        <v>25</v>
      </c>
      <c r="E93" s="58"/>
      <c r="F93" s="58"/>
      <c r="G93" s="59"/>
      <c r="H93" s="60"/>
      <c r="I93" s="48"/>
      <c r="J93" s="48"/>
      <c r="K93" s="49"/>
      <c r="L93" s="61"/>
      <c r="M93" s="61"/>
      <c r="N93" s="61"/>
    </row>
    <row r="94" spans="1:14" ht="21.75" customHeight="1" x14ac:dyDescent="0.4">
      <c r="A94" s="55"/>
      <c r="B94" s="56"/>
      <c r="C94" s="56"/>
      <c r="D94" s="62">
        <v>1</v>
      </c>
      <c r="E94" s="63" t="s">
        <v>26</v>
      </c>
      <c r="F94" s="64"/>
      <c r="G94" s="65"/>
      <c r="H94" s="66"/>
      <c r="I94" s="67"/>
      <c r="J94" s="68">
        <v>0</v>
      </c>
      <c r="K94" s="49"/>
      <c r="L94" s="61"/>
      <c r="M94" s="61"/>
      <c r="N94" s="61"/>
    </row>
    <row r="95" spans="1:14" ht="21.75" customHeight="1" x14ac:dyDescent="0.4">
      <c r="A95" s="55"/>
      <c r="B95" s="56"/>
      <c r="C95" s="56"/>
      <c r="D95" s="69">
        <v>2</v>
      </c>
      <c r="E95" s="70" t="s">
        <v>27</v>
      </c>
      <c r="F95" s="71"/>
      <c r="G95" s="72"/>
      <c r="H95" s="66"/>
      <c r="I95" s="67"/>
      <c r="J95" s="68">
        <v>1</v>
      </c>
      <c r="K95" s="49"/>
      <c r="L95" s="61" t="s">
        <v>21</v>
      </c>
      <c r="M95" s="61" t="s">
        <v>21</v>
      </c>
      <c r="N95" s="61"/>
    </row>
    <row r="96" spans="1:14" ht="21.75" customHeight="1" x14ac:dyDescent="0.4">
      <c r="A96" s="55"/>
      <c r="B96" s="56"/>
      <c r="C96" s="56"/>
      <c r="D96" s="73"/>
      <c r="E96" s="74" t="s">
        <v>28</v>
      </c>
      <c r="F96" s="75"/>
      <c r="G96" s="76"/>
      <c r="H96" s="66"/>
      <c r="I96" s="67"/>
      <c r="J96" s="68">
        <v>1</v>
      </c>
      <c r="K96" s="49"/>
      <c r="L96" s="61"/>
      <c r="M96" s="61"/>
      <c r="N96" s="61"/>
    </row>
    <row r="97" spans="1:14" ht="21.75" customHeight="1" x14ac:dyDescent="0.4">
      <c r="A97" s="55"/>
      <c r="B97" s="56"/>
      <c r="C97" s="56"/>
      <c r="D97" s="73"/>
      <c r="E97" s="74" t="s">
        <v>29</v>
      </c>
      <c r="F97" s="75"/>
      <c r="G97" s="76"/>
      <c r="H97" s="66"/>
      <c r="I97" s="67"/>
      <c r="J97" s="68">
        <v>0</v>
      </c>
      <c r="K97" s="49"/>
      <c r="L97" s="61"/>
      <c r="M97" s="61"/>
      <c r="N97" s="61"/>
    </row>
    <row r="98" spans="1:14" ht="21.75" customHeight="1" x14ac:dyDescent="0.4">
      <c r="A98" s="55"/>
      <c r="B98" s="56"/>
      <c r="C98" s="56"/>
      <c r="D98" s="73"/>
      <c r="E98" s="77"/>
      <c r="F98" s="74" t="s">
        <v>64</v>
      </c>
      <c r="G98" s="76"/>
      <c r="H98" s="60" t="s">
        <v>63</v>
      </c>
      <c r="I98" s="67">
        <f ca="1">IFERROR(__xludf.DUMMYFUNCTION("IMPORTRANGE(""https://docs.google.com/spreadsheets/d/1C3CXT74ZlgGe6_JY_1olB1XN4rF0dxEuIIF-xsYjHgg/edit?usp=sharing"",""พรบ!AI25"")"),4)</f>
        <v>4</v>
      </c>
      <c r="J98" s="68">
        <v>0</v>
      </c>
      <c r="K98" s="49">
        <f ca="1">IF(I98&gt;0,J98*100/I98,0)</f>
        <v>0</v>
      </c>
      <c r="L98" s="53">
        <f ca="1">IFERROR(__xludf.DUMMYFUNCTION("IMPORTRANGE(""https://docs.google.com/spreadsheets/d/1C3CXT74ZlgGe6_JY_1olB1XN4rF0dxEuIIF-xsYjHgg/edit?usp=sharing"",""กปร!C25"")"),48000)</f>
        <v>48000</v>
      </c>
      <c r="M98" s="359">
        <v>0</v>
      </c>
      <c r="N98" s="53">
        <f ca="1">+IF(L98&gt;0,M98*100/L98,0)</f>
        <v>0</v>
      </c>
    </row>
    <row r="99" spans="1:14" ht="21.75" customHeight="1" x14ac:dyDescent="0.4">
      <c r="A99" s="55"/>
      <c r="B99" s="56"/>
      <c r="C99" s="56"/>
      <c r="D99" s="73"/>
      <c r="E99" s="74" t="s">
        <v>35</v>
      </c>
      <c r="F99" s="75"/>
      <c r="G99" s="76"/>
      <c r="H99" s="66"/>
      <c r="I99" s="67"/>
      <c r="J99" s="68">
        <v>0</v>
      </c>
      <c r="K99" s="49"/>
      <c r="L99" s="61"/>
      <c r="M99" s="61"/>
      <c r="N99" s="61"/>
    </row>
    <row r="100" spans="1:14" ht="21.75" customHeight="1" x14ac:dyDescent="0.4">
      <c r="A100" s="55"/>
      <c r="B100" s="56"/>
      <c r="C100" s="56"/>
      <c r="D100" s="81">
        <v>3</v>
      </c>
      <c r="E100" s="82" t="s">
        <v>36</v>
      </c>
      <c r="F100" s="83"/>
      <c r="G100" s="84"/>
      <c r="H100" s="66"/>
      <c r="I100" s="67"/>
      <c r="J100" s="85">
        <v>0</v>
      </c>
      <c r="K100" s="49"/>
      <c r="L100" s="61"/>
      <c r="M100" s="61"/>
      <c r="N100" s="61"/>
    </row>
    <row r="101" spans="1:14" ht="21.75" customHeight="1" x14ac:dyDescent="0.4">
      <c r="A101" s="141"/>
      <c r="B101" s="142"/>
      <c r="C101" s="143" t="s">
        <v>65</v>
      </c>
      <c r="D101" s="143"/>
      <c r="E101" s="143"/>
      <c r="F101" s="143"/>
      <c r="G101" s="144"/>
      <c r="H101" s="149" t="s">
        <v>63</v>
      </c>
      <c r="I101" s="150">
        <f t="shared" ref="I101:J101" ca="1" si="24">I111</f>
        <v>0</v>
      </c>
      <c r="J101" s="150">
        <f t="shared" si="24"/>
        <v>0</v>
      </c>
      <c r="K101" s="151">
        <f ca="1">IF(I101&gt;0,J101*100/I101,0)</f>
        <v>0</v>
      </c>
      <c r="L101" s="148">
        <f ca="1">L102+L103</f>
        <v>0</v>
      </c>
      <c r="M101" s="148">
        <f>SUM(M102:M103)</f>
        <v>0</v>
      </c>
      <c r="N101" s="148">
        <f t="shared" ref="N101:N104" ca="1" si="25">+IF(L101&gt;0,M101*100/L101,0)</f>
        <v>0</v>
      </c>
    </row>
    <row r="102" spans="1:14" ht="21.75" customHeight="1" x14ac:dyDescent="0.4">
      <c r="A102" s="42"/>
      <c r="B102" s="43"/>
      <c r="C102" s="43" t="s">
        <v>17</v>
      </c>
      <c r="D102" s="44" t="s">
        <v>18</v>
      </c>
      <c r="E102" s="45"/>
      <c r="F102" s="45"/>
      <c r="G102" s="46" t="s">
        <v>19</v>
      </c>
      <c r="H102" s="47" t="s">
        <v>20</v>
      </c>
      <c r="I102" s="48" t="s">
        <v>21</v>
      </c>
      <c r="J102" s="48"/>
      <c r="K102" s="49"/>
      <c r="L102" s="50">
        <v>0</v>
      </c>
      <c r="M102" s="50">
        <v>0</v>
      </c>
      <c r="N102" s="50">
        <f t="shared" si="25"/>
        <v>0</v>
      </c>
    </row>
    <row r="103" spans="1:14" ht="21.75" customHeight="1" x14ac:dyDescent="0.4">
      <c r="A103" s="42"/>
      <c r="B103" s="43"/>
      <c r="C103" s="43"/>
      <c r="D103" s="51"/>
      <c r="E103" s="45"/>
      <c r="F103" s="45" t="s">
        <v>21</v>
      </c>
      <c r="G103" s="46" t="s">
        <v>22</v>
      </c>
      <c r="H103" s="47" t="s">
        <v>20</v>
      </c>
      <c r="I103" s="48"/>
      <c r="J103" s="48"/>
      <c r="K103" s="49"/>
      <c r="L103" s="50">
        <f ca="1">SUM(L104)</f>
        <v>0</v>
      </c>
      <c r="M103" s="50">
        <f>M104</f>
        <v>0</v>
      </c>
      <c r="N103" s="50">
        <f t="shared" ca="1" si="25"/>
        <v>0</v>
      </c>
    </row>
    <row r="104" spans="1:14" ht="21.75" customHeight="1" x14ac:dyDescent="0.4">
      <c r="A104" s="42"/>
      <c r="B104" s="43"/>
      <c r="C104" s="43"/>
      <c r="D104" s="51"/>
      <c r="E104" s="45"/>
      <c r="F104" s="45"/>
      <c r="G104" s="52" t="s">
        <v>24</v>
      </c>
      <c r="H104" s="47" t="s">
        <v>20</v>
      </c>
      <c r="I104" s="48"/>
      <c r="J104" s="67"/>
      <c r="K104" s="233"/>
      <c r="L104" s="53">
        <f ca="1">IFERROR(__xludf.DUMMYFUNCTION("IMPORTRANGE(""https://docs.google.com/spreadsheets/d/1C3CXT74ZlgGe6_JY_1olB1XN4rF0dxEuIIF-xsYjHgg/edit?usp=sharing"",""พรบ!AJ25"")"),0)</f>
        <v>0</v>
      </c>
      <c r="M104" s="53">
        <v>0</v>
      </c>
      <c r="N104" s="53">
        <f t="shared" ca="1" si="25"/>
        <v>0</v>
      </c>
    </row>
    <row r="105" spans="1:14" ht="21.75" customHeight="1" x14ac:dyDescent="0.4">
      <c r="A105" s="55"/>
      <c r="B105" s="56"/>
      <c r="C105" s="43" t="s">
        <v>17</v>
      </c>
      <c r="D105" s="57" t="s">
        <v>25</v>
      </c>
      <c r="E105" s="58"/>
      <c r="F105" s="58"/>
      <c r="G105" s="59"/>
      <c r="H105" s="60"/>
      <c r="I105" s="48"/>
      <c r="J105" s="67"/>
      <c r="K105" s="233"/>
      <c r="L105" s="53"/>
      <c r="M105" s="53"/>
      <c r="N105" s="61"/>
    </row>
    <row r="106" spans="1:14" ht="21.75" customHeight="1" x14ac:dyDescent="0.4">
      <c r="A106" s="55"/>
      <c r="B106" s="56"/>
      <c r="C106" s="56"/>
      <c r="D106" s="62">
        <v>1</v>
      </c>
      <c r="E106" s="63" t="s">
        <v>26</v>
      </c>
      <c r="F106" s="64"/>
      <c r="G106" s="65"/>
      <c r="H106" s="66"/>
      <c r="I106" s="67"/>
      <c r="J106" s="67">
        <v>0</v>
      </c>
      <c r="K106" s="233"/>
      <c r="L106" s="53"/>
      <c r="M106" s="53"/>
      <c r="N106" s="61"/>
    </row>
    <row r="107" spans="1:14" ht="21.75" customHeight="1" x14ac:dyDescent="0.4">
      <c r="A107" s="55"/>
      <c r="B107" s="56"/>
      <c r="C107" s="56"/>
      <c r="D107" s="69">
        <v>2</v>
      </c>
      <c r="E107" s="70" t="s">
        <v>27</v>
      </c>
      <c r="F107" s="71"/>
      <c r="G107" s="72"/>
      <c r="H107" s="66"/>
      <c r="I107" s="67"/>
      <c r="J107" s="67">
        <v>0</v>
      </c>
      <c r="K107" s="233"/>
      <c r="L107" s="53" t="s">
        <v>21</v>
      </c>
      <c r="M107" s="53" t="s">
        <v>21</v>
      </c>
      <c r="N107" s="61"/>
    </row>
    <row r="108" spans="1:14" ht="21.75" customHeight="1" x14ac:dyDescent="0.4">
      <c r="A108" s="55"/>
      <c r="B108" s="56"/>
      <c r="C108" s="56"/>
      <c r="D108" s="73"/>
      <c r="E108" s="74" t="s">
        <v>28</v>
      </c>
      <c r="F108" s="75"/>
      <c r="G108" s="76"/>
      <c r="H108" s="66"/>
      <c r="I108" s="67"/>
      <c r="J108" s="67">
        <v>0</v>
      </c>
      <c r="K108" s="233"/>
      <c r="L108" s="53"/>
      <c r="M108" s="53"/>
      <c r="N108" s="61"/>
    </row>
    <row r="109" spans="1:14" ht="21.75" customHeight="1" x14ac:dyDescent="0.4">
      <c r="A109" s="55"/>
      <c r="B109" s="56"/>
      <c r="C109" s="56"/>
      <c r="D109" s="73"/>
      <c r="E109" s="74" t="s">
        <v>29</v>
      </c>
      <c r="F109" s="75"/>
      <c r="G109" s="76"/>
      <c r="H109" s="66"/>
      <c r="I109" s="67"/>
      <c r="J109" s="67">
        <v>0</v>
      </c>
      <c r="K109" s="233"/>
      <c r="L109" s="53"/>
      <c r="M109" s="53"/>
      <c r="N109" s="61"/>
    </row>
    <row r="110" spans="1:14" ht="21.75" customHeight="1" x14ac:dyDescent="0.4">
      <c r="A110" s="55"/>
      <c r="B110" s="56"/>
      <c r="C110" s="56"/>
      <c r="D110" s="73"/>
      <c r="E110" s="77"/>
      <c r="F110" s="74" t="s">
        <v>66</v>
      </c>
      <c r="G110" s="76"/>
      <c r="H110" s="60" t="s">
        <v>63</v>
      </c>
      <c r="I110" s="67">
        <f ca="1">IFERROR(__xludf.DUMMYFUNCTION("IMPORTRANGE(""https://docs.google.com/spreadsheets/d/1C3CXT74ZlgGe6_JY_1olB1XN4rF0dxEuIIF-xsYjHgg/edit?usp=sharing"",""พรบ!AK25"")"),0)</f>
        <v>0</v>
      </c>
      <c r="J110" s="67">
        <v>0</v>
      </c>
      <c r="K110" s="233">
        <f t="shared" ref="K110:K111" ca="1" si="26">IF(I110&gt;0,J110*100/I110,0)</f>
        <v>0</v>
      </c>
      <c r="L110" s="53">
        <f ca="1">IFERROR(__xludf.DUMMYFUNCTION("IMPORTRANGE(""https://docs.google.com/spreadsheets/d/1C3CXT74ZlgGe6_JY_1olB1XN4rF0dxEuIIF-xsYjHgg/edit?usp=sharing"",""กปร!D25"")"),0)</f>
        <v>0</v>
      </c>
      <c r="M110" s="53">
        <v>0</v>
      </c>
      <c r="N110" s="53">
        <f t="shared" ref="N110:N111" ca="1" si="27">+IF(L110&gt;0,M110*100/L110,0)</f>
        <v>0</v>
      </c>
    </row>
    <row r="111" spans="1:14" ht="21.75" customHeight="1" x14ac:dyDescent="0.4">
      <c r="A111" s="55"/>
      <c r="B111" s="56"/>
      <c r="C111" s="56"/>
      <c r="D111" s="73"/>
      <c r="E111" s="77"/>
      <c r="F111" s="74" t="s">
        <v>67</v>
      </c>
      <c r="G111" s="76"/>
      <c r="H111" s="60" t="s">
        <v>63</v>
      </c>
      <c r="I111" s="67">
        <f ca="1">IFERROR(__xludf.DUMMYFUNCTION("IMPORTRANGE(""https://docs.google.com/spreadsheets/d/1C3CXT74ZlgGe6_JY_1olB1XN4rF0dxEuIIF-xsYjHgg/edit?usp=sharing"",""พรบ!AL25"")"),0)</f>
        <v>0</v>
      </c>
      <c r="J111" s="67">
        <v>0</v>
      </c>
      <c r="K111" s="233">
        <f t="shared" ca="1" si="26"/>
        <v>0</v>
      </c>
      <c r="L111" s="53">
        <f ca="1">IFERROR(__xludf.DUMMYFUNCTION("IMPORTRANGE(""https://docs.google.com/spreadsheets/d/1C3CXT74ZlgGe6_JY_1olB1XN4rF0dxEuIIF-xsYjHgg/edit?usp=sharing"",""กปร!E25"")"),0)</f>
        <v>0</v>
      </c>
      <c r="M111" s="53">
        <v>0</v>
      </c>
      <c r="N111" s="53">
        <f t="shared" ca="1" si="27"/>
        <v>0</v>
      </c>
    </row>
    <row r="112" spans="1:14" ht="21.75" customHeight="1" x14ac:dyDescent="0.4">
      <c r="A112" s="55"/>
      <c r="B112" s="56"/>
      <c r="C112" s="56"/>
      <c r="D112" s="73"/>
      <c r="E112" s="74" t="s">
        <v>35</v>
      </c>
      <c r="F112" s="75"/>
      <c r="G112" s="76"/>
      <c r="H112" s="66"/>
      <c r="I112" s="67"/>
      <c r="J112" s="67">
        <v>0</v>
      </c>
      <c r="K112" s="233"/>
      <c r="L112" s="53"/>
      <c r="M112" s="53"/>
      <c r="N112" s="61"/>
    </row>
    <row r="113" spans="1:14" ht="21.75" customHeight="1" x14ac:dyDescent="0.4">
      <c r="A113" s="55"/>
      <c r="B113" s="56"/>
      <c r="C113" s="56"/>
      <c r="D113" s="81">
        <v>3</v>
      </c>
      <c r="E113" s="82" t="s">
        <v>36</v>
      </c>
      <c r="F113" s="83"/>
      <c r="G113" s="84"/>
      <c r="H113" s="66"/>
      <c r="I113" s="67"/>
      <c r="J113" s="360">
        <v>0</v>
      </c>
      <c r="K113" s="233"/>
      <c r="L113" s="53"/>
      <c r="M113" s="53"/>
      <c r="N113" s="61"/>
    </row>
    <row r="114" spans="1:14" ht="21.75" customHeight="1" x14ac:dyDescent="0.4">
      <c r="A114" s="141"/>
      <c r="B114" s="142"/>
      <c r="C114" s="143" t="s">
        <v>68</v>
      </c>
      <c r="D114" s="143"/>
      <c r="E114" s="143"/>
      <c r="F114" s="143"/>
      <c r="G114" s="144"/>
      <c r="H114" s="152" t="s">
        <v>69</v>
      </c>
      <c r="I114" s="150">
        <f t="shared" ref="I114:J114" ca="1" si="28">I125</f>
        <v>50000</v>
      </c>
      <c r="J114" s="150">
        <f t="shared" si="28"/>
        <v>0</v>
      </c>
      <c r="K114" s="151">
        <f ca="1">IF(I114&gt;0,J114*100/I114,0)</f>
        <v>0</v>
      </c>
      <c r="L114" s="148">
        <f ca="1">L115+L116</f>
        <v>19500</v>
      </c>
      <c r="M114" s="148">
        <f>SUM(M115:M116)</f>
        <v>0</v>
      </c>
      <c r="N114" s="148">
        <f t="shared" ref="N114:N117" ca="1" si="29">+IF(L114&gt;0,M114*100/L114,0)</f>
        <v>0</v>
      </c>
    </row>
    <row r="115" spans="1:14" ht="21.75" customHeight="1" x14ac:dyDescent="0.4">
      <c r="A115" s="42"/>
      <c r="B115" s="43"/>
      <c r="C115" s="43" t="s">
        <v>17</v>
      </c>
      <c r="D115" s="44" t="s">
        <v>18</v>
      </c>
      <c r="E115" s="45"/>
      <c r="F115" s="45"/>
      <c r="G115" s="46" t="s">
        <v>19</v>
      </c>
      <c r="H115" s="47" t="s">
        <v>20</v>
      </c>
      <c r="I115" s="48" t="s">
        <v>21</v>
      </c>
      <c r="J115" s="48"/>
      <c r="K115" s="49"/>
      <c r="L115" s="50">
        <v>0</v>
      </c>
      <c r="M115" s="50">
        <v>0</v>
      </c>
      <c r="N115" s="50">
        <f t="shared" si="29"/>
        <v>0</v>
      </c>
    </row>
    <row r="116" spans="1:14" ht="21.75" customHeight="1" x14ac:dyDescent="0.4">
      <c r="A116" s="42"/>
      <c r="B116" s="43"/>
      <c r="C116" s="43"/>
      <c r="D116" s="51"/>
      <c r="E116" s="45"/>
      <c r="F116" s="45" t="s">
        <v>21</v>
      </c>
      <c r="G116" s="46" t="s">
        <v>22</v>
      </c>
      <c r="H116" s="47" t="s">
        <v>20</v>
      </c>
      <c r="I116" s="48"/>
      <c r="J116" s="48"/>
      <c r="K116" s="49"/>
      <c r="L116" s="50">
        <f ca="1">SUM(L117)</f>
        <v>19500</v>
      </c>
      <c r="M116" s="50">
        <f>M117</f>
        <v>0</v>
      </c>
      <c r="N116" s="50">
        <f t="shared" ca="1" si="29"/>
        <v>0</v>
      </c>
    </row>
    <row r="117" spans="1:14" ht="21.75" customHeight="1" x14ac:dyDescent="0.4">
      <c r="A117" s="42"/>
      <c r="B117" s="43"/>
      <c r="C117" s="43"/>
      <c r="D117" s="51"/>
      <c r="E117" s="45"/>
      <c r="F117" s="45"/>
      <c r="G117" s="52" t="s">
        <v>24</v>
      </c>
      <c r="H117" s="47" t="s">
        <v>20</v>
      </c>
      <c r="I117" s="48"/>
      <c r="J117" s="48"/>
      <c r="K117" s="49"/>
      <c r="L117" s="53">
        <f ca="1">IFERROR(__xludf.DUMMYFUNCTION("IMPORTRANGE(""https://docs.google.com/spreadsheets/d/1C3CXT74ZlgGe6_JY_1olB1XN4rF0dxEuIIF-xsYjHgg/edit?usp=sharing"",""พรบ!AM25"")"),19500)</f>
        <v>19500</v>
      </c>
      <c r="M117" s="54">
        <v>0</v>
      </c>
      <c r="N117" s="53">
        <f t="shared" ca="1" si="29"/>
        <v>0</v>
      </c>
    </row>
    <row r="118" spans="1:14" ht="21.75" customHeight="1" x14ac:dyDescent="0.4">
      <c r="A118" s="55"/>
      <c r="B118" s="56"/>
      <c r="C118" s="43" t="s">
        <v>17</v>
      </c>
      <c r="D118" s="57" t="s">
        <v>25</v>
      </c>
      <c r="E118" s="58"/>
      <c r="F118" s="58"/>
      <c r="G118" s="59"/>
      <c r="H118" s="60"/>
      <c r="I118" s="48"/>
      <c r="J118" s="48"/>
      <c r="K118" s="49"/>
      <c r="L118" s="61"/>
      <c r="M118" s="61"/>
      <c r="N118" s="61"/>
    </row>
    <row r="119" spans="1:14" ht="21.75" customHeight="1" x14ac:dyDescent="0.4">
      <c r="A119" s="55"/>
      <c r="B119" s="56"/>
      <c r="C119" s="56"/>
      <c r="D119" s="62">
        <v>1</v>
      </c>
      <c r="E119" s="63" t="s">
        <v>26</v>
      </c>
      <c r="F119" s="64"/>
      <c r="G119" s="65"/>
      <c r="H119" s="66"/>
      <c r="I119" s="67"/>
      <c r="J119" s="68">
        <v>1</v>
      </c>
      <c r="K119" s="49"/>
      <c r="L119" s="61"/>
      <c r="M119" s="61"/>
      <c r="N119" s="61"/>
    </row>
    <row r="120" spans="1:14" ht="21.75" customHeight="1" x14ac:dyDescent="0.4">
      <c r="A120" s="55"/>
      <c r="B120" s="56"/>
      <c r="C120" s="56"/>
      <c r="D120" s="69">
        <v>2</v>
      </c>
      <c r="E120" s="70" t="s">
        <v>27</v>
      </c>
      <c r="F120" s="71"/>
      <c r="G120" s="72"/>
      <c r="H120" s="66"/>
      <c r="I120" s="67"/>
      <c r="J120" s="68">
        <v>0</v>
      </c>
      <c r="K120" s="49"/>
      <c r="L120" s="61" t="s">
        <v>21</v>
      </c>
      <c r="M120" s="61" t="s">
        <v>21</v>
      </c>
      <c r="N120" s="61"/>
    </row>
    <row r="121" spans="1:14" ht="21.75" customHeight="1" x14ac:dyDescent="0.4">
      <c r="A121" s="55"/>
      <c r="B121" s="56"/>
      <c r="C121" s="56"/>
      <c r="D121" s="73"/>
      <c r="E121" s="74" t="s">
        <v>28</v>
      </c>
      <c r="F121" s="75"/>
      <c r="G121" s="76"/>
      <c r="H121" s="66"/>
      <c r="I121" s="67"/>
      <c r="J121" s="68">
        <v>0</v>
      </c>
      <c r="K121" s="49"/>
      <c r="L121" s="61"/>
      <c r="M121" s="61"/>
      <c r="N121" s="61"/>
    </row>
    <row r="122" spans="1:14" ht="21.75" customHeight="1" x14ac:dyDescent="0.4">
      <c r="A122" s="55"/>
      <c r="B122" s="56"/>
      <c r="C122" s="56"/>
      <c r="D122" s="73"/>
      <c r="E122" s="74" t="s">
        <v>29</v>
      </c>
      <c r="F122" s="75"/>
      <c r="G122" s="76"/>
      <c r="H122" s="66"/>
      <c r="I122" s="67"/>
      <c r="J122" s="68">
        <v>0</v>
      </c>
      <c r="K122" s="49"/>
      <c r="L122" s="61"/>
      <c r="M122" s="61"/>
      <c r="N122" s="61"/>
    </row>
    <row r="123" spans="1:14" ht="21.75" customHeight="1" x14ac:dyDescent="0.4">
      <c r="A123" s="55"/>
      <c r="B123" s="56"/>
      <c r="C123" s="56"/>
      <c r="D123" s="73"/>
      <c r="E123" s="75"/>
      <c r="F123" s="75" t="s">
        <v>70</v>
      </c>
      <c r="G123" s="76"/>
      <c r="H123" s="60"/>
      <c r="I123" s="67"/>
      <c r="J123" s="67"/>
      <c r="K123" s="49"/>
      <c r="L123" s="61"/>
      <c r="M123" s="61"/>
      <c r="N123" s="61"/>
    </row>
    <row r="124" spans="1:14" ht="21.75" customHeight="1" x14ac:dyDescent="0.4">
      <c r="A124" s="55"/>
      <c r="B124" s="56"/>
      <c r="C124" s="56"/>
      <c r="D124" s="73"/>
      <c r="E124" s="77"/>
      <c r="F124" s="75"/>
      <c r="G124" s="74" t="s">
        <v>71</v>
      </c>
      <c r="H124" s="60" t="s">
        <v>69</v>
      </c>
      <c r="I124" s="67">
        <f ca="1">IFERROR(__xludf.DUMMYFUNCTION("IMPORTRANGE(""https://docs.google.com/spreadsheets/d/1C3CXT74ZlgGe6_JY_1olB1XN4rF0dxEuIIF-xsYjHgg/edit?usp=sharing"",""พรบ!AO25"")"),50000)</f>
        <v>50000</v>
      </c>
      <c r="J124" s="68">
        <v>0</v>
      </c>
      <c r="K124" s="49">
        <f t="shared" ref="K124:K126" ca="1" si="30">IF(I124&gt;0,J124*100/I124,0)</f>
        <v>0</v>
      </c>
      <c r="L124" s="61"/>
      <c r="M124" s="61"/>
      <c r="N124" s="61"/>
    </row>
    <row r="125" spans="1:14" ht="21.75" customHeight="1" x14ac:dyDescent="0.4">
      <c r="A125" s="55"/>
      <c r="B125" s="56"/>
      <c r="C125" s="56"/>
      <c r="D125" s="73"/>
      <c r="E125" s="77"/>
      <c r="F125" s="75"/>
      <c r="G125" s="74" t="s">
        <v>72</v>
      </c>
      <c r="H125" s="60" t="s">
        <v>69</v>
      </c>
      <c r="I125" s="67">
        <f ca="1">IFERROR(__xludf.DUMMYFUNCTION("IMPORTRANGE(""https://docs.google.com/spreadsheets/d/1C3CXT74ZlgGe6_JY_1olB1XN4rF0dxEuIIF-xsYjHgg/edit?usp=sharing"",""พรบ!AP25"")"),50000)</f>
        <v>50000</v>
      </c>
      <c r="J125" s="68">
        <v>0</v>
      </c>
      <c r="K125" s="49">
        <f t="shared" ca="1" si="30"/>
        <v>0</v>
      </c>
      <c r="L125" s="53">
        <f ca="1">IFERROR(__xludf.DUMMYFUNCTION("IMPORTRANGE(""https://docs.google.com/spreadsheets/d/1C3CXT74ZlgGe6_JY_1olB1XN4rF0dxEuIIF-xsYjHgg/edit?usp=sharing"",""กปร!F25"")"),13500)</f>
        <v>13500</v>
      </c>
      <c r="M125" s="359">
        <v>0</v>
      </c>
      <c r="N125" s="53">
        <f t="shared" ref="N125:N126" ca="1" si="31">+IF(L125&gt;0,M125*100/L125,0)</f>
        <v>0</v>
      </c>
    </row>
    <row r="126" spans="1:14" ht="21.75" customHeight="1" x14ac:dyDescent="0.4">
      <c r="A126" s="55"/>
      <c r="B126" s="56"/>
      <c r="C126" s="56"/>
      <c r="D126" s="73"/>
      <c r="E126" s="77"/>
      <c r="F126" s="75" t="s">
        <v>73</v>
      </c>
      <c r="G126" s="76"/>
      <c r="H126" s="60" t="s">
        <v>16</v>
      </c>
      <c r="I126" s="67">
        <f ca="1">IFERROR(__xludf.DUMMYFUNCTION("IMPORTRANGE(""https://docs.google.com/spreadsheets/d/1C3CXT74ZlgGe6_JY_1olB1XN4rF0dxEuIIF-xsYjHgg/edit?usp=sharing"",""พรบ!AQ25"")"),0)</f>
        <v>0</v>
      </c>
      <c r="J126" s="67">
        <v>0</v>
      </c>
      <c r="K126" s="49">
        <f t="shared" ca="1" si="30"/>
        <v>0</v>
      </c>
      <c r="L126" s="53">
        <f ca="1">IFERROR(__xludf.DUMMYFUNCTION("IMPORTRANGE(""https://docs.google.com/spreadsheets/d/1C3CXT74ZlgGe6_JY_1olB1XN4rF0dxEuIIF-xsYjHgg/edit?usp=sharing"",""กปร!G25"")"),0)</f>
        <v>0</v>
      </c>
      <c r="M126" s="53">
        <v>0</v>
      </c>
      <c r="N126" s="53">
        <f t="shared" ca="1" si="31"/>
        <v>0</v>
      </c>
    </row>
    <row r="127" spans="1:14" ht="21.75" customHeight="1" x14ac:dyDescent="0.4">
      <c r="A127" s="55"/>
      <c r="B127" s="56"/>
      <c r="C127" s="56"/>
      <c r="D127" s="73"/>
      <c r="E127" s="74" t="s">
        <v>35</v>
      </c>
      <c r="F127" s="75"/>
      <c r="G127" s="76"/>
      <c r="H127" s="66"/>
      <c r="I127" s="67"/>
      <c r="J127" s="68">
        <v>0</v>
      </c>
      <c r="K127" s="49"/>
      <c r="L127" s="61"/>
      <c r="M127" s="61"/>
      <c r="N127" s="61"/>
    </row>
    <row r="128" spans="1:14" ht="21.75" customHeight="1" x14ac:dyDescent="0.4">
      <c r="A128" s="105"/>
      <c r="B128" s="106"/>
      <c r="C128" s="106"/>
      <c r="D128" s="107">
        <v>3</v>
      </c>
      <c r="E128" s="108" t="s">
        <v>36</v>
      </c>
      <c r="F128" s="109"/>
      <c r="G128" s="110"/>
      <c r="H128" s="111"/>
      <c r="I128" s="112"/>
      <c r="J128" s="113">
        <v>0</v>
      </c>
      <c r="K128" s="114"/>
      <c r="L128" s="115"/>
      <c r="M128" s="115"/>
      <c r="N128" s="115"/>
    </row>
    <row r="129" spans="1:14" ht="21.75" customHeight="1" x14ac:dyDescent="0.4">
      <c r="A129" s="141"/>
      <c r="B129" s="142"/>
      <c r="C129" s="153" t="s">
        <v>233</v>
      </c>
      <c r="D129" s="143"/>
      <c r="E129" s="143"/>
      <c r="F129" s="143"/>
      <c r="G129" s="144"/>
      <c r="H129" s="152" t="s">
        <v>16</v>
      </c>
      <c r="I129" s="150">
        <f t="shared" ref="I129:J129" ca="1" si="32">I138</f>
        <v>90</v>
      </c>
      <c r="J129" s="150">
        <f t="shared" si="32"/>
        <v>0</v>
      </c>
      <c r="K129" s="151">
        <f ca="1">IF(I129&gt;0,J129*100/I129,0)</f>
        <v>0</v>
      </c>
      <c r="L129" s="148">
        <f ca="1">L130+L131</f>
        <v>416300</v>
      </c>
      <c r="M129" s="148">
        <f>SUM(M130:M131)</f>
        <v>13958</v>
      </c>
      <c r="N129" s="148">
        <f t="shared" ref="N129:N132" ca="1" si="33">+IF(L129&gt;0,M129*100/L129,0)</f>
        <v>3.3528705260629352</v>
      </c>
    </row>
    <row r="130" spans="1:14" ht="21.75" customHeight="1" x14ac:dyDescent="0.4">
      <c r="A130" s="42"/>
      <c r="B130" s="43"/>
      <c r="C130" s="43" t="s">
        <v>17</v>
      </c>
      <c r="D130" s="44" t="s">
        <v>18</v>
      </c>
      <c r="E130" s="45"/>
      <c r="F130" s="45"/>
      <c r="G130" s="46" t="s">
        <v>19</v>
      </c>
      <c r="H130" s="47" t="s">
        <v>20</v>
      </c>
      <c r="I130" s="48" t="s">
        <v>21</v>
      </c>
      <c r="J130" s="48"/>
      <c r="K130" s="49"/>
      <c r="L130" s="50">
        <v>0</v>
      </c>
      <c r="M130" s="50">
        <v>0</v>
      </c>
      <c r="N130" s="50">
        <f t="shared" si="33"/>
        <v>0</v>
      </c>
    </row>
    <row r="131" spans="1:14" ht="21.75" customHeight="1" x14ac:dyDescent="0.4">
      <c r="A131" s="42"/>
      <c r="B131" s="43"/>
      <c r="C131" s="43"/>
      <c r="D131" s="51"/>
      <c r="E131" s="45"/>
      <c r="F131" s="45" t="s">
        <v>21</v>
      </c>
      <c r="G131" s="46" t="s">
        <v>22</v>
      </c>
      <c r="H131" s="47" t="s">
        <v>20</v>
      </c>
      <c r="I131" s="48"/>
      <c r="J131" s="48"/>
      <c r="K131" s="49"/>
      <c r="L131" s="50">
        <f ca="1">SUM(L132)</f>
        <v>416300</v>
      </c>
      <c r="M131" s="50">
        <f>M132</f>
        <v>13958</v>
      </c>
      <c r="N131" s="50">
        <f t="shared" ca="1" si="33"/>
        <v>3.3528705260629352</v>
      </c>
    </row>
    <row r="132" spans="1:14" ht="21.75" customHeight="1" x14ac:dyDescent="0.4">
      <c r="A132" s="42"/>
      <c r="B132" s="43"/>
      <c r="C132" s="43"/>
      <c r="D132" s="51"/>
      <c r="E132" s="45"/>
      <c r="F132" s="45"/>
      <c r="G132" s="52" t="s">
        <v>24</v>
      </c>
      <c r="H132" s="47" t="s">
        <v>20</v>
      </c>
      <c r="I132" s="48"/>
      <c r="J132" s="48"/>
      <c r="K132" s="49"/>
      <c r="L132" s="53">
        <f ca="1">IFERROR(__xludf.DUMMYFUNCTION("IMPORTRANGE(""https://docs.google.com/spreadsheets/d/1C3CXT74ZlgGe6_JY_1olB1XN4rF0dxEuIIF-xsYjHgg/edit?usp=sharing"",""พรบ!AR25"")"),416300)</f>
        <v>416300</v>
      </c>
      <c r="M132" s="54">
        <v>13958</v>
      </c>
      <c r="N132" s="53">
        <f t="shared" ca="1" si="33"/>
        <v>3.3528705260629352</v>
      </c>
    </row>
    <row r="133" spans="1:14" ht="21.75" customHeight="1" x14ac:dyDescent="0.4">
      <c r="A133" s="55"/>
      <c r="B133" s="56"/>
      <c r="C133" s="43" t="s">
        <v>17</v>
      </c>
      <c r="D133" s="57" t="s">
        <v>25</v>
      </c>
      <c r="E133" s="58"/>
      <c r="F133" s="58"/>
      <c r="G133" s="59"/>
      <c r="H133" s="60"/>
      <c r="I133" s="48"/>
      <c r="J133" s="48"/>
      <c r="K133" s="49"/>
      <c r="L133" s="61"/>
      <c r="M133" s="61"/>
      <c r="N133" s="61"/>
    </row>
    <row r="134" spans="1:14" ht="21.75" customHeight="1" x14ac:dyDescent="0.4">
      <c r="A134" s="55"/>
      <c r="B134" s="56"/>
      <c r="C134" s="56"/>
      <c r="D134" s="62">
        <v>1</v>
      </c>
      <c r="E134" s="63" t="s">
        <v>26</v>
      </c>
      <c r="F134" s="64"/>
      <c r="G134" s="65"/>
      <c r="H134" s="66"/>
      <c r="I134" s="67"/>
      <c r="J134" s="68">
        <v>0</v>
      </c>
      <c r="K134" s="49"/>
      <c r="L134" s="61"/>
      <c r="M134" s="61"/>
      <c r="N134" s="61"/>
    </row>
    <row r="135" spans="1:14" ht="21.75" customHeight="1" x14ac:dyDescent="0.4">
      <c r="A135" s="55"/>
      <c r="B135" s="56"/>
      <c r="C135" s="56"/>
      <c r="D135" s="69">
        <v>2</v>
      </c>
      <c r="E135" s="70" t="s">
        <v>27</v>
      </c>
      <c r="F135" s="71"/>
      <c r="G135" s="72"/>
      <c r="H135" s="66"/>
      <c r="I135" s="67"/>
      <c r="J135" s="68">
        <v>1</v>
      </c>
      <c r="K135" s="49"/>
      <c r="L135" s="61" t="s">
        <v>21</v>
      </c>
      <c r="M135" s="61" t="s">
        <v>21</v>
      </c>
      <c r="N135" s="61"/>
    </row>
    <row r="136" spans="1:14" ht="21.75" customHeight="1" x14ac:dyDescent="0.4">
      <c r="A136" s="55"/>
      <c r="B136" s="56"/>
      <c r="C136" s="56"/>
      <c r="D136" s="73"/>
      <c r="E136" s="74" t="s">
        <v>28</v>
      </c>
      <c r="F136" s="75"/>
      <c r="G136" s="76"/>
      <c r="H136" s="66"/>
      <c r="I136" s="67"/>
      <c r="J136" s="68">
        <v>1</v>
      </c>
      <c r="K136" s="49"/>
      <c r="L136" s="61"/>
      <c r="M136" s="61"/>
      <c r="N136" s="61"/>
    </row>
    <row r="137" spans="1:14" ht="21.75" customHeight="1" x14ac:dyDescent="0.4">
      <c r="A137" s="55"/>
      <c r="B137" s="56"/>
      <c r="C137" s="56"/>
      <c r="D137" s="73"/>
      <c r="E137" s="74" t="s">
        <v>29</v>
      </c>
      <c r="F137" s="75"/>
      <c r="G137" s="76"/>
      <c r="H137" s="66"/>
      <c r="I137" s="67"/>
      <c r="J137" s="68">
        <v>0</v>
      </c>
      <c r="K137" s="49"/>
      <c r="L137" s="50">
        <f ca="1">IFERROR(__xludf.DUMMYFUNCTION("IMPORTRANGE(""https://docs.google.com/spreadsheets/d/1C3CXT74ZlgGe6_JY_1olB1XN4rF0dxEuIIF-xsYjHgg/edit?usp=sharing"",""กปร!H25"")"),98300)</f>
        <v>98300</v>
      </c>
      <c r="M137" s="50">
        <f>M138+M139</f>
        <v>0</v>
      </c>
      <c r="N137" s="50">
        <f t="shared" ref="N137:N141" ca="1" si="34">+IF(L137&gt;0,M137*100/L137,0)</f>
        <v>0</v>
      </c>
    </row>
    <row r="138" spans="1:14" ht="21.75" customHeight="1" x14ac:dyDescent="0.4">
      <c r="A138" s="55"/>
      <c r="B138" s="56"/>
      <c r="C138" s="56"/>
      <c r="D138" s="73"/>
      <c r="E138" s="77"/>
      <c r="F138" s="75" t="s">
        <v>75</v>
      </c>
      <c r="G138" s="76"/>
      <c r="H138" s="60" t="s">
        <v>16</v>
      </c>
      <c r="I138" s="67">
        <f ca="1">IFERROR(__xludf.DUMMYFUNCTION("IMPORTRANGE(""https://docs.google.com/spreadsheets/d/1C3CXT74ZlgGe6_JY_1olB1XN4rF0dxEuIIF-xsYjHgg/edit?usp=sharing"",""พรบ!AS25"")"),90)</f>
        <v>90</v>
      </c>
      <c r="J138" s="68">
        <v>0</v>
      </c>
      <c r="K138" s="49">
        <f ca="1">IF(I138&gt;0,J138*100/I138,0)</f>
        <v>0</v>
      </c>
      <c r="L138" s="395">
        <v>54000</v>
      </c>
      <c r="M138" s="396">
        <v>0</v>
      </c>
      <c r="N138" s="53">
        <f t="shared" si="34"/>
        <v>0</v>
      </c>
    </row>
    <row r="139" spans="1:14" ht="21.75" customHeight="1" x14ac:dyDescent="0.4">
      <c r="A139" s="55"/>
      <c r="B139" s="56"/>
      <c r="C139" s="56"/>
      <c r="D139" s="73"/>
      <c r="E139" s="77"/>
      <c r="F139" s="74" t="s">
        <v>34</v>
      </c>
      <c r="G139" s="76"/>
      <c r="H139" s="60"/>
      <c r="I139" s="67"/>
      <c r="J139" s="67"/>
      <c r="K139" s="49"/>
      <c r="L139" s="395">
        <v>44300</v>
      </c>
      <c r="M139" s="396">
        <v>0</v>
      </c>
      <c r="N139" s="53">
        <f t="shared" si="34"/>
        <v>0</v>
      </c>
    </row>
    <row r="140" spans="1:14" ht="21.75" customHeight="1" x14ac:dyDescent="0.4">
      <c r="A140" s="55"/>
      <c r="B140" s="56"/>
      <c r="C140" s="56"/>
      <c r="D140" s="73"/>
      <c r="E140" s="77"/>
      <c r="F140" s="75"/>
      <c r="G140" s="99" t="s">
        <v>76</v>
      </c>
      <c r="H140" s="60" t="s">
        <v>16</v>
      </c>
      <c r="I140" s="67">
        <f ca="1">IFERROR(__xludf.DUMMYFUNCTION("IMPORTRANGE(""https://docs.google.com/spreadsheets/d/1C3CXT74ZlgGe6_JY_1olB1XN4rF0dxEuIIF-xsYjHgg/edit?usp=sharing"",""พรบ!AT25"")"),90)</f>
        <v>90</v>
      </c>
      <c r="J140" s="68">
        <v>0</v>
      </c>
      <c r="K140" s="49">
        <f t="shared" ref="K140:K141" ca="1" si="35">IF(I140&gt;0,J140*100/I140,0)</f>
        <v>0</v>
      </c>
      <c r="L140" s="53">
        <f ca="1">IFERROR(__xludf.DUMMYFUNCTION("IMPORTRANGE(""https://docs.google.com/spreadsheets/d/1C3CXT74ZlgGe6_JY_1olB1XN4rF0dxEuIIF-xsYjHgg/edit?usp=sharing"",""กปร!I25"")"),95000)</f>
        <v>95000</v>
      </c>
      <c r="M140" s="359">
        <v>0</v>
      </c>
      <c r="N140" s="53">
        <f t="shared" ca="1" si="34"/>
        <v>0</v>
      </c>
    </row>
    <row r="141" spans="1:14" ht="21.75" customHeight="1" x14ac:dyDescent="0.4">
      <c r="A141" s="55"/>
      <c r="B141" s="56"/>
      <c r="C141" s="56"/>
      <c r="D141" s="73"/>
      <c r="E141" s="77"/>
      <c r="F141" s="75"/>
      <c r="G141" s="99" t="s">
        <v>77</v>
      </c>
      <c r="H141" s="60" t="s">
        <v>40</v>
      </c>
      <c r="I141" s="67">
        <f ca="1">IFERROR(__xludf.DUMMYFUNCTION("IMPORTRANGE(""https://docs.google.com/spreadsheets/d/1C3CXT74ZlgGe6_JY_1olB1XN4rF0dxEuIIF-xsYjHgg/edit?usp=sharing"",""พรบ!AU25"")"),0)</f>
        <v>0</v>
      </c>
      <c r="J141" s="68">
        <v>0</v>
      </c>
      <c r="K141" s="49">
        <f t="shared" ca="1" si="35"/>
        <v>0</v>
      </c>
      <c r="L141" s="53">
        <f ca="1">IFERROR(__xludf.DUMMYFUNCTION("IMPORTRANGE(""https://docs.google.com/spreadsheets/d/1C3CXT74ZlgGe6_JY_1olB1XN4rF0dxEuIIF-xsYjHgg/edit?usp=sharing"",""กปร!J25"")"),40000)</f>
        <v>40000</v>
      </c>
      <c r="M141" s="359">
        <v>0</v>
      </c>
      <c r="N141" s="53">
        <f t="shared" ca="1" si="34"/>
        <v>0</v>
      </c>
    </row>
    <row r="142" spans="1:14" ht="21.75" customHeight="1" x14ac:dyDescent="0.4">
      <c r="A142" s="55"/>
      <c r="B142" s="56"/>
      <c r="C142" s="56"/>
      <c r="D142" s="73"/>
      <c r="E142" s="74" t="s">
        <v>35</v>
      </c>
      <c r="F142" s="75"/>
      <c r="G142" s="76"/>
      <c r="H142" s="66"/>
      <c r="I142" s="67"/>
      <c r="J142" s="68">
        <v>0</v>
      </c>
      <c r="K142" s="49"/>
      <c r="L142" s="61"/>
      <c r="M142" s="61"/>
      <c r="N142" s="61"/>
    </row>
    <row r="143" spans="1:14" ht="21.75" customHeight="1" x14ac:dyDescent="0.4">
      <c r="A143" s="105"/>
      <c r="B143" s="106"/>
      <c r="C143" s="106"/>
      <c r="D143" s="107">
        <v>3</v>
      </c>
      <c r="E143" s="108" t="s">
        <v>36</v>
      </c>
      <c r="F143" s="109"/>
      <c r="G143" s="110"/>
      <c r="H143" s="111"/>
      <c r="I143" s="112"/>
      <c r="J143" s="113">
        <v>0</v>
      </c>
      <c r="K143" s="114"/>
      <c r="L143" s="115"/>
      <c r="M143" s="115"/>
      <c r="N143" s="115"/>
    </row>
    <row r="144" spans="1:14" ht="21.75" customHeight="1" x14ac:dyDescent="0.4">
      <c r="A144" s="132"/>
      <c r="B144" s="133" t="s">
        <v>78</v>
      </c>
      <c r="C144" s="134"/>
      <c r="D144" s="133"/>
      <c r="E144" s="133"/>
      <c r="F144" s="133"/>
      <c r="G144" s="135"/>
      <c r="H144" s="136" t="s">
        <v>16</v>
      </c>
      <c r="I144" s="137">
        <f t="shared" ref="I144:J144" ca="1" si="36">+I149+I158</f>
        <v>15</v>
      </c>
      <c r="J144" s="137">
        <f t="shared" si="36"/>
        <v>15</v>
      </c>
      <c r="K144" s="138">
        <f ca="1">IF(I144&gt;0,J144*100/I144,0)</f>
        <v>100</v>
      </c>
      <c r="L144" s="139">
        <f ca="1">L145+L146</f>
        <v>21125</v>
      </c>
      <c r="M144" s="139">
        <f>SUM(M145:M146)</f>
        <v>19076</v>
      </c>
      <c r="N144" s="138">
        <f ca="1">IF(L144&gt;0,M144*100/L144,0)</f>
        <v>90.300591715976324</v>
      </c>
    </row>
    <row r="145" spans="1:14" ht="21.75" customHeight="1" x14ac:dyDescent="0.4">
      <c r="A145" s="42"/>
      <c r="B145" s="43"/>
      <c r="C145" s="43" t="s">
        <v>17</v>
      </c>
      <c r="D145" s="44" t="s">
        <v>18</v>
      </c>
      <c r="E145" s="45"/>
      <c r="F145" s="45"/>
      <c r="G145" s="46" t="s">
        <v>19</v>
      </c>
      <c r="H145" s="47" t="s">
        <v>20</v>
      </c>
      <c r="I145" s="48" t="s">
        <v>21</v>
      </c>
      <c r="J145" s="48"/>
      <c r="K145" s="49"/>
      <c r="L145" s="50">
        <v>0</v>
      </c>
      <c r="M145" s="50">
        <v>0</v>
      </c>
      <c r="N145" s="50">
        <f t="shared" ref="N145:N148" si="37">+IF(L145&gt;0,M145*100/L145,0)</f>
        <v>0</v>
      </c>
    </row>
    <row r="146" spans="1:14" ht="21.75" customHeight="1" x14ac:dyDescent="0.4">
      <c r="A146" s="42"/>
      <c r="B146" s="43"/>
      <c r="C146" s="43"/>
      <c r="D146" s="51"/>
      <c r="E146" s="45"/>
      <c r="F146" s="45" t="s">
        <v>21</v>
      </c>
      <c r="G146" s="46" t="s">
        <v>22</v>
      </c>
      <c r="H146" s="47" t="s">
        <v>20</v>
      </c>
      <c r="I146" s="48"/>
      <c r="J146" s="48"/>
      <c r="K146" s="49"/>
      <c r="L146" s="50">
        <f t="shared" ref="L146:M146" ca="1" si="38">SUM(L147:L148)</f>
        <v>21125</v>
      </c>
      <c r="M146" s="50">
        <f t="shared" si="38"/>
        <v>19076</v>
      </c>
      <c r="N146" s="50">
        <f t="shared" ca="1" si="37"/>
        <v>90.300591715976324</v>
      </c>
    </row>
    <row r="147" spans="1:14" ht="21.75" customHeight="1" x14ac:dyDescent="0.4">
      <c r="A147" s="42"/>
      <c r="B147" s="43"/>
      <c r="C147" s="43"/>
      <c r="D147" s="51"/>
      <c r="E147" s="45"/>
      <c r="F147" s="45"/>
      <c r="G147" s="52" t="s">
        <v>23</v>
      </c>
      <c r="H147" s="47" t="s">
        <v>20</v>
      </c>
      <c r="I147" s="48"/>
      <c r="J147" s="48"/>
      <c r="K147" s="49"/>
      <c r="L147" s="53">
        <v>0</v>
      </c>
      <c r="M147" s="53">
        <v>0</v>
      </c>
      <c r="N147" s="53">
        <f t="shared" si="37"/>
        <v>0</v>
      </c>
    </row>
    <row r="148" spans="1:14" ht="21.75" customHeight="1" x14ac:dyDescent="0.4">
      <c r="A148" s="42"/>
      <c r="B148" s="43"/>
      <c r="C148" s="43"/>
      <c r="D148" s="51"/>
      <c r="E148" s="45"/>
      <c r="F148" s="45"/>
      <c r="G148" s="52" t="s">
        <v>24</v>
      </c>
      <c r="H148" s="47" t="s">
        <v>20</v>
      </c>
      <c r="I148" s="48"/>
      <c r="J148" s="48"/>
      <c r="K148" s="49"/>
      <c r="L148" s="53">
        <f ca="1">IFERROR(__xludf.DUMMYFUNCTION("IMPORTRANGE(""https://docs.google.com/spreadsheets/d/1C3CXT74ZlgGe6_JY_1olB1XN4rF0dxEuIIF-xsYjHgg/edit?usp=sharing"",""พรบ!AY25"")"),21125)</f>
        <v>21125</v>
      </c>
      <c r="M148" s="54">
        <v>19076</v>
      </c>
      <c r="N148" s="53">
        <f t="shared" ca="1" si="37"/>
        <v>90.300591715976324</v>
      </c>
    </row>
    <row r="149" spans="1:14" ht="21.75" customHeight="1" x14ac:dyDescent="0.4">
      <c r="A149" s="55"/>
      <c r="B149" s="155"/>
      <c r="C149" s="134" t="s">
        <v>79</v>
      </c>
      <c r="D149" s="133"/>
      <c r="E149" s="133"/>
      <c r="F149" s="133"/>
      <c r="G149" s="135"/>
      <c r="H149" s="136" t="s">
        <v>16</v>
      </c>
      <c r="I149" s="137">
        <f ca="1">I155</f>
        <v>15</v>
      </c>
      <c r="J149" s="137">
        <f>+J155</f>
        <v>15</v>
      </c>
      <c r="K149" s="138">
        <f ca="1">IF(I149&gt;0,J149*100/I149,0)</f>
        <v>100</v>
      </c>
      <c r="L149" s="140"/>
      <c r="M149" s="140"/>
      <c r="N149" s="140"/>
    </row>
    <row r="150" spans="1:14" ht="21.75" customHeight="1" x14ac:dyDescent="0.4">
      <c r="A150" s="55"/>
      <c r="B150" s="56"/>
      <c r="C150" s="43" t="s">
        <v>17</v>
      </c>
      <c r="D150" s="57" t="s">
        <v>25</v>
      </c>
      <c r="E150" s="58"/>
      <c r="F150" s="58"/>
      <c r="G150" s="59"/>
      <c r="H150" s="60"/>
      <c r="I150" s="48"/>
      <c r="J150" s="48"/>
      <c r="K150" s="49"/>
      <c r="L150" s="61"/>
      <c r="M150" s="61"/>
      <c r="N150" s="61"/>
    </row>
    <row r="151" spans="1:14" ht="21.75" customHeight="1" x14ac:dyDescent="0.4">
      <c r="A151" s="55"/>
      <c r="B151" s="56"/>
      <c r="C151" s="56"/>
      <c r="D151" s="62">
        <v>1</v>
      </c>
      <c r="E151" s="63" t="s">
        <v>26</v>
      </c>
      <c r="F151" s="64"/>
      <c r="G151" s="65"/>
      <c r="H151" s="66"/>
      <c r="I151" s="67"/>
      <c r="J151" s="68">
        <v>0</v>
      </c>
      <c r="K151" s="49"/>
      <c r="L151" s="61"/>
      <c r="M151" s="61"/>
      <c r="N151" s="61"/>
    </row>
    <row r="152" spans="1:14" ht="21.75" customHeight="1" x14ac:dyDescent="0.4">
      <c r="A152" s="55"/>
      <c r="B152" s="56"/>
      <c r="C152" s="56"/>
      <c r="D152" s="69">
        <v>2</v>
      </c>
      <c r="E152" s="70" t="s">
        <v>27</v>
      </c>
      <c r="F152" s="71"/>
      <c r="G152" s="72"/>
      <c r="H152" s="66"/>
      <c r="I152" s="67"/>
      <c r="J152" s="68">
        <v>1</v>
      </c>
      <c r="K152" s="49"/>
      <c r="L152" s="61" t="s">
        <v>21</v>
      </c>
      <c r="M152" s="61" t="s">
        <v>21</v>
      </c>
      <c r="N152" s="61"/>
    </row>
    <row r="153" spans="1:14" ht="21.75" customHeight="1" x14ac:dyDescent="0.4">
      <c r="A153" s="55"/>
      <c r="B153" s="56"/>
      <c r="C153" s="56"/>
      <c r="D153" s="73"/>
      <c r="E153" s="74" t="s">
        <v>28</v>
      </c>
      <c r="F153" s="75"/>
      <c r="G153" s="76"/>
      <c r="H153" s="66"/>
      <c r="I153" s="67"/>
      <c r="J153" s="68">
        <v>1</v>
      </c>
      <c r="K153" s="49"/>
      <c r="L153" s="61"/>
      <c r="M153" s="61"/>
      <c r="N153" s="61"/>
    </row>
    <row r="154" spans="1:14" ht="21.75" customHeight="1" x14ac:dyDescent="0.4">
      <c r="A154" s="55"/>
      <c r="B154" s="56"/>
      <c r="C154" s="56"/>
      <c r="D154" s="73"/>
      <c r="E154" s="74" t="s">
        <v>29</v>
      </c>
      <c r="F154" s="75"/>
      <c r="G154" s="76"/>
      <c r="H154" s="66"/>
      <c r="I154" s="67"/>
      <c r="J154" s="68">
        <v>1</v>
      </c>
      <c r="K154" s="49"/>
      <c r="L154" s="61"/>
      <c r="M154" s="61"/>
      <c r="N154" s="61"/>
    </row>
    <row r="155" spans="1:14" ht="21.75" customHeight="1" x14ac:dyDescent="0.4">
      <c r="A155" s="55"/>
      <c r="B155" s="56"/>
      <c r="C155" s="56"/>
      <c r="D155" s="73"/>
      <c r="E155" s="77"/>
      <c r="F155" s="75"/>
      <c r="G155" s="99" t="s">
        <v>50</v>
      </c>
      <c r="H155" s="66" t="s">
        <v>16</v>
      </c>
      <c r="I155" s="67">
        <f ca="1">IFERROR(__xludf.DUMMYFUNCTION("IMPORTRANGE(""https://docs.google.com/spreadsheets/d/1C3CXT74ZlgGe6_JY_1olB1XN4rF0dxEuIIF-xsYjHgg/edit?usp=sharing"",""พรบ!BA25"")"),15)</f>
        <v>15</v>
      </c>
      <c r="J155" s="68">
        <v>15</v>
      </c>
      <c r="K155" s="49">
        <f ca="1">IF(I155&gt;0,J155*100/I155,0)</f>
        <v>100</v>
      </c>
      <c r="L155" s="61"/>
      <c r="M155" s="61"/>
      <c r="N155" s="61"/>
    </row>
    <row r="156" spans="1:14" ht="21.75" customHeight="1" x14ac:dyDescent="0.4">
      <c r="A156" s="55"/>
      <c r="B156" s="56"/>
      <c r="C156" s="56"/>
      <c r="D156" s="73"/>
      <c r="E156" s="74" t="s">
        <v>35</v>
      </c>
      <c r="F156" s="75"/>
      <c r="G156" s="76"/>
      <c r="H156" s="66"/>
      <c r="I156" s="67"/>
      <c r="J156" s="68">
        <v>0</v>
      </c>
      <c r="K156" s="49"/>
      <c r="L156" s="61"/>
      <c r="M156" s="61"/>
      <c r="N156" s="61"/>
    </row>
    <row r="157" spans="1:14" ht="21.75" customHeight="1" x14ac:dyDescent="0.4">
      <c r="A157" s="55"/>
      <c r="B157" s="56"/>
      <c r="C157" s="56"/>
      <c r="D157" s="81">
        <v>3</v>
      </c>
      <c r="E157" s="82" t="s">
        <v>36</v>
      </c>
      <c r="F157" s="83"/>
      <c r="G157" s="84"/>
      <c r="H157" s="66"/>
      <c r="I157" s="67"/>
      <c r="J157" s="85">
        <v>0</v>
      </c>
      <c r="K157" s="49"/>
      <c r="L157" s="61"/>
      <c r="M157" s="61"/>
      <c r="N157" s="61"/>
    </row>
    <row r="158" spans="1:14" ht="21.75" customHeight="1" x14ac:dyDescent="0.4">
      <c r="A158" s="55"/>
      <c r="B158" s="56"/>
      <c r="C158" s="134" t="s">
        <v>81</v>
      </c>
      <c r="D158" s="156"/>
      <c r="E158" s="133"/>
      <c r="F158" s="133"/>
      <c r="G158" s="135"/>
      <c r="H158" s="136" t="s">
        <v>16</v>
      </c>
      <c r="I158" s="137">
        <f>I164</f>
        <v>0</v>
      </c>
      <c r="J158" s="137">
        <f>+J164</f>
        <v>0</v>
      </c>
      <c r="K158" s="138">
        <f>IF(I158&gt;0,J158*100/I158,0)</f>
        <v>0</v>
      </c>
      <c r="L158" s="61"/>
      <c r="M158" s="61"/>
      <c r="N158" s="61"/>
    </row>
    <row r="159" spans="1:14" ht="21.75" customHeight="1" x14ac:dyDescent="0.4">
      <c r="A159" s="55"/>
      <c r="B159" s="56"/>
      <c r="C159" s="43" t="s">
        <v>17</v>
      </c>
      <c r="D159" s="57" t="s">
        <v>25</v>
      </c>
      <c r="E159" s="58"/>
      <c r="F159" s="58"/>
      <c r="G159" s="59"/>
      <c r="H159" s="60"/>
      <c r="I159" s="48"/>
      <c r="J159" s="48"/>
      <c r="K159" s="49"/>
      <c r="L159" s="61"/>
      <c r="M159" s="61"/>
      <c r="N159" s="61"/>
    </row>
    <row r="160" spans="1:14" ht="21.75" customHeight="1" x14ac:dyDescent="0.4">
      <c r="A160" s="55"/>
      <c r="B160" s="56"/>
      <c r="C160" s="56"/>
      <c r="D160" s="62">
        <v>1</v>
      </c>
      <c r="E160" s="63" t="s">
        <v>26</v>
      </c>
      <c r="F160" s="64"/>
      <c r="G160" s="65"/>
      <c r="H160" s="66"/>
      <c r="I160" s="67"/>
      <c r="J160" s="67">
        <v>0</v>
      </c>
      <c r="K160" s="49"/>
      <c r="L160" s="61"/>
      <c r="M160" s="61"/>
      <c r="N160" s="61"/>
    </row>
    <row r="161" spans="1:14" ht="21.75" customHeight="1" x14ac:dyDescent="0.4">
      <c r="A161" s="55"/>
      <c r="B161" s="56"/>
      <c r="C161" s="56"/>
      <c r="D161" s="69">
        <v>2</v>
      </c>
      <c r="E161" s="70" t="s">
        <v>27</v>
      </c>
      <c r="F161" s="71"/>
      <c r="G161" s="72"/>
      <c r="H161" s="66"/>
      <c r="I161" s="67"/>
      <c r="J161" s="67">
        <v>0</v>
      </c>
      <c r="K161" s="49"/>
      <c r="L161" s="61" t="s">
        <v>21</v>
      </c>
      <c r="M161" s="61" t="s">
        <v>21</v>
      </c>
      <c r="N161" s="61"/>
    </row>
    <row r="162" spans="1:14" ht="21.75" customHeight="1" x14ac:dyDescent="0.4">
      <c r="A162" s="55"/>
      <c r="B162" s="56"/>
      <c r="C162" s="56"/>
      <c r="D162" s="73"/>
      <c r="E162" s="74" t="s">
        <v>28</v>
      </c>
      <c r="F162" s="75"/>
      <c r="G162" s="76"/>
      <c r="H162" s="66"/>
      <c r="I162" s="67"/>
      <c r="J162" s="67">
        <v>0</v>
      </c>
      <c r="K162" s="49"/>
      <c r="L162" s="61"/>
      <c r="M162" s="61"/>
      <c r="N162" s="61"/>
    </row>
    <row r="163" spans="1:14" ht="21.75" customHeight="1" x14ac:dyDescent="0.4">
      <c r="A163" s="55"/>
      <c r="B163" s="56"/>
      <c r="C163" s="56"/>
      <c r="D163" s="73"/>
      <c r="E163" s="74" t="s">
        <v>29</v>
      </c>
      <c r="F163" s="75"/>
      <c r="G163" s="76"/>
      <c r="H163" s="66"/>
      <c r="I163" s="67"/>
      <c r="J163" s="67">
        <v>0</v>
      </c>
      <c r="K163" s="49"/>
      <c r="L163" s="61"/>
      <c r="M163" s="61"/>
      <c r="N163" s="61"/>
    </row>
    <row r="164" spans="1:14" ht="21.75" customHeight="1" x14ac:dyDescent="0.4">
      <c r="A164" s="55"/>
      <c r="B164" s="56"/>
      <c r="C164" s="56"/>
      <c r="D164" s="73"/>
      <c r="E164" s="75"/>
      <c r="F164" s="74" t="s">
        <v>82</v>
      </c>
      <c r="G164" s="75"/>
      <c r="H164" s="66" t="s">
        <v>16</v>
      </c>
      <c r="I164" s="67">
        <v>0</v>
      </c>
      <c r="J164" s="67">
        <v>0</v>
      </c>
      <c r="K164" s="49">
        <f>IF(I164&gt;0,J164*100/I164,0)</f>
        <v>0</v>
      </c>
      <c r="L164" s="61"/>
      <c r="M164" s="61"/>
      <c r="N164" s="61"/>
    </row>
    <row r="165" spans="1:14" ht="21.75" customHeight="1" x14ac:dyDescent="0.4">
      <c r="A165" s="55"/>
      <c r="B165" s="56"/>
      <c r="C165" s="56"/>
      <c r="D165" s="73"/>
      <c r="E165" s="74" t="s">
        <v>35</v>
      </c>
      <c r="F165" s="75"/>
      <c r="G165" s="76"/>
      <c r="H165" s="66"/>
      <c r="I165" s="67"/>
      <c r="J165" s="67">
        <v>0</v>
      </c>
      <c r="K165" s="49"/>
      <c r="L165" s="61"/>
      <c r="M165" s="61"/>
      <c r="N165" s="61"/>
    </row>
    <row r="166" spans="1:14" ht="21.75" customHeight="1" x14ac:dyDescent="0.4">
      <c r="A166" s="105"/>
      <c r="B166" s="106"/>
      <c r="C166" s="106"/>
      <c r="D166" s="107">
        <v>3</v>
      </c>
      <c r="E166" s="108" t="s">
        <v>36</v>
      </c>
      <c r="F166" s="109"/>
      <c r="G166" s="110"/>
      <c r="H166" s="111"/>
      <c r="I166" s="112"/>
      <c r="J166" s="356">
        <v>0</v>
      </c>
      <c r="K166" s="114"/>
      <c r="L166" s="115"/>
      <c r="M166" s="115"/>
      <c r="N166" s="115"/>
    </row>
    <row r="167" spans="1:14" ht="21.75" customHeight="1" x14ac:dyDescent="0.4">
      <c r="A167" s="157" t="s">
        <v>83</v>
      </c>
      <c r="B167" s="158"/>
      <c r="C167" s="158"/>
      <c r="D167" s="158"/>
      <c r="E167" s="159"/>
      <c r="F167" s="159"/>
      <c r="G167" s="160"/>
      <c r="H167" s="161"/>
      <c r="I167" s="162"/>
      <c r="J167" s="162"/>
      <c r="K167" s="163"/>
      <c r="L167" s="164"/>
      <c r="M167" s="164"/>
      <c r="N167" s="165"/>
    </row>
    <row r="168" spans="1:14" ht="21.75" customHeight="1" x14ac:dyDescent="0.4">
      <c r="A168" s="166" t="s">
        <v>84</v>
      </c>
      <c r="B168" s="167"/>
      <c r="C168" s="167"/>
      <c r="D168" s="168"/>
      <c r="E168" s="168"/>
      <c r="F168" s="168"/>
      <c r="G168" s="169"/>
      <c r="H168" s="170"/>
      <c r="I168" s="171"/>
      <c r="J168" s="171"/>
      <c r="K168" s="172"/>
      <c r="L168" s="172"/>
      <c r="M168" s="172"/>
      <c r="N168" s="173"/>
    </row>
    <row r="169" spans="1:14" ht="21.75" customHeight="1" x14ac:dyDescent="0.4">
      <c r="A169" s="174"/>
      <c r="B169" s="175" t="s">
        <v>85</v>
      </c>
      <c r="C169" s="175"/>
      <c r="D169" s="175"/>
      <c r="E169" s="175"/>
      <c r="F169" s="175"/>
      <c r="G169" s="176"/>
      <c r="H169" s="177" t="s">
        <v>16</v>
      </c>
      <c r="I169" s="178">
        <f ca="1">I180</f>
        <v>0</v>
      </c>
      <c r="J169" s="178">
        <f>+J180</f>
        <v>0</v>
      </c>
      <c r="K169" s="179">
        <f ca="1">IF(I169&gt;0,J169*100/I169,0)</f>
        <v>0</v>
      </c>
      <c r="L169" s="180">
        <f ca="1">L170+L171</f>
        <v>0</v>
      </c>
      <c r="M169" s="180">
        <f>SUM(M170:M171)</f>
        <v>0</v>
      </c>
      <c r="N169" s="179">
        <f ca="1">IF(L169&gt;0,M169*100/L169,0)</f>
        <v>0</v>
      </c>
    </row>
    <row r="170" spans="1:14" ht="21.75" customHeight="1" x14ac:dyDescent="0.4">
      <c r="A170" s="42"/>
      <c r="B170" s="43"/>
      <c r="C170" s="43" t="s">
        <v>17</v>
      </c>
      <c r="D170" s="44" t="s">
        <v>18</v>
      </c>
      <c r="E170" s="45"/>
      <c r="F170" s="45"/>
      <c r="G170" s="46" t="s">
        <v>19</v>
      </c>
      <c r="H170" s="47" t="s">
        <v>20</v>
      </c>
      <c r="I170" s="48" t="s">
        <v>21</v>
      </c>
      <c r="J170" s="48"/>
      <c r="K170" s="49"/>
      <c r="L170" s="50">
        <v>0</v>
      </c>
      <c r="M170" s="50">
        <v>0</v>
      </c>
      <c r="N170" s="50">
        <f t="shared" ref="N170:N173" si="39">+IF(L170&gt;0,M170*100/L170,0)</f>
        <v>0</v>
      </c>
    </row>
    <row r="171" spans="1:14" ht="21.75" customHeight="1" x14ac:dyDescent="0.4">
      <c r="A171" s="42"/>
      <c r="B171" s="43"/>
      <c r="C171" s="43"/>
      <c r="D171" s="51"/>
      <c r="E171" s="45"/>
      <c r="F171" s="45" t="s">
        <v>21</v>
      </c>
      <c r="G171" s="46" t="s">
        <v>22</v>
      </c>
      <c r="H171" s="47" t="s">
        <v>20</v>
      </c>
      <c r="I171" s="48"/>
      <c r="J171" s="67"/>
      <c r="K171" s="233"/>
      <c r="L171" s="50">
        <f t="shared" ref="L171:M171" ca="1" si="40">SUM(L172:L173)</f>
        <v>0</v>
      </c>
      <c r="M171" s="50">
        <f t="shared" si="40"/>
        <v>0</v>
      </c>
      <c r="N171" s="50">
        <f t="shared" ca="1" si="39"/>
        <v>0</v>
      </c>
    </row>
    <row r="172" spans="1:14" ht="21.75" customHeight="1" x14ac:dyDescent="0.4">
      <c r="A172" s="42"/>
      <c r="B172" s="43"/>
      <c r="C172" s="43"/>
      <c r="D172" s="51"/>
      <c r="E172" s="45"/>
      <c r="F172" s="45"/>
      <c r="G172" s="52" t="s">
        <v>23</v>
      </c>
      <c r="H172" s="47" t="s">
        <v>20</v>
      </c>
      <c r="I172" s="48"/>
      <c r="J172" s="67"/>
      <c r="K172" s="233"/>
      <c r="L172" s="53">
        <f ca="1">IFERROR(__xludf.DUMMYFUNCTION("IMPORTRANGE(""https://docs.google.com/spreadsheets/d/1C3CXT74ZlgGe6_JY_1olB1XN4rF0dxEuIIF-xsYjHgg/edit?usp=sharing"",""พรบ!BD25"")"),0)</f>
        <v>0</v>
      </c>
      <c r="M172" s="53">
        <v>0</v>
      </c>
      <c r="N172" s="53">
        <f t="shared" ca="1" si="39"/>
        <v>0</v>
      </c>
    </row>
    <row r="173" spans="1:14" ht="21.75" customHeight="1" x14ac:dyDescent="0.4">
      <c r="A173" s="42"/>
      <c r="B173" s="43"/>
      <c r="C173" s="43"/>
      <c r="D173" s="51"/>
      <c r="E173" s="45"/>
      <c r="F173" s="45"/>
      <c r="G173" s="52" t="s">
        <v>24</v>
      </c>
      <c r="H173" s="47" t="s">
        <v>20</v>
      </c>
      <c r="I173" s="48"/>
      <c r="J173" s="67"/>
      <c r="K173" s="233"/>
      <c r="L173" s="53">
        <f ca="1">IFERROR(__xludf.DUMMYFUNCTION("IMPORTRANGE(""https://docs.google.com/spreadsheets/d/1C3CXT74ZlgGe6_JY_1olB1XN4rF0dxEuIIF-xsYjHgg/edit?usp=sharing"",""พรบ!BE25"")"),0)</f>
        <v>0</v>
      </c>
      <c r="M173" s="53">
        <v>0</v>
      </c>
      <c r="N173" s="53">
        <f t="shared" ca="1" si="39"/>
        <v>0</v>
      </c>
    </row>
    <row r="174" spans="1:14" ht="21.75" customHeight="1" x14ac:dyDescent="0.4">
      <c r="A174" s="55"/>
      <c r="B174" s="56"/>
      <c r="C174" s="43" t="s">
        <v>17</v>
      </c>
      <c r="D174" s="57" t="s">
        <v>25</v>
      </c>
      <c r="E174" s="58"/>
      <c r="F174" s="58"/>
      <c r="G174" s="59"/>
      <c r="H174" s="60"/>
      <c r="I174" s="48"/>
      <c r="J174" s="67"/>
      <c r="K174" s="233"/>
      <c r="L174" s="53"/>
      <c r="M174" s="53"/>
      <c r="N174" s="61"/>
    </row>
    <row r="175" spans="1:14" ht="21.75" customHeight="1" x14ac:dyDescent="0.4">
      <c r="A175" s="55"/>
      <c r="B175" s="56"/>
      <c r="C175" s="56"/>
      <c r="D175" s="62">
        <v>1</v>
      </c>
      <c r="E175" s="63" t="s">
        <v>26</v>
      </c>
      <c r="F175" s="64"/>
      <c r="G175" s="65"/>
      <c r="H175" s="66"/>
      <c r="I175" s="67"/>
      <c r="J175" s="67">
        <v>0</v>
      </c>
      <c r="K175" s="233"/>
      <c r="L175" s="53"/>
      <c r="M175" s="53"/>
      <c r="N175" s="61"/>
    </row>
    <row r="176" spans="1:14" ht="21.75" customHeight="1" x14ac:dyDescent="0.4">
      <c r="A176" s="55"/>
      <c r="B176" s="56"/>
      <c r="C176" s="56"/>
      <c r="D176" s="69">
        <v>2</v>
      </c>
      <c r="E176" s="70" t="s">
        <v>27</v>
      </c>
      <c r="F176" s="71"/>
      <c r="G176" s="72"/>
      <c r="H176" s="66"/>
      <c r="I176" s="67"/>
      <c r="J176" s="67">
        <v>0</v>
      </c>
      <c r="K176" s="233"/>
      <c r="L176" s="53" t="s">
        <v>21</v>
      </c>
      <c r="M176" s="53" t="s">
        <v>21</v>
      </c>
      <c r="N176" s="61"/>
    </row>
    <row r="177" spans="1:14" ht="21.75" customHeight="1" x14ac:dyDescent="0.4">
      <c r="A177" s="55"/>
      <c r="B177" s="56"/>
      <c r="C177" s="56"/>
      <c r="D177" s="73"/>
      <c r="E177" s="74" t="s">
        <v>28</v>
      </c>
      <c r="F177" s="75"/>
      <c r="G177" s="76"/>
      <c r="H177" s="66"/>
      <c r="I177" s="67"/>
      <c r="J177" s="67">
        <v>0</v>
      </c>
      <c r="K177" s="233"/>
      <c r="L177" s="53"/>
      <c r="M177" s="53"/>
      <c r="N177" s="61"/>
    </row>
    <row r="178" spans="1:14" ht="21.75" customHeight="1" x14ac:dyDescent="0.4">
      <c r="A178" s="55"/>
      <c r="B178" s="56"/>
      <c r="C178" s="56"/>
      <c r="D178" s="73"/>
      <c r="E178" s="74" t="s">
        <v>29</v>
      </c>
      <c r="F178" s="75"/>
      <c r="G178" s="76"/>
      <c r="H178" s="66"/>
      <c r="I178" s="67"/>
      <c r="J178" s="67">
        <v>0</v>
      </c>
      <c r="K178" s="233"/>
      <c r="L178" s="53"/>
      <c r="M178" s="53"/>
      <c r="N178" s="61"/>
    </row>
    <row r="179" spans="1:14" ht="21.75" customHeight="1" x14ac:dyDescent="0.4">
      <c r="A179" s="55"/>
      <c r="B179" s="56"/>
      <c r="C179" s="56"/>
      <c r="D179" s="73"/>
      <c r="E179" s="77"/>
      <c r="F179" s="74" t="s">
        <v>86</v>
      </c>
      <c r="G179" s="76"/>
      <c r="H179" s="60" t="s">
        <v>40</v>
      </c>
      <c r="I179" s="67">
        <f ca="1">IFERROR(__xludf.DUMMYFUNCTION("IMPORTRANGE(""https://docs.google.com/spreadsheets/d/1C3CXT74ZlgGe6_JY_1olB1XN4rF0dxEuIIF-xsYjHgg/edit?usp=sharing"",""พรบ!BF25"")"),0)</f>
        <v>0</v>
      </c>
      <c r="J179" s="67">
        <v>0</v>
      </c>
      <c r="K179" s="233">
        <f t="shared" ref="K179:K182" ca="1" si="41">IF(I179&gt;0,J179*100/I179,0)</f>
        <v>0</v>
      </c>
      <c r="L179" s="53"/>
      <c r="M179" s="53"/>
      <c r="N179" s="61"/>
    </row>
    <row r="180" spans="1:14" ht="21.75" customHeight="1" x14ac:dyDescent="0.4">
      <c r="A180" s="55"/>
      <c r="B180" s="56"/>
      <c r="C180" s="56"/>
      <c r="D180" s="73"/>
      <c r="E180" s="77"/>
      <c r="F180" s="74" t="s">
        <v>87</v>
      </c>
      <c r="G180" s="76"/>
      <c r="H180" s="60" t="s">
        <v>16</v>
      </c>
      <c r="I180" s="67">
        <f ca="1">IFERROR(__xludf.DUMMYFUNCTION("IMPORTRANGE(""https://docs.google.com/spreadsheets/d/1C3CXT74ZlgGe6_JY_1olB1XN4rF0dxEuIIF-xsYjHgg/edit?usp=sharing"",""พรบ!BG25"")"),0)</f>
        <v>0</v>
      </c>
      <c r="J180" s="67">
        <v>0</v>
      </c>
      <c r="K180" s="233">
        <f t="shared" ca="1" si="41"/>
        <v>0</v>
      </c>
      <c r="L180" s="53"/>
      <c r="M180" s="53"/>
      <c r="N180" s="61"/>
    </row>
    <row r="181" spans="1:14" ht="21.75" customHeight="1" x14ac:dyDescent="0.4">
      <c r="A181" s="55"/>
      <c r="B181" s="56"/>
      <c r="C181" s="56"/>
      <c r="D181" s="73"/>
      <c r="E181" s="77"/>
      <c r="F181" s="74" t="s">
        <v>88</v>
      </c>
      <c r="G181" s="76"/>
      <c r="H181" s="60" t="s">
        <v>16</v>
      </c>
      <c r="I181" s="67">
        <f ca="1">IFERROR(__xludf.DUMMYFUNCTION("IMPORTRANGE(""https://docs.google.com/spreadsheets/d/1C3CXT74ZlgGe6_JY_1olB1XN4rF0dxEuIIF-xsYjHgg/edit?usp=sharing"",""พรบ!BH25"")"),0)</f>
        <v>0</v>
      </c>
      <c r="J181" s="67">
        <v>0</v>
      </c>
      <c r="K181" s="233">
        <f t="shared" ca="1" si="41"/>
        <v>0</v>
      </c>
      <c r="L181" s="53"/>
      <c r="M181" s="53"/>
      <c r="N181" s="61"/>
    </row>
    <row r="182" spans="1:14" ht="21.75" customHeight="1" x14ac:dyDescent="0.4">
      <c r="A182" s="55"/>
      <c r="B182" s="56"/>
      <c r="C182" s="56"/>
      <c r="D182" s="73"/>
      <c r="E182" s="77"/>
      <c r="F182" s="74" t="s">
        <v>89</v>
      </c>
      <c r="G182" s="76"/>
      <c r="H182" s="60" t="s">
        <v>16</v>
      </c>
      <c r="I182" s="67">
        <f ca="1">IFERROR(__xludf.DUMMYFUNCTION("IMPORTRANGE(""https://docs.google.com/spreadsheets/d/1C3CXT74ZlgGe6_JY_1olB1XN4rF0dxEuIIF-xsYjHgg/edit?usp=sharing"",""พรบ!BI25"")"),0)</f>
        <v>0</v>
      </c>
      <c r="J182" s="67">
        <v>0</v>
      </c>
      <c r="K182" s="233">
        <f t="shared" ca="1" si="41"/>
        <v>0</v>
      </c>
      <c r="L182" s="53"/>
      <c r="M182" s="53"/>
      <c r="N182" s="61"/>
    </row>
    <row r="183" spans="1:14" ht="21.75" customHeight="1" x14ac:dyDescent="0.4">
      <c r="A183" s="55"/>
      <c r="B183" s="56"/>
      <c r="C183" s="56"/>
      <c r="D183" s="73"/>
      <c r="E183" s="74" t="s">
        <v>35</v>
      </c>
      <c r="F183" s="75"/>
      <c r="G183" s="76"/>
      <c r="H183" s="66"/>
      <c r="I183" s="67"/>
      <c r="J183" s="67">
        <v>0</v>
      </c>
      <c r="K183" s="233"/>
      <c r="L183" s="53"/>
      <c r="M183" s="53"/>
      <c r="N183" s="61"/>
    </row>
    <row r="184" spans="1:14" ht="21.75" customHeight="1" x14ac:dyDescent="0.4">
      <c r="A184" s="105"/>
      <c r="B184" s="106"/>
      <c r="C184" s="106"/>
      <c r="D184" s="107">
        <v>3</v>
      </c>
      <c r="E184" s="108" t="s">
        <v>36</v>
      </c>
      <c r="F184" s="109"/>
      <c r="G184" s="110"/>
      <c r="H184" s="111"/>
      <c r="I184" s="112"/>
      <c r="J184" s="356">
        <v>0</v>
      </c>
      <c r="K184" s="357"/>
      <c r="L184" s="358"/>
      <c r="M184" s="358"/>
      <c r="N184" s="115"/>
    </row>
    <row r="185" spans="1:14" ht="21.75" customHeight="1" x14ac:dyDescent="0.4">
      <c r="A185" s="174"/>
      <c r="B185" s="175" t="s">
        <v>90</v>
      </c>
      <c r="C185" s="175"/>
      <c r="D185" s="175"/>
      <c r="E185" s="175"/>
      <c r="F185" s="175"/>
      <c r="G185" s="176"/>
      <c r="H185" s="177" t="s">
        <v>16</v>
      </c>
      <c r="I185" s="178">
        <f ca="1">I195</f>
        <v>15</v>
      </c>
      <c r="J185" s="178">
        <f>+J195</f>
        <v>0</v>
      </c>
      <c r="K185" s="179">
        <f ca="1">IF(I185&gt;0,J185*100/I185,0)</f>
        <v>0</v>
      </c>
      <c r="L185" s="180">
        <f ca="1">L186+L187</f>
        <v>55200</v>
      </c>
      <c r="M185" s="180">
        <f>SUM(M186:M187)</f>
        <v>1920</v>
      </c>
      <c r="N185" s="179">
        <f ca="1">IF(L185&gt;0,M185*100/L185,0)</f>
        <v>3.4782608695652173</v>
      </c>
    </row>
    <row r="186" spans="1:14" ht="21.75" customHeight="1" x14ac:dyDescent="0.4">
      <c r="A186" s="42"/>
      <c r="B186" s="43"/>
      <c r="C186" s="43" t="s">
        <v>17</v>
      </c>
      <c r="D186" s="44" t="s">
        <v>18</v>
      </c>
      <c r="E186" s="45"/>
      <c r="F186" s="45"/>
      <c r="G186" s="46" t="s">
        <v>19</v>
      </c>
      <c r="H186" s="47" t="s">
        <v>20</v>
      </c>
      <c r="I186" s="48" t="s">
        <v>21</v>
      </c>
      <c r="J186" s="48"/>
      <c r="K186" s="49"/>
      <c r="L186" s="50">
        <v>0</v>
      </c>
      <c r="M186" s="50">
        <v>0</v>
      </c>
      <c r="N186" s="50">
        <f t="shared" ref="N186:N189" si="42">+IF(L186&gt;0,M186*100/L186,0)</f>
        <v>0</v>
      </c>
    </row>
    <row r="187" spans="1:14" ht="21.75" customHeight="1" x14ac:dyDescent="0.4">
      <c r="A187" s="42"/>
      <c r="B187" s="43"/>
      <c r="C187" s="43"/>
      <c r="D187" s="51"/>
      <c r="E187" s="45"/>
      <c r="F187" s="45" t="s">
        <v>21</v>
      </c>
      <c r="G187" s="46" t="s">
        <v>22</v>
      </c>
      <c r="H187" s="47" t="s">
        <v>20</v>
      </c>
      <c r="I187" s="48"/>
      <c r="J187" s="48"/>
      <c r="K187" s="49"/>
      <c r="L187" s="50">
        <f t="shared" ref="L187:M187" ca="1" si="43">SUM(L188:L189)</f>
        <v>55200</v>
      </c>
      <c r="M187" s="50">
        <f t="shared" si="43"/>
        <v>1920</v>
      </c>
      <c r="N187" s="50">
        <f t="shared" ca="1" si="42"/>
        <v>3.4782608695652173</v>
      </c>
    </row>
    <row r="188" spans="1:14" ht="21.75" customHeight="1" x14ac:dyDescent="0.4">
      <c r="A188" s="42"/>
      <c r="B188" s="43"/>
      <c r="C188" s="43"/>
      <c r="D188" s="51"/>
      <c r="E188" s="45"/>
      <c r="F188" s="45"/>
      <c r="G188" s="52" t="s">
        <v>23</v>
      </c>
      <c r="H188" s="47" t="s">
        <v>20</v>
      </c>
      <c r="I188" s="48"/>
      <c r="J188" s="48"/>
      <c r="K188" s="49"/>
      <c r="L188" s="53">
        <f ca="1">IFERROR(__xludf.DUMMYFUNCTION("IMPORTRANGE(""https://docs.google.com/spreadsheets/d/1C3CXT74ZlgGe6_JY_1olB1XN4rF0dxEuIIF-xsYjHgg/edit?usp=sharing"",""พรบ!BK25"")"),0)</f>
        <v>0</v>
      </c>
      <c r="M188" s="53">
        <v>0</v>
      </c>
      <c r="N188" s="53">
        <f t="shared" ca="1" si="42"/>
        <v>0</v>
      </c>
    </row>
    <row r="189" spans="1:14" ht="21.75" customHeight="1" x14ac:dyDescent="0.4">
      <c r="A189" s="42"/>
      <c r="B189" s="43"/>
      <c r="C189" s="43"/>
      <c r="D189" s="51"/>
      <c r="E189" s="45"/>
      <c r="F189" s="45"/>
      <c r="G189" s="52" t="s">
        <v>24</v>
      </c>
      <c r="H189" s="47" t="s">
        <v>20</v>
      </c>
      <c r="I189" s="48"/>
      <c r="J189" s="48"/>
      <c r="K189" s="49"/>
      <c r="L189" s="53">
        <f ca="1">IFERROR(__xludf.DUMMYFUNCTION("IMPORTRANGE(""https://docs.google.com/spreadsheets/d/1C3CXT74ZlgGe6_JY_1olB1XN4rF0dxEuIIF-xsYjHgg/edit?usp=sharing"",""พรบ!BL25"")"),55200)</f>
        <v>55200</v>
      </c>
      <c r="M189" s="54">
        <v>1920</v>
      </c>
      <c r="N189" s="53">
        <f t="shared" ca="1" si="42"/>
        <v>3.4782608695652173</v>
      </c>
    </row>
    <row r="190" spans="1:14" ht="21.75" customHeight="1" x14ac:dyDescent="0.4">
      <c r="A190" s="55"/>
      <c r="B190" s="56"/>
      <c r="C190" s="43" t="s">
        <v>17</v>
      </c>
      <c r="D190" s="57" t="s">
        <v>25</v>
      </c>
      <c r="E190" s="58"/>
      <c r="F190" s="58"/>
      <c r="G190" s="59"/>
      <c r="H190" s="60"/>
      <c r="I190" s="48"/>
      <c r="J190" s="48"/>
      <c r="K190" s="49"/>
      <c r="L190" s="61"/>
      <c r="M190" s="61"/>
      <c r="N190" s="61"/>
    </row>
    <row r="191" spans="1:14" ht="21.75" customHeight="1" x14ac:dyDescent="0.4">
      <c r="A191" s="55"/>
      <c r="B191" s="56"/>
      <c r="C191" s="56"/>
      <c r="D191" s="62">
        <v>1</v>
      </c>
      <c r="E191" s="63" t="s">
        <v>26</v>
      </c>
      <c r="F191" s="64"/>
      <c r="G191" s="65"/>
      <c r="H191" s="66"/>
      <c r="I191" s="67"/>
      <c r="J191" s="68">
        <v>0</v>
      </c>
      <c r="K191" s="49"/>
      <c r="L191" s="61"/>
      <c r="M191" s="61"/>
      <c r="N191" s="61"/>
    </row>
    <row r="192" spans="1:14" ht="21.75" customHeight="1" x14ac:dyDescent="0.4">
      <c r="A192" s="55"/>
      <c r="B192" s="56"/>
      <c r="C192" s="56"/>
      <c r="D192" s="69">
        <v>2</v>
      </c>
      <c r="E192" s="70" t="s">
        <v>27</v>
      </c>
      <c r="F192" s="71"/>
      <c r="G192" s="72"/>
      <c r="H192" s="66"/>
      <c r="I192" s="67"/>
      <c r="J192" s="68">
        <v>1</v>
      </c>
      <c r="K192" s="49"/>
      <c r="L192" s="61"/>
      <c r="M192" s="61"/>
      <c r="N192" s="61"/>
    </row>
    <row r="193" spans="1:14" ht="21.75" customHeight="1" x14ac:dyDescent="0.4">
      <c r="A193" s="55"/>
      <c r="B193" s="56"/>
      <c r="C193" s="56"/>
      <c r="D193" s="73"/>
      <c r="E193" s="74" t="s">
        <v>28</v>
      </c>
      <c r="F193" s="75"/>
      <c r="G193" s="76"/>
      <c r="H193" s="66"/>
      <c r="I193" s="67"/>
      <c r="J193" s="68">
        <v>1</v>
      </c>
      <c r="K193" s="49"/>
      <c r="L193" s="61"/>
      <c r="M193" s="61"/>
      <c r="N193" s="61"/>
    </row>
    <row r="194" spans="1:14" ht="21.75" customHeight="1" x14ac:dyDescent="0.4">
      <c r="A194" s="55"/>
      <c r="B194" s="56"/>
      <c r="C194" s="56"/>
      <c r="D194" s="73"/>
      <c r="E194" s="74" t="s">
        <v>29</v>
      </c>
      <c r="F194" s="75"/>
      <c r="G194" s="76"/>
      <c r="H194" s="66"/>
      <c r="I194" s="67"/>
      <c r="J194" s="68">
        <v>0</v>
      </c>
      <c r="K194" s="49"/>
      <c r="L194" s="61"/>
      <c r="M194" s="61"/>
      <c r="N194" s="61"/>
    </row>
    <row r="195" spans="1:14" ht="21.75" customHeight="1" x14ac:dyDescent="0.4">
      <c r="A195" s="55"/>
      <c r="B195" s="56"/>
      <c r="C195" s="56"/>
      <c r="D195" s="73"/>
      <c r="E195" s="75"/>
      <c r="F195" s="74" t="s">
        <v>91</v>
      </c>
      <c r="G195" s="76"/>
      <c r="H195" s="66" t="s">
        <v>16</v>
      </c>
      <c r="I195" s="67">
        <f ca="1">IFERROR(__xludf.DUMMYFUNCTION("IMPORTRANGE(""https://docs.google.com/spreadsheets/d/1C3CXT74ZlgGe6_JY_1olB1XN4rF0dxEuIIF-xsYjHgg/edit?usp=sharing"",""พรบ!BM25"")"),15)</f>
        <v>15</v>
      </c>
      <c r="J195" s="68">
        <v>0</v>
      </c>
      <c r="K195" s="49">
        <f ca="1">IF(I195&gt;0,J195*100/I195,0)</f>
        <v>0</v>
      </c>
      <c r="L195" s="61"/>
      <c r="M195" s="61"/>
      <c r="N195" s="61"/>
    </row>
    <row r="196" spans="1:14" ht="21.75" customHeight="1" x14ac:dyDescent="0.4">
      <c r="A196" s="55"/>
      <c r="B196" s="56"/>
      <c r="C196" s="56"/>
      <c r="D196" s="73"/>
      <c r="E196" s="74" t="s">
        <v>35</v>
      </c>
      <c r="F196" s="75"/>
      <c r="G196" s="76"/>
      <c r="H196" s="66"/>
      <c r="I196" s="67"/>
      <c r="J196" s="68">
        <v>0</v>
      </c>
      <c r="K196" s="49"/>
      <c r="L196" s="61"/>
      <c r="M196" s="61"/>
      <c r="N196" s="61"/>
    </row>
    <row r="197" spans="1:14" ht="21.75" customHeight="1" x14ac:dyDescent="0.4">
      <c r="A197" s="55"/>
      <c r="B197" s="56"/>
      <c r="C197" s="56"/>
      <c r="D197" s="81">
        <v>3</v>
      </c>
      <c r="E197" s="82" t="s">
        <v>36</v>
      </c>
      <c r="F197" s="83"/>
      <c r="G197" s="84"/>
      <c r="H197" s="66"/>
      <c r="I197" s="67"/>
      <c r="J197" s="85">
        <v>0</v>
      </c>
      <c r="K197" s="49"/>
      <c r="L197" s="61"/>
      <c r="M197" s="61"/>
      <c r="N197" s="61"/>
    </row>
    <row r="198" spans="1:14" ht="21.75" customHeight="1" x14ac:dyDescent="0.4">
      <c r="A198" s="166" t="s">
        <v>92</v>
      </c>
      <c r="B198" s="167"/>
      <c r="C198" s="167"/>
      <c r="D198" s="168"/>
      <c r="E198" s="167"/>
      <c r="F198" s="167"/>
      <c r="G198" s="181"/>
      <c r="H198" s="182"/>
      <c r="I198" s="183"/>
      <c r="J198" s="183"/>
      <c r="K198" s="184"/>
      <c r="L198" s="184"/>
      <c r="M198" s="184"/>
      <c r="N198" s="173"/>
    </row>
    <row r="199" spans="1:14" ht="21.75" customHeight="1" x14ac:dyDescent="0.4">
      <c r="A199" s="185"/>
      <c r="B199" s="175" t="s">
        <v>93</v>
      </c>
      <c r="C199" s="186"/>
      <c r="D199" s="187"/>
      <c r="E199" s="175"/>
      <c r="F199" s="175"/>
      <c r="G199" s="176"/>
      <c r="H199" s="177" t="s">
        <v>16</v>
      </c>
      <c r="I199" s="178">
        <f t="shared" ref="I199:J199" ca="1" si="44">I209</f>
        <v>0</v>
      </c>
      <c r="J199" s="178">
        <f t="shared" si="44"/>
        <v>0</v>
      </c>
      <c r="K199" s="179">
        <f ca="1">IF(I199&gt;0,J199*100/I199,0)</f>
        <v>0</v>
      </c>
      <c r="L199" s="180">
        <f ca="1">L200+L201</f>
        <v>0</v>
      </c>
      <c r="M199" s="180">
        <f>SUM(M200:M201)</f>
        <v>0</v>
      </c>
      <c r="N199" s="179">
        <f ca="1">IF(L199&gt;0,M199*100/L199,0)</f>
        <v>0</v>
      </c>
    </row>
    <row r="200" spans="1:14" ht="21.75" customHeight="1" x14ac:dyDescent="0.4">
      <c r="A200" s="42"/>
      <c r="B200" s="43"/>
      <c r="C200" s="43" t="s">
        <v>17</v>
      </c>
      <c r="D200" s="44" t="s">
        <v>18</v>
      </c>
      <c r="E200" s="45"/>
      <c r="F200" s="45"/>
      <c r="G200" s="46" t="s">
        <v>19</v>
      </c>
      <c r="H200" s="47" t="s">
        <v>20</v>
      </c>
      <c r="I200" s="48" t="s">
        <v>21</v>
      </c>
      <c r="J200" s="48"/>
      <c r="K200" s="49"/>
      <c r="L200" s="50">
        <v>0</v>
      </c>
      <c r="M200" s="50">
        <v>0</v>
      </c>
      <c r="N200" s="50">
        <f t="shared" ref="N200:N203" si="45">+IF(L200&gt;0,M200*100/L200,0)</f>
        <v>0</v>
      </c>
    </row>
    <row r="201" spans="1:14" ht="21.75" customHeight="1" x14ac:dyDescent="0.4">
      <c r="A201" s="42"/>
      <c r="B201" s="43"/>
      <c r="C201" s="43"/>
      <c r="D201" s="51"/>
      <c r="E201" s="45"/>
      <c r="F201" s="45" t="s">
        <v>21</v>
      </c>
      <c r="G201" s="46" t="s">
        <v>22</v>
      </c>
      <c r="H201" s="47" t="s">
        <v>20</v>
      </c>
      <c r="I201" s="48"/>
      <c r="J201" s="48"/>
      <c r="K201" s="49"/>
      <c r="L201" s="50">
        <f t="shared" ref="L201:M201" ca="1" si="46">SUM(L202:L203)</f>
        <v>0</v>
      </c>
      <c r="M201" s="50">
        <f t="shared" si="46"/>
        <v>0</v>
      </c>
      <c r="N201" s="50">
        <f t="shared" ca="1" si="45"/>
        <v>0</v>
      </c>
    </row>
    <row r="202" spans="1:14" ht="21.75" customHeight="1" x14ac:dyDescent="0.4">
      <c r="A202" s="42"/>
      <c r="B202" s="43"/>
      <c r="C202" s="43"/>
      <c r="D202" s="51"/>
      <c r="E202" s="45"/>
      <c r="F202" s="45"/>
      <c r="G202" s="52" t="s">
        <v>23</v>
      </c>
      <c r="H202" s="47" t="s">
        <v>20</v>
      </c>
      <c r="I202" s="48"/>
      <c r="J202" s="48"/>
      <c r="K202" s="49"/>
      <c r="L202" s="53">
        <v>0</v>
      </c>
      <c r="M202" s="53">
        <v>0</v>
      </c>
      <c r="N202" s="53">
        <f t="shared" si="45"/>
        <v>0</v>
      </c>
    </row>
    <row r="203" spans="1:14" ht="21.75" customHeight="1" x14ac:dyDescent="0.4">
      <c r="A203" s="42"/>
      <c r="B203" s="43"/>
      <c r="C203" s="43"/>
      <c r="D203" s="51"/>
      <c r="E203" s="45"/>
      <c r="F203" s="45"/>
      <c r="G203" s="52" t="s">
        <v>24</v>
      </c>
      <c r="H203" s="47" t="s">
        <v>20</v>
      </c>
      <c r="I203" s="48"/>
      <c r="J203" s="67"/>
      <c r="K203" s="233"/>
      <c r="L203" s="53">
        <f ca="1">IFERROR(__xludf.DUMMYFUNCTION("IMPORTRANGE(""https://docs.google.com/spreadsheets/d/1C3CXT74ZlgGe6_JY_1olB1XN4rF0dxEuIIF-xsYjHgg/edit?usp=sharing"",""พรบ!BP25"")"),0)</f>
        <v>0</v>
      </c>
      <c r="M203" s="53">
        <v>0</v>
      </c>
      <c r="N203" s="53">
        <f t="shared" ca="1" si="45"/>
        <v>0</v>
      </c>
    </row>
    <row r="204" spans="1:14" ht="21.75" customHeight="1" x14ac:dyDescent="0.4">
      <c r="A204" s="55"/>
      <c r="B204" s="56"/>
      <c r="C204" s="43" t="s">
        <v>17</v>
      </c>
      <c r="D204" s="57" t="s">
        <v>25</v>
      </c>
      <c r="E204" s="58"/>
      <c r="F204" s="58"/>
      <c r="G204" s="59"/>
      <c r="H204" s="60"/>
      <c r="I204" s="48"/>
      <c r="J204" s="67"/>
      <c r="K204" s="233"/>
      <c r="L204" s="53"/>
      <c r="M204" s="53"/>
      <c r="N204" s="61"/>
    </row>
    <row r="205" spans="1:14" ht="21.75" customHeight="1" x14ac:dyDescent="0.4">
      <c r="A205" s="55"/>
      <c r="B205" s="56"/>
      <c r="C205" s="56"/>
      <c r="D205" s="62">
        <v>1</v>
      </c>
      <c r="E205" s="63" t="s">
        <v>26</v>
      </c>
      <c r="F205" s="64"/>
      <c r="G205" s="65"/>
      <c r="H205" s="66"/>
      <c r="I205" s="67"/>
      <c r="J205" s="67">
        <v>0</v>
      </c>
      <c r="K205" s="233"/>
      <c r="L205" s="53"/>
      <c r="M205" s="53"/>
      <c r="N205" s="61"/>
    </row>
    <row r="206" spans="1:14" ht="21.75" customHeight="1" x14ac:dyDescent="0.4">
      <c r="A206" s="55"/>
      <c r="B206" s="56"/>
      <c r="C206" s="56"/>
      <c r="D206" s="69">
        <v>2</v>
      </c>
      <c r="E206" s="70" t="s">
        <v>27</v>
      </c>
      <c r="F206" s="71"/>
      <c r="G206" s="72"/>
      <c r="H206" s="66"/>
      <c r="I206" s="67"/>
      <c r="J206" s="67">
        <v>0</v>
      </c>
      <c r="K206" s="233"/>
      <c r="L206" s="53" t="s">
        <v>21</v>
      </c>
      <c r="M206" s="53" t="s">
        <v>21</v>
      </c>
      <c r="N206" s="61"/>
    </row>
    <row r="207" spans="1:14" ht="21.75" customHeight="1" x14ac:dyDescent="0.4">
      <c r="A207" s="55"/>
      <c r="B207" s="56"/>
      <c r="C207" s="56"/>
      <c r="D207" s="73"/>
      <c r="E207" s="74" t="s">
        <v>28</v>
      </c>
      <c r="F207" s="75"/>
      <c r="G207" s="76"/>
      <c r="H207" s="66"/>
      <c r="I207" s="67"/>
      <c r="J207" s="67">
        <v>0</v>
      </c>
      <c r="K207" s="233"/>
      <c r="L207" s="53"/>
      <c r="M207" s="53"/>
      <c r="N207" s="61"/>
    </row>
    <row r="208" spans="1:14" ht="21.75" customHeight="1" x14ac:dyDescent="0.4">
      <c r="A208" s="55"/>
      <c r="B208" s="56"/>
      <c r="C208" s="56"/>
      <c r="D208" s="73"/>
      <c r="E208" s="74" t="s">
        <v>29</v>
      </c>
      <c r="F208" s="75"/>
      <c r="G208" s="76"/>
      <c r="H208" s="66"/>
      <c r="I208" s="67"/>
      <c r="J208" s="67">
        <v>0</v>
      </c>
      <c r="K208" s="233"/>
      <c r="L208" s="53"/>
      <c r="M208" s="53"/>
      <c r="N208" s="61"/>
    </row>
    <row r="209" spans="1:14" ht="21.75" customHeight="1" x14ac:dyDescent="0.4">
      <c r="A209" s="55"/>
      <c r="B209" s="56"/>
      <c r="C209" s="56"/>
      <c r="D209" s="73"/>
      <c r="E209" s="77"/>
      <c r="F209" s="74" t="s">
        <v>94</v>
      </c>
      <c r="G209" s="76"/>
      <c r="H209" s="60" t="s">
        <v>16</v>
      </c>
      <c r="I209" s="67">
        <f ca="1">IFERROR(__xludf.DUMMYFUNCTION("IMPORTRANGE(""https://docs.google.com/spreadsheets/d/1C3CXT74ZlgGe6_JY_1olB1XN4rF0dxEuIIF-xsYjHgg/edit?usp=sharing"",""พรบ!BQ25"")"),0)</f>
        <v>0</v>
      </c>
      <c r="J209" s="67">
        <v>0</v>
      </c>
      <c r="K209" s="233">
        <f ca="1">IF(I209&gt;0,J209*100/I209,0)</f>
        <v>0</v>
      </c>
      <c r="L209" s="53"/>
      <c r="M209" s="53"/>
      <c r="N209" s="61"/>
    </row>
    <row r="210" spans="1:14" ht="21.75" customHeight="1" x14ac:dyDescent="0.4">
      <c r="A210" s="55"/>
      <c r="B210" s="56"/>
      <c r="C210" s="56"/>
      <c r="D210" s="73"/>
      <c r="E210" s="77"/>
      <c r="F210" s="74" t="s">
        <v>95</v>
      </c>
      <c r="G210" s="76"/>
      <c r="H210" s="60"/>
      <c r="I210" s="67"/>
      <c r="J210" s="67"/>
      <c r="K210" s="233"/>
      <c r="L210" s="53"/>
      <c r="M210" s="53"/>
      <c r="N210" s="61"/>
    </row>
    <row r="211" spans="1:14" ht="21.75" customHeight="1" x14ac:dyDescent="0.4">
      <c r="A211" s="55"/>
      <c r="B211" s="56"/>
      <c r="C211" s="56"/>
      <c r="D211" s="73"/>
      <c r="E211" s="77"/>
      <c r="F211" s="75" t="s">
        <v>34</v>
      </c>
      <c r="G211" s="76"/>
      <c r="H211" s="60" t="s">
        <v>16</v>
      </c>
      <c r="I211" s="67">
        <f ca="1">IFERROR(__xludf.DUMMYFUNCTION("IMPORTRANGE(""https://docs.google.com/spreadsheets/d/1C3CXT74ZlgGe6_JY_1olB1XN4rF0dxEuIIF-xsYjHgg/edit?usp=sharing"",""พรบ!BR25"")"),0)</f>
        <v>0</v>
      </c>
      <c r="J211" s="67">
        <v>0</v>
      </c>
      <c r="K211" s="233">
        <f ca="1">IF(I211&gt;0,J211*100/I211,0)</f>
        <v>0</v>
      </c>
      <c r="L211" s="53"/>
      <c r="M211" s="53"/>
      <c r="N211" s="61"/>
    </row>
    <row r="212" spans="1:14" ht="21.75" customHeight="1" x14ac:dyDescent="0.4">
      <c r="A212" s="55"/>
      <c r="B212" s="56"/>
      <c r="C212" s="56"/>
      <c r="D212" s="73"/>
      <c r="E212" s="74" t="s">
        <v>35</v>
      </c>
      <c r="F212" s="75"/>
      <c r="G212" s="76"/>
      <c r="H212" s="66"/>
      <c r="I212" s="67"/>
      <c r="J212" s="67">
        <v>0</v>
      </c>
      <c r="K212" s="233"/>
      <c r="L212" s="53"/>
      <c r="M212" s="53"/>
      <c r="N212" s="61"/>
    </row>
    <row r="213" spans="1:14" ht="21.75" customHeight="1" x14ac:dyDescent="0.4">
      <c r="A213" s="55"/>
      <c r="B213" s="56"/>
      <c r="C213" s="56"/>
      <c r="D213" s="81">
        <v>3</v>
      </c>
      <c r="E213" s="82" t="s">
        <v>36</v>
      </c>
      <c r="F213" s="83"/>
      <c r="G213" s="84"/>
      <c r="H213" s="66"/>
      <c r="I213" s="67"/>
      <c r="J213" s="385">
        <v>0</v>
      </c>
      <c r="K213" s="233"/>
      <c r="L213" s="53"/>
      <c r="M213" s="53"/>
      <c r="N213" s="61"/>
    </row>
    <row r="214" spans="1:14" ht="21.75" customHeight="1" x14ac:dyDescent="0.4">
      <c r="A214" s="189"/>
      <c r="B214" s="190" t="s">
        <v>96</v>
      </c>
      <c r="C214" s="191"/>
      <c r="D214" s="192"/>
      <c r="E214" s="190"/>
      <c r="F214" s="190"/>
      <c r="G214" s="193"/>
      <c r="H214" s="194" t="s">
        <v>97</v>
      </c>
      <c r="I214" s="195">
        <f t="shared" ref="I214:J214" ca="1" si="47">I224</f>
        <v>0</v>
      </c>
      <c r="J214" s="195">
        <f t="shared" si="47"/>
        <v>0</v>
      </c>
      <c r="K214" s="196">
        <f ca="1">IF(I214&gt;0,J214*100/I214,0)</f>
        <v>0</v>
      </c>
      <c r="L214" s="197">
        <f ca="1">L215+L216</f>
        <v>0</v>
      </c>
      <c r="M214" s="197">
        <f>SUM(M215:M216)</f>
        <v>0</v>
      </c>
      <c r="N214" s="196">
        <f ca="1">IF(L214&gt;0,M214*100/L214,0)</f>
        <v>0</v>
      </c>
    </row>
    <row r="215" spans="1:14" ht="21.75" customHeight="1" x14ac:dyDescent="0.4">
      <c r="A215" s="42"/>
      <c r="B215" s="43"/>
      <c r="C215" s="43" t="s">
        <v>17</v>
      </c>
      <c r="D215" s="44" t="s">
        <v>18</v>
      </c>
      <c r="E215" s="45"/>
      <c r="F215" s="45"/>
      <c r="G215" s="46" t="s">
        <v>19</v>
      </c>
      <c r="H215" s="47" t="s">
        <v>20</v>
      </c>
      <c r="I215" s="48" t="s">
        <v>21</v>
      </c>
      <c r="J215" s="48"/>
      <c r="K215" s="49"/>
      <c r="L215" s="50">
        <v>0</v>
      </c>
      <c r="M215" s="53">
        <v>0</v>
      </c>
      <c r="N215" s="53">
        <f t="shared" ref="N215:N218" si="48">+IF(L215&gt;0,M215*100/L215,0)</f>
        <v>0</v>
      </c>
    </row>
    <row r="216" spans="1:14" ht="21.75" customHeight="1" x14ac:dyDescent="0.4">
      <c r="A216" s="42"/>
      <c r="B216" s="43"/>
      <c r="C216" s="43"/>
      <c r="D216" s="51"/>
      <c r="E216" s="45"/>
      <c r="F216" s="45" t="s">
        <v>21</v>
      </c>
      <c r="G216" s="46" t="s">
        <v>22</v>
      </c>
      <c r="H216" s="47" t="s">
        <v>20</v>
      </c>
      <c r="I216" s="48"/>
      <c r="J216" s="48"/>
      <c r="K216" s="49"/>
      <c r="L216" s="50">
        <f t="shared" ref="L216:M216" ca="1" si="49">SUM(L217:L218)</f>
        <v>0</v>
      </c>
      <c r="M216" s="53">
        <f t="shared" si="49"/>
        <v>0</v>
      </c>
      <c r="N216" s="53">
        <f t="shared" ca="1" si="48"/>
        <v>0</v>
      </c>
    </row>
    <row r="217" spans="1:14" ht="21.75" customHeight="1" x14ac:dyDescent="0.4">
      <c r="A217" s="42"/>
      <c r="B217" s="43"/>
      <c r="C217" s="43"/>
      <c r="D217" s="51"/>
      <c r="E217" s="45"/>
      <c r="F217" s="45"/>
      <c r="G217" s="52" t="s">
        <v>23</v>
      </c>
      <c r="H217" s="47" t="s">
        <v>20</v>
      </c>
      <c r="I217" s="48"/>
      <c r="J217" s="48"/>
      <c r="K217" s="49"/>
      <c r="L217" s="53">
        <v>0</v>
      </c>
      <c r="M217" s="53">
        <v>0</v>
      </c>
      <c r="N217" s="53">
        <f t="shared" si="48"/>
        <v>0</v>
      </c>
    </row>
    <row r="218" spans="1:14" ht="21.75" customHeight="1" x14ac:dyDescent="0.4">
      <c r="A218" s="42"/>
      <c r="B218" s="43"/>
      <c r="C218" s="43"/>
      <c r="D218" s="51"/>
      <c r="E218" s="45"/>
      <c r="F218" s="45"/>
      <c r="G218" s="52" t="s">
        <v>24</v>
      </c>
      <c r="H218" s="47" t="s">
        <v>20</v>
      </c>
      <c r="I218" s="48"/>
      <c r="J218" s="67"/>
      <c r="K218" s="233"/>
      <c r="L218" s="53">
        <f ca="1">IFERROR(__xludf.DUMMYFUNCTION("IMPORTRANGE(""https://docs.google.com/spreadsheets/d/1C3CXT74ZlgGe6_JY_1olB1XN4rF0dxEuIIF-xsYjHgg/edit?usp=sharing"",""พรบ!BU25"")"),0)</f>
        <v>0</v>
      </c>
      <c r="M218" s="53">
        <v>0</v>
      </c>
      <c r="N218" s="53">
        <f t="shared" ca="1" si="48"/>
        <v>0</v>
      </c>
    </row>
    <row r="219" spans="1:14" ht="21.75" customHeight="1" x14ac:dyDescent="0.4">
      <c r="A219" s="55"/>
      <c r="B219" s="56"/>
      <c r="C219" s="43" t="s">
        <v>17</v>
      </c>
      <c r="D219" s="57" t="s">
        <v>25</v>
      </c>
      <c r="E219" s="58"/>
      <c r="F219" s="58"/>
      <c r="G219" s="59"/>
      <c r="H219" s="60"/>
      <c r="I219" s="48"/>
      <c r="J219" s="67"/>
      <c r="K219" s="233"/>
      <c r="L219" s="53"/>
      <c r="M219" s="53"/>
      <c r="N219" s="61"/>
    </row>
    <row r="220" spans="1:14" ht="21.75" customHeight="1" x14ac:dyDescent="0.4">
      <c r="A220" s="55"/>
      <c r="B220" s="56"/>
      <c r="C220" s="56"/>
      <c r="D220" s="62">
        <v>1</v>
      </c>
      <c r="E220" s="63" t="s">
        <v>26</v>
      </c>
      <c r="F220" s="64"/>
      <c r="G220" s="65"/>
      <c r="H220" s="66"/>
      <c r="I220" s="67"/>
      <c r="J220" s="67">
        <v>0</v>
      </c>
      <c r="K220" s="233"/>
      <c r="L220" s="53"/>
      <c r="M220" s="53"/>
      <c r="N220" s="61"/>
    </row>
    <row r="221" spans="1:14" ht="21.75" customHeight="1" x14ac:dyDescent="0.4">
      <c r="A221" s="55"/>
      <c r="B221" s="56"/>
      <c r="C221" s="56"/>
      <c r="D221" s="69">
        <v>2</v>
      </c>
      <c r="E221" s="70" t="s">
        <v>27</v>
      </c>
      <c r="F221" s="71"/>
      <c r="G221" s="72"/>
      <c r="H221" s="66"/>
      <c r="I221" s="67"/>
      <c r="J221" s="67">
        <v>0</v>
      </c>
      <c r="K221" s="233"/>
      <c r="L221" s="53" t="s">
        <v>21</v>
      </c>
      <c r="M221" s="53" t="s">
        <v>21</v>
      </c>
      <c r="N221" s="61"/>
    </row>
    <row r="222" spans="1:14" ht="21.75" customHeight="1" x14ac:dyDescent="0.4">
      <c r="A222" s="55"/>
      <c r="B222" s="56"/>
      <c r="C222" s="56"/>
      <c r="D222" s="73"/>
      <c r="E222" s="74" t="s">
        <v>28</v>
      </c>
      <c r="F222" s="75"/>
      <c r="G222" s="76"/>
      <c r="H222" s="66"/>
      <c r="I222" s="67"/>
      <c r="J222" s="67">
        <v>0</v>
      </c>
      <c r="K222" s="233"/>
      <c r="L222" s="53"/>
      <c r="M222" s="53"/>
      <c r="N222" s="61"/>
    </row>
    <row r="223" spans="1:14" ht="21.75" customHeight="1" x14ac:dyDescent="0.4">
      <c r="A223" s="55"/>
      <c r="B223" s="56"/>
      <c r="C223" s="56"/>
      <c r="D223" s="73"/>
      <c r="E223" s="74" t="s">
        <v>29</v>
      </c>
      <c r="F223" s="75"/>
      <c r="G223" s="76"/>
      <c r="H223" s="66"/>
      <c r="I223" s="67"/>
      <c r="J223" s="67">
        <v>0</v>
      </c>
      <c r="K223" s="233"/>
      <c r="L223" s="53"/>
      <c r="M223" s="53"/>
      <c r="N223" s="61"/>
    </row>
    <row r="224" spans="1:14" ht="21.75" customHeight="1" x14ac:dyDescent="0.4">
      <c r="A224" s="55"/>
      <c r="B224" s="56"/>
      <c r="C224" s="56"/>
      <c r="D224" s="73"/>
      <c r="E224" s="77"/>
      <c r="F224" s="74" t="s">
        <v>98</v>
      </c>
      <c r="G224" s="76"/>
      <c r="H224" s="66" t="s">
        <v>97</v>
      </c>
      <c r="I224" s="67">
        <f ca="1">IFERROR(__xludf.DUMMYFUNCTION("IMPORTRANGE(""https://docs.google.com/spreadsheets/d/1C3CXT74ZlgGe6_JY_1olB1XN4rF0dxEuIIF-xsYjHgg/edit?usp=sharing"",""พรบ!BV25"")"),0)</f>
        <v>0</v>
      </c>
      <c r="J224" s="67">
        <v>0</v>
      </c>
      <c r="K224" s="233">
        <f ca="1">IF(I224&gt;0,J224*100/I224,0)</f>
        <v>0</v>
      </c>
      <c r="L224" s="53"/>
      <c r="M224" s="53"/>
      <c r="N224" s="61"/>
    </row>
    <row r="225" spans="1:14" ht="21.75" customHeight="1" x14ac:dyDescent="0.4">
      <c r="A225" s="55"/>
      <c r="B225" s="56"/>
      <c r="C225" s="56"/>
      <c r="D225" s="73"/>
      <c r="E225" s="74" t="s">
        <v>35</v>
      </c>
      <c r="F225" s="75"/>
      <c r="G225" s="76"/>
      <c r="H225" s="66"/>
      <c r="I225" s="67"/>
      <c r="J225" s="67">
        <v>0</v>
      </c>
      <c r="K225" s="233"/>
      <c r="L225" s="53"/>
      <c r="M225" s="53"/>
      <c r="N225" s="61"/>
    </row>
    <row r="226" spans="1:14" ht="21.75" customHeight="1" x14ac:dyDescent="0.4">
      <c r="A226" s="55"/>
      <c r="B226" s="56"/>
      <c r="C226" s="56"/>
      <c r="D226" s="81">
        <v>3</v>
      </c>
      <c r="E226" s="82" t="s">
        <v>36</v>
      </c>
      <c r="F226" s="83"/>
      <c r="G226" s="84"/>
      <c r="H226" s="66"/>
      <c r="I226" s="67"/>
      <c r="J226" s="360">
        <v>0</v>
      </c>
      <c r="K226" s="233"/>
      <c r="L226" s="53"/>
      <c r="M226" s="53"/>
      <c r="N226" s="61"/>
    </row>
    <row r="227" spans="1:14" ht="21.75" customHeight="1" x14ac:dyDescent="0.4">
      <c r="A227" s="166" t="s">
        <v>99</v>
      </c>
      <c r="B227" s="167"/>
      <c r="C227" s="167"/>
      <c r="D227" s="168"/>
      <c r="E227" s="167"/>
      <c r="F227" s="167"/>
      <c r="G227" s="181"/>
      <c r="H227" s="170"/>
      <c r="I227" s="171"/>
      <c r="J227" s="171"/>
      <c r="K227" s="172"/>
      <c r="L227" s="172"/>
      <c r="M227" s="172"/>
      <c r="N227" s="173"/>
    </row>
    <row r="228" spans="1:14" ht="21.75" customHeight="1" x14ac:dyDescent="0.4">
      <c r="A228" s="174"/>
      <c r="B228" s="175" t="s">
        <v>100</v>
      </c>
      <c r="C228" s="187"/>
      <c r="D228" s="175"/>
      <c r="E228" s="175"/>
      <c r="F228" s="175"/>
      <c r="G228" s="176"/>
      <c r="H228" s="177" t="s">
        <v>16</v>
      </c>
      <c r="I228" s="198">
        <f ca="1">I236</f>
        <v>480</v>
      </c>
      <c r="J228" s="198">
        <f ca="1">J240</f>
        <v>20</v>
      </c>
      <c r="K228" s="179">
        <f ca="1">IF(I228&gt;0,J228*100/I228,0)</f>
        <v>4.166666666666667</v>
      </c>
      <c r="L228" s="180">
        <f ca="1">L229+L230</f>
        <v>920350</v>
      </c>
      <c r="M228" s="180">
        <f>SUM(M229:M230)</f>
        <v>49358</v>
      </c>
      <c r="N228" s="179">
        <f ca="1">IF(L228&gt;0,M228*100/L228,0)</f>
        <v>5.3629597435758134</v>
      </c>
    </row>
    <row r="229" spans="1:14" ht="21.75" customHeight="1" x14ac:dyDescent="0.4">
      <c r="A229" s="42"/>
      <c r="B229" s="43"/>
      <c r="C229" s="43" t="s">
        <v>17</v>
      </c>
      <c r="D229" s="44" t="s">
        <v>18</v>
      </c>
      <c r="E229" s="45"/>
      <c r="F229" s="45"/>
      <c r="G229" s="46" t="s">
        <v>19</v>
      </c>
      <c r="H229" s="47" t="s">
        <v>20</v>
      </c>
      <c r="I229" s="48" t="s">
        <v>21</v>
      </c>
      <c r="J229" s="48"/>
      <c r="K229" s="49"/>
      <c r="L229" s="50">
        <v>0</v>
      </c>
      <c r="M229" s="53">
        <v>0</v>
      </c>
      <c r="N229" s="53">
        <f t="shared" ref="N229:N232" si="50">+IF(L229&gt;0,M229*100/L229,0)</f>
        <v>0</v>
      </c>
    </row>
    <row r="230" spans="1:14" ht="21.75" customHeight="1" x14ac:dyDescent="0.4">
      <c r="A230" s="42"/>
      <c r="B230" s="43"/>
      <c r="C230" s="43"/>
      <c r="D230" s="51"/>
      <c r="E230" s="45"/>
      <c r="F230" s="45" t="s">
        <v>21</v>
      </c>
      <c r="G230" s="46" t="s">
        <v>22</v>
      </c>
      <c r="H230" s="47" t="s">
        <v>20</v>
      </c>
      <c r="I230" s="48"/>
      <c r="J230" s="48"/>
      <c r="K230" s="49"/>
      <c r="L230" s="50">
        <f t="shared" ref="L230:M230" ca="1" si="51">SUM(L231:L232)</f>
        <v>920350</v>
      </c>
      <c r="M230" s="53">
        <f t="shared" si="51"/>
        <v>49358</v>
      </c>
      <c r="N230" s="53">
        <f t="shared" ca="1" si="50"/>
        <v>5.3629597435758134</v>
      </c>
    </row>
    <row r="231" spans="1:14" ht="21.75" customHeight="1" x14ac:dyDescent="0.4">
      <c r="A231" s="42"/>
      <c r="B231" s="43"/>
      <c r="C231" s="43"/>
      <c r="D231" s="51"/>
      <c r="E231" s="45"/>
      <c r="F231" s="45"/>
      <c r="G231" s="52" t="s">
        <v>23</v>
      </c>
      <c r="H231" s="47" t="s">
        <v>20</v>
      </c>
      <c r="I231" s="48"/>
      <c r="J231" s="48"/>
      <c r="K231" s="49"/>
      <c r="L231" s="53">
        <f ca="1">IFERROR(__xludf.DUMMYFUNCTION("IMPORTRANGE(""https://docs.google.com/spreadsheets/d/1C3CXT74ZlgGe6_JY_1olB1XN4rF0dxEuIIF-xsYjHgg/edit?usp=sharing"",""พรบ!BX25"")"),417600)</f>
        <v>417600</v>
      </c>
      <c r="M231" s="54">
        <v>30300</v>
      </c>
      <c r="N231" s="53">
        <f t="shared" ca="1" si="50"/>
        <v>7.2557471264367814</v>
      </c>
    </row>
    <row r="232" spans="1:14" ht="21.75" customHeight="1" x14ac:dyDescent="0.4">
      <c r="A232" s="42"/>
      <c r="B232" s="43"/>
      <c r="C232" s="43"/>
      <c r="D232" s="51"/>
      <c r="E232" s="45"/>
      <c r="F232" s="45"/>
      <c r="G232" s="52" t="s">
        <v>24</v>
      </c>
      <c r="H232" s="47" t="s">
        <v>20</v>
      </c>
      <c r="I232" s="48"/>
      <c r="J232" s="48"/>
      <c r="K232" s="49"/>
      <c r="L232" s="53">
        <f ca="1">IFERROR(__xludf.DUMMYFUNCTION("IMPORTRANGE(""https://docs.google.com/spreadsheets/d/1C3CXT74ZlgGe6_JY_1olB1XN4rF0dxEuIIF-xsYjHgg/edit?usp=sharing"",""พรบ!BY25"")"),502750)</f>
        <v>502750</v>
      </c>
      <c r="M232" s="54">
        <v>19058</v>
      </c>
      <c r="N232" s="53">
        <f t="shared" ca="1" si="50"/>
        <v>3.7907508702138242</v>
      </c>
    </row>
    <row r="233" spans="1:14" ht="21.75" customHeight="1" x14ac:dyDescent="0.4">
      <c r="A233" s="55"/>
      <c r="B233" s="155"/>
      <c r="C233" s="199" t="s">
        <v>101</v>
      </c>
      <c r="D233" s="75"/>
      <c r="E233" s="75"/>
      <c r="F233" s="75"/>
      <c r="G233" s="76"/>
      <c r="H233" s="60"/>
      <c r="I233" s="200"/>
      <c r="J233" s="200"/>
      <c r="K233" s="201"/>
      <c r="L233" s="61"/>
      <c r="M233" s="61"/>
      <c r="N233" s="202"/>
    </row>
    <row r="234" spans="1:14" ht="21.75" customHeight="1" x14ac:dyDescent="0.4">
      <c r="A234" s="55"/>
      <c r="B234" s="155"/>
      <c r="C234" s="56"/>
      <c r="D234" s="75"/>
      <c r="E234" s="74" t="s">
        <v>102</v>
      </c>
      <c r="F234" s="75"/>
      <c r="G234" s="76"/>
      <c r="H234" s="60" t="s">
        <v>16</v>
      </c>
      <c r="I234" s="67">
        <v>0</v>
      </c>
      <c r="J234" s="67">
        <f ca="1">IFERROR(__xludf.DUMMYFUNCTION("IMPORTRANGE(""https://docs.google.com/spreadsheets/d/1AGHcLOeeYFL3K4b9R1dSzyJy00PE_ra89DNTVfnxSWM/edit?usp=sharing"",""รวมที่ทำกิน!J14"")"),55)</f>
        <v>55</v>
      </c>
      <c r="K234" s="201">
        <f t="shared" ref="K234:K241" si="52">IF(I234&gt;0,J234*100/I234,0)</f>
        <v>0</v>
      </c>
      <c r="L234" s="61"/>
      <c r="M234" s="61"/>
      <c r="N234" s="202"/>
    </row>
    <row r="235" spans="1:14" ht="21.75" customHeight="1" x14ac:dyDescent="0.4">
      <c r="A235" s="55"/>
      <c r="B235" s="155"/>
      <c r="C235" s="56"/>
      <c r="D235" s="75"/>
      <c r="E235" s="75"/>
      <c r="F235" s="75"/>
      <c r="G235" s="76"/>
      <c r="H235" s="60" t="s">
        <v>103</v>
      </c>
      <c r="I235" s="67">
        <f ca="1">IFERROR(__xludf.DUMMYFUNCTION("IMPORTRANGE(""https://docs.google.com/spreadsheets/d/1C3CXT74ZlgGe6_JY_1olB1XN4rF0dxEuIIF-xsYjHgg/edit?usp=sharing"",""พรบ!BZ25"")"),2000)</f>
        <v>2000</v>
      </c>
      <c r="J235" s="67">
        <f ca="1">IFERROR(__xludf.DUMMYFUNCTION("IMPORTRANGE(""https://docs.google.com/spreadsheets/d/1AGHcLOeeYFL3K4b9R1dSzyJy00PE_ra89DNTVfnxSWM/edit?usp=sharing"",""รวมที่ทำกิน!L14"")"),145.309999999999)</f>
        <v>145.30999999999901</v>
      </c>
      <c r="K235" s="201">
        <f t="shared" ca="1" si="52"/>
        <v>7.2654999999999497</v>
      </c>
      <c r="L235" s="61"/>
      <c r="M235" s="61"/>
      <c r="N235" s="202"/>
    </row>
    <row r="236" spans="1:14" ht="21.75" customHeight="1" x14ac:dyDescent="0.4">
      <c r="A236" s="55"/>
      <c r="B236" s="155"/>
      <c r="C236" s="56"/>
      <c r="D236" s="75"/>
      <c r="E236" s="74" t="s">
        <v>104</v>
      </c>
      <c r="F236" s="75"/>
      <c r="G236" s="76"/>
      <c r="H236" s="60" t="s">
        <v>16</v>
      </c>
      <c r="I236" s="67">
        <f ca="1">IFERROR(__xludf.DUMMYFUNCTION("IMPORTRANGE(""https://docs.google.com/spreadsheets/d/1C3CXT74ZlgGe6_JY_1olB1XN4rF0dxEuIIF-xsYjHgg/edit?usp=sharing"",""พรบ!CA25"")"),480)</f>
        <v>480</v>
      </c>
      <c r="J236" s="67">
        <f ca="1">IFERROR(__xludf.DUMMYFUNCTION("IMPORTRANGE(""https://docs.google.com/spreadsheets/d/1AGHcLOeeYFL3K4b9R1dSzyJy00PE_ra89DNTVfnxSWM/edit?usp=sharing"",""รวมที่ทำกิน!O14"")"),31)</f>
        <v>31</v>
      </c>
      <c r="K236" s="201">
        <f t="shared" ca="1" si="52"/>
        <v>6.458333333333333</v>
      </c>
      <c r="L236" s="61"/>
      <c r="M236" s="61"/>
      <c r="N236" s="202"/>
    </row>
    <row r="237" spans="1:14" ht="21.75" customHeight="1" x14ac:dyDescent="0.4">
      <c r="A237" s="55"/>
      <c r="B237" s="155"/>
      <c r="C237" s="56"/>
      <c r="D237" s="75"/>
      <c r="E237" s="75"/>
      <c r="F237" s="75"/>
      <c r="G237" s="76"/>
      <c r="H237" s="60" t="s">
        <v>103</v>
      </c>
      <c r="I237" s="200">
        <v>0</v>
      </c>
      <c r="J237" s="67">
        <f ca="1">IFERROR(__xludf.DUMMYFUNCTION("IMPORTRANGE(""https://docs.google.com/spreadsheets/d/1AGHcLOeeYFL3K4b9R1dSzyJy00PE_ra89DNTVfnxSWM/edit?usp=sharing"",""รวมที่ทำกิน!Q14"")"),100.22)</f>
        <v>100.22</v>
      </c>
      <c r="K237" s="201">
        <f t="shared" si="52"/>
        <v>0</v>
      </c>
      <c r="L237" s="61"/>
      <c r="M237" s="61"/>
      <c r="N237" s="202"/>
    </row>
    <row r="238" spans="1:14" ht="21.75" customHeight="1" x14ac:dyDescent="0.4">
      <c r="A238" s="55"/>
      <c r="B238" s="155"/>
      <c r="C238" s="56"/>
      <c r="D238" s="75"/>
      <c r="E238" s="74" t="s">
        <v>105</v>
      </c>
      <c r="F238" s="75"/>
      <c r="G238" s="76"/>
      <c r="H238" s="60" t="s">
        <v>16</v>
      </c>
      <c r="I238" s="67">
        <f ca="1">IFERROR(__xludf.DUMMYFUNCTION("IMPORTRANGE(""https://docs.google.com/spreadsheets/d/1C3CXT74ZlgGe6_JY_1olB1XN4rF0dxEuIIF-xsYjHgg/edit?usp=sharing"",""พรบ!CB25"")"),480)</f>
        <v>480</v>
      </c>
      <c r="J238" s="67">
        <f ca="1">IFERROR(__xludf.DUMMYFUNCTION("IMPORTRANGE(""https://docs.google.com/spreadsheets/d/1AGHcLOeeYFL3K4b9R1dSzyJy00PE_ra89DNTVfnxSWM/edit?usp=sharing"",""รวมที่ทำกิน!S14"")"),0)</f>
        <v>0</v>
      </c>
      <c r="K238" s="201">
        <f t="shared" ca="1" si="52"/>
        <v>0</v>
      </c>
      <c r="L238" s="61"/>
      <c r="M238" s="61"/>
      <c r="N238" s="202"/>
    </row>
    <row r="239" spans="1:14" ht="21.75" customHeight="1" x14ac:dyDescent="0.4">
      <c r="A239" s="55"/>
      <c r="B239" s="155"/>
      <c r="C239" s="56"/>
      <c r="D239" s="75"/>
      <c r="E239" s="75"/>
      <c r="F239" s="75"/>
      <c r="G239" s="76"/>
      <c r="H239" s="60" t="s">
        <v>103</v>
      </c>
      <c r="I239" s="200">
        <v>0</v>
      </c>
      <c r="J239" s="67">
        <f ca="1">IFERROR(__xludf.DUMMYFUNCTION("IMPORTRANGE(""https://docs.google.com/spreadsheets/d/1AGHcLOeeYFL3K4b9R1dSzyJy00PE_ra89DNTVfnxSWM/edit?usp=sharing"",""รวมที่ทำกิน!U14"")"),0)</f>
        <v>0</v>
      </c>
      <c r="K239" s="201">
        <f t="shared" si="52"/>
        <v>0</v>
      </c>
      <c r="L239" s="61"/>
      <c r="M239" s="61"/>
      <c r="N239" s="202"/>
    </row>
    <row r="240" spans="1:14" ht="21.75" customHeight="1" x14ac:dyDescent="0.4">
      <c r="A240" s="55"/>
      <c r="B240" s="155"/>
      <c r="C240" s="56"/>
      <c r="D240" s="75"/>
      <c r="E240" s="74" t="s">
        <v>106</v>
      </c>
      <c r="F240" s="75"/>
      <c r="G240" s="76"/>
      <c r="H240" s="60" t="s">
        <v>16</v>
      </c>
      <c r="I240" s="67">
        <f ca="1">IFERROR(__xludf.DUMMYFUNCTION("IMPORTRANGE(""https://docs.google.com/spreadsheets/d/1C3CXT74ZlgGe6_JY_1olB1XN4rF0dxEuIIF-xsYjHgg/edit?usp=sharing"",""พรบ!CC25"")"),480)</f>
        <v>480</v>
      </c>
      <c r="J240" s="67">
        <f ca="1">IFERROR(__xludf.DUMMYFUNCTION("IMPORTRANGE(""https://docs.google.com/spreadsheets/d/1AGHcLOeeYFL3K4b9R1dSzyJy00PE_ra89DNTVfnxSWM/edit?usp=sharing"",""รวมที่ทำกิน!W14"")"),20)</f>
        <v>20</v>
      </c>
      <c r="K240" s="201">
        <f t="shared" ca="1" si="52"/>
        <v>4.166666666666667</v>
      </c>
      <c r="L240" s="61"/>
      <c r="M240" s="61"/>
      <c r="N240" s="202"/>
    </row>
    <row r="241" spans="1:14" ht="21.75" customHeight="1" x14ac:dyDescent="0.4">
      <c r="A241" s="105"/>
      <c r="B241" s="203"/>
      <c r="C241" s="106"/>
      <c r="D241" s="203"/>
      <c r="E241" s="204"/>
      <c r="F241" s="204"/>
      <c r="G241" s="205"/>
      <c r="H241" s="206" t="s">
        <v>103</v>
      </c>
      <c r="I241" s="207">
        <v>0</v>
      </c>
      <c r="J241" s="67">
        <f ca="1">IFERROR(__xludf.DUMMYFUNCTION("IMPORTRANGE(""https://docs.google.com/spreadsheets/d/1AGHcLOeeYFL3K4b9R1dSzyJy00PE_ra89DNTVfnxSWM/edit?usp=sharing"",""รวมที่ทำกิน!Y14"")"),59.51)</f>
        <v>59.51</v>
      </c>
      <c r="K241" s="201">
        <f t="shared" si="52"/>
        <v>0</v>
      </c>
      <c r="L241" s="115"/>
      <c r="M241" s="115"/>
      <c r="N241" s="208"/>
    </row>
    <row r="242" spans="1:14" ht="21.75" customHeight="1" x14ac:dyDescent="0.4">
      <c r="A242" s="209" t="s">
        <v>107</v>
      </c>
      <c r="B242" s="210"/>
      <c r="C242" s="210"/>
      <c r="D242" s="210"/>
      <c r="E242" s="210"/>
      <c r="F242" s="210"/>
      <c r="G242" s="211"/>
      <c r="H242" s="212"/>
      <c r="I242" s="213"/>
      <c r="J242" s="213"/>
      <c r="K242" s="214"/>
      <c r="L242" s="214">
        <f t="shared" ref="L242:M242" ca="1" si="53">SUM(L244,L275,L296,L330,L350,L426,L444,L457,L473,L490)</f>
        <v>2769994</v>
      </c>
      <c r="M242" s="214">
        <f t="shared" si="53"/>
        <v>34697</v>
      </c>
      <c r="N242" s="214">
        <f ca="1">+IF(L242&gt;0,M242*100/L242,0)</f>
        <v>1.2526019911956487</v>
      </c>
    </row>
    <row r="243" spans="1:14" ht="21.75" customHeight="1" x14ac:dyDescent="0.4">
      <c r="A243" s="215" t="s">
        <v>108</v>
      </c>
      <c r="B243" s="216"/>
      <c r="C243" s="216"/>
      <c r="D243" s="216"/>
      <c r="E243" s="216"/>
      <c r="F243" s="216"/>
      <c r="G243" s="217"/>
      <c r="H243" s="218"/>
      <c r="I243" s="219"/>
      <c r="J243" s="219"/>
      <c r="K243" s="220"/>
      <c r="L243" s="220"/>
      <c r="M243" s="220"/>
      <c r="N243" s="221"/>
    </row>
    <row r="244" spans="1:14" ht="21.75" customHeight="1" x14ac:dyDescent="0.4">
      <c r="A244" s="222"/>
      <c r="B244" s="223">
        <v>1</v>
      </c>
      <c r="C244" s="224" t="s">
        <v>109</v>
      </c>
      <c r="D244" s="224"/>
      <c r="E244" s="224"/>
      <c r="F244" s="224"/>
      <c r="G244" s="225"/>
      <c r="H244" s="226" t="s">
        <v>103</v>
      </c>
      <c r="I244" s="227">
        <f t="shared" ref="I244:J244" ca="1" si="54">I270</f>
        <v>120</v>
      </c>
      <c r="J244" s="227">
        <f t="shared" si="54"/>
        <v>0</v>
      </c>
      <c r="K244" s="228">
        <f t="shared" ref="K244:K245" ca="1" si="55">IF(I244&gt;0,J244*100/I244,0)</f>
        <v>0</v>
      </c>
      <c r="L244" s="229">
        <f t="shared" ref="L244:M244" ca="1" si="56">SUM(L246:L247)</f>
        <v>346610</v>
      </c>
      <c r="M244" s="229">
        <f t="shared" si="56"/>
        <v>10449</v>
      </c>
      <c r="N244" s="229">
        <f ca="1">+IF(L244&gt;0,M244*100/L244,0)</f>
        <v>3.0146273910158392</v>
      </c>
    </row>
    <row r="245" spans="1:14" ht="21.75" customHeight="1" x14ac:dyDescent="0.4">
      <c r="A245" s="222"/>
      <c r="B245" s="223"/>
      <c r="C245" s="224"/>
      <c r="D245" s="224"/>
      <c r="E245" s="224"/>
      <c r="F245" s="224"/>
      <c r="G245" s="225"/>
      <c r="H245" s="226" t="s">
        <v>16</v>
      </c>
      <c r="I245" s="227">
        <f ca="1">I263</f>
        <v>45</v>
      </c>
      <c r="J245" s="227">
        <f>+J263</f>
        <v>0</v>
      </c>
      <c r="K245" s="228">
        <f t="shared" ca="1" si="55"/>
        <v>0</v>
      </c>
      <c r="L245" s="229"/>
      <c r="M245" s="229"/>
      <c r="N245" s="229"/>
    </row>
    <row r="246" spans="1:14" ht="21.75" customHeight="1" x14ac:dyDescent="0.4">
      <c r="A246" s="42"/>
      <c r="B246" s="43"/>
      <c r="C246" s="43" t="s">
        <v>17</v>
      </c>
      <c r="D246" s="44" t="s">
        <v>18</v>
      </c>
      <c r="E246" s="45"/>
      <c r="F246" s="45"/>
      <c r="G246" s="46" t="s">
        <v>19</v>
      </c>
      <c r="H246" s="47" t="s">
        <v>20</v>
      </c>
      <c r="I246" s="48" t="s">
        <v>21</v>
      </c>
      <c r="J246" s="48"/>
      <c r="K246" s="49"/>
      <c r="L246" s="50">
        <v>0</v>
      </c>
      <c r="M246" s="50">
        <v>0</v>
      </c>
      <c r="N246" s="50">
        <f t="shared" ref="N246:N249" si="57">+IF(L246&gt;0,M246*100/L246,0)</f>
        <v>0</v>
      </c>
    </row>
    <row r="247" spans="1:14" ht="21.75" customHeight="1" x14ac:dyDescent="0.4">
      <c r="A247" s="42"/>
      <c r="B247" s="43"/>
      <c r="C247" s="43"/>
      <c r="D247" s="51"/>
      <c r="E247" s="45"/>
      <c r="F247" s="45" t="s">
        <v>21</v>
      </c>
      <c r="G247" s="46" t="s">
        <v>22</v>
      </c>
      <c r="H247" s="47" t="s">
        <v>20</v>
      </c>
      <c r="I247" s="48"/>
      <c r="J247" s="48"/>
      <c r="K247" s="49"/>
      <c r="L247" s="50">
        <f t="shared" ref="L247:M247" ca="1" si="58">SUM(L248:L249)</f>
        <v>346610</v>
      </c>
      <c r="M247" s="50">
        <f t="shared" si="58"/>
        <v>10449</v>
      </c>
      <c r="N247" s="50">
        <f t="shared" ca="1" si="57"/>
        <v>3.0146273910158392</v>
      </c>
    </row>
    <row r="248" spans="1:14" ht="21.75" customHeight="1" x14ac:dyDescent="0.4">
      <c r="A248" s="42"/>
      <c r="B248" s="43"/>
      <c r="C248" s="43"/>
      <c r="D248" s="51"/>
      <c r="E248" s="45"/>
      <c r="F248" s="45"/>
      <c r="G248" s="52" t="s">
        <v>110</v>
      </c>
      <c r="H248" s="47" t="s">
        <v>20</v>
      </c>
      <c r="I248" s="48"/>
      <c r="J248" s="48"/>
      <c r="K248" s="49"/>
      <c r="L248" s="53">
        <f ca="1">IFERROR(__xludf.DUMMYFUNCTION("IMPORTRANGE(""https://docs.google.com/spreadsheets/d/1C3CXT74ZlgGe6_JY_1olB1XN4rF0dxEuIIF-xsYjHgg/edit?usp=sharing"",""งบกองทุน!d25"")"),0)</f>
        <v>0</v>
      </c>
      <c r="M248" s="53">
        <v>0</v>
      </c>
      <c r="N248" s="53">
        <f t="shared" ca="1" si="57"/>
        <v>0</v>
      </c>
    </row>
    <row r="249" spans="1:14" ht="21.75" customHeight="1" x14ac:dyDescent="0.4">
      <c r="A249" s="42"/>
      <c r="B249" s="43"/>
      <c r="C249" s="43"/>
      <c r="D249" s="51"/>
      <c r="E249" s="45"/>
      <c r="F249" s="45"/>
      <c r="G249" s="52" t="s">
        <v>111</v>
      </c>
      <c r="H249" s="47" t="s">
        <v>20</v>
      </c>
      <c r="I249" s="48"/>
      <c r="J249" s="48"/>
      <c r="K249" s="49"/>
      <c r="L249" s="53">
        <f ca="1">IFERROR(__xludf.DUMMYFUNCTION("IMPORTRANGE(""https://docs.google.com/spreadsheets/d/1C3CXT74ZlgGe6_JY_1olB1XN4rF0dxEuIIF-xsYjHgg/edit?usp=sharing"",""งบกองทุน!e25"")"),346610)</f>
        <v>346610</v>
      </c>
      <c r="M249" s="53">
        <f>SUM(M250:M253)</f>
        <v>10449</v>
      </c>
      <c r="N249" s="53">
        <f t="shared" ca="1" si="57"/>
        <v>3.0146273910158392</v>
      </c>
    </row>
    <row r="250" spans="1:14" ht="21.75" customHeight="1" x14ac:dyDescent="0.4">
      <c r="A250" s="230"/>
      <c r="B250" s="231"/>
      <c r="C250" s="43"/>
      <c r="D250" s="232"/>
      <c r="E250" s="45"/>
      <c r="F250" s="45"/>
      <c r="G250" s="46" t="s">
        <v>112</v>
      </c>
      <c r="H250" s="47" t="s">
        <v>20</v>
      </c>
      <c r="I250" s="67"/>
      <c r="J250" s="67"/>
      <c r="K250" s="233"/>
      <c r="L250" s="53"/>
      <c r="M250" s="54">
        <v>0</v>
      </c>
      <c r="N250" s="53"/>
    </row>
    <row r="251" spans="1:14" ht="21.75" customHeight="1" x14ac:dyDescent="0.4">
      <c r="A251" s="230"/>
      <c r="B251" s="231"/>
      <c r="C251" s="43"/>
      <c r="D251" s="232"/>
      <c r="E251" s="45"/>
      <c r="F251" s="45"/>
      <c r="G251" s="46" t="s">
        <v>113</v>
      </c>
      <c r="H251" s="47" t="s">
        <v>20</v>
      </c>
      <c r="I251" s="67"/>
      <c r="J251" s="67"/>
      <c r="K251" s="233"/>
      <c r="L251" s="53"/>
      <c r="M251" s="54">
        <v>0</v>
      </c>
      <c r="N251" s="53"/>
    </row>
    <row r="252" spans="1:14" ht="21.75" customHeight="1" x14ac:dyDescent="0.4">
      <c r="A252" s="230"/>
      <c r="B252" s="231"/>
      <c r="C252" s="43"/>
      <c r="D252" s="232"/>
      <c r="E252" s="45"/>
      <c r="F252" s="45"/>
      <c r="G252" s="46" t="s">
        <v>114</v>
      </c>
      <c r="H252" s="47" t="s">
        <v>20</v>
      </c>
      <c r="I252" s="67"/>
      <c r="J252" s="67"/>
      <c r="K252" s="233"/>
      <c r="L252" s="53"/>
      <c r="M252" s="54">
        <v>10449</v>
      </c>
      <c r="N252" s="53"/>
    </row>
    <row r="253" spans="1:14" ht="21.75" customHeight="1" x14ac:dyDescent="0.4">
      <c r="A253" s="230"/>
      <c r="B253" s="231"/>
      <c r="C253" s="43"/>
      <c r="D253" s="232"/>
      <c r="E253" s="45"/>
      <c r="F253" s="45"/>
      <c r="G253" s="46" t="s">
        <v>115</v>
      </c>
      <c r="H253" s="47" t="s">
        <v>20</v>
      </c>
      <c r="I253" s="67"/>
      <c r="J253" s="67"/>
      <c r="K253" s="233"/>
      <c r="L253" s="53"/>
      <c r="M253" s="54">
        <v>0</v>
      </c>
      <c r="N253" s="53"/>
    </row>
    <row r="254" spans="1:14" ht="21.75" customHeight="1" x14ac:dyDescent="0.4">
      <c r="A254" s="55"/>
      <c r="B254" s="56"/>
      <c r="C254" s="43" t="s">
        <v>17</v>
      </c>
      <c r="D254" s="57" t="s">
        <v>25</v>
      </c>
      <c r="E254" s="58"/>
      <c r="F254" s="58"/>
      <c r="G254" s="59"/>
      <c r="H254" s="60"/>
      <c r="I254" s="48"/>
      <c r="J254" s="48"/>
      <c r="K254" s="49"/>
      <c r="L254" s="61"/>
      <c r="M254" s="61"/>
      <c r="N254" s="61"/>
    </row>
    <row r="255" spans="1:14" ht="21.75" customHeight="1" x14ac:dyDescent="0.4">
      <c r="A255" s="55"/>
      <c r="B255" s="56"/>
      <c r="C255" s="56"/>
      <c r="D255" s="62">
        <v>1</v>
      </c>
      <c r="E255" s="63" t="s">
        <v>26</v>
      </c>
      <c r="F255" s="64"/>
      <c r="G255" s="65"/>
      <c r="H255" s="66"/>
      <c r="I255" s="67"/>
      <c r="J255" s="68">
        <v>0</v>
      </c>
      <c r="K255" s="49"/>
      <c r="L255" s="61"/>
      <c r="M255" s="61"/>
      <c r="N255" s="61"/>
    </row>
    <row r="256" spans="1:14" ht="21.75" customHeight="1" x14ac:dyDescent="0.4">
      <c r="A256" s="55"/>
      <c r="B256" s="56"/>
      <c r="C256" s="56"/>
      <c r="D256" s="69">
        <v>2</v>
      </c>
      <c r="E256" s="70" t="s">
        <v>27</v>
      </c>
      <c r="F256" s="71"/>
      <c r="G256" s="72"/>
      <c r="H256" s="66"/>
      <c r="I256" s="67"/>
      <c r="J256" s="68">
        <v>1</v>
      </c>
      <c r="K256" s="49"/>
      <c r="L256" s="61" t="s">
        <v>21</v>
      </c>
      <c r="M256" s="61" t="s">
        <v>21</v>
      </c>
      <c r="N256" s="61"/>
    </row>
    <row r="257" spans="1:14" ht="21.75" customHeight="1" x14ac:dyDescent="0.4">
      <c r="A257" s="55"/>
      <c r="B257" s="56"/>
      <c r="C257" s="56"/>
      <c r="D257" s="73"/>
      <c r="E257" s="74" t="s">
        <v>28</v>
      </c>
      <c r="F257" s="75"/>
      <c r="G257" s="76"/>
      <c r="H257" s="66"/>
      <c r="I257" s="67"/>
      <c r="J257" s="68">
        <v>1</v>
      </c>
      <c r="K257" s="49"/>
      <c r="L257" s="61"/>
      <c r="M257" s="61"/>
      <c r="N257" s="61"/>
    </row>
    <row r="258" spans="1:14" ht="21.75" customHeight="1" x14ac:dyDescent="0.4">
      <c r="A258" s="55"/>
      <c r="B258" s="56"/>
      <c r="C258" s="56"/>
      <c r="D258" s="73"/>
      <c r="E258" s="74" t="s">
        <v>29</v>
      </c>
      <c r="F258" s="75"/>
      <c r="G258" s="76"/>
      <c r="H258" s="66"/>
      <c r="I258" s="67"/>
      <c r="J258" s="68">
        <v>0</v>
      </c>
      <c r="K258" s="49"/>
      <c r="L258" s="61"/>
      <c r="M258" s="61"/>
      <c r="N258" s="61"/>
    </row>
    <row r="259" spans="1:14" ht="21.75" hidden="1" customHeight="1" x14ac:dyDescent="0.4">
      <c r="A259" s="55"/>
      <c r="B259" s="56"/>
      <c r="C259" s="56"/>
      <c r="D259" s="73"/>
      <c r="E259" s="77"/>
      <c r="F259" s="74" t="s">
        <v>50</v>
      </c>
      <c r="G259" s="76"/>
      <c r="H259" s="60"/>
      <c r="I259" s="67"/>
      <c r="J259" s="67">
        <f>+J260+J263+J268</f>
        <v>0</v>
      </c>
      <c r="K259" s="49"/>
      <c r="L259" s="61"/>
      <c r="M259" s="61"/>
      <c r="N259" s="61"/>
    </row>
    <row r="260" spans="1:14" ht="21.75" hidden="1" customHeight="1" x14ac:dyDescent="0.4">
      <c r="A260" s="55"/>
      <c r="B260" s="56"/>
      <c r="C260" s="56"/>
      <c r="D260" s="73"/>
      <c r="E260" s="77"/>
      <c r="F260" s="75"/>
      <c r="G260" s="99" t="s">
        <v>116</v>
      </c>
      <c r="H260" s="60" t="s">
        <v>16</v>
      </c>
      <c r="I260" s="67">
        <f ca="1">IFERROR(__xludf.DUMMYFUNCTION("IMPORTRANGE(""https://docs.google.com/spreadsheets/d/1C3CXT74ZlgGe6_JY_1olB1XN4rF0dxEuIIF-xsYjHgg/edit?usp=sharing"",""งบกองทุน!f25"")"),0)</f>
        <v>0</v>
      </c>
      <c r="J260" s="67">
        <v>0</v>
      </c>
      <c r="K260" s="49">
        <f ca="1">IF(I260&gt;0,J260*100/I260,0)</f>
        <v>0</v>
      </c>
      <c r="L260" s="61"/>
      <c r="M260" s="61"/>
      <c r="N260" s="61"/>
    </row>
    <row r="261" spans="1:14" ht="21.75" hidden="1" customHeight="1" x14ac:dyDescent="0.4">
      <c r="A261" s="55"/>
      <c r="B261" s="56"/>
      <c r="C261" s="56"/>
      <c r="D261" s="73"/>
      <c r="E261" s="77"/>
      <c r="F261" s="75"/>
      <c r="G261" s="76" t="s">
        <v>117</v>
      </c>
      <c r="H261" s="60"/>
      <c r="I261" s="48"/>
      <c r="J261" s="67"/>
      <c r="K261" s="49"/>
      <c r="L261" s="61"/>
      <c r="M261" s="61"/>
      <c r="N261" s="61"/>
    </row>
    <row r="262" spans="1:14" ht="21.75" hidden="1" customHeight="1" x14ac:dyDescent="0.4">
      <c r="A262" s="55"/>
      <c r="B262" s="56"/>
      <c r="C262" s="56"/>
      <c r="D262" s="73"/>
      <c r="E262" s="77"/>
      <c r="F262" s="75"/>
      <c r="G262" s="99" t="s">
        <v>118</v>
      </c>
      <c r="H262" s="66" t="s">
        <v>103</v>
      </c>
      <c r="I262" s="67">
        <f t="shared" ref="I262:J262" ca="1" si="59">SUM(I264,I266)</f>
        <v>120</v>
      </c>
      <c r="J262" s="67">
        <f t="shared" si="59"/>
        <v>0</v>
      </c>
      <c r="K262" s="49">
        <f t="shared" ref="K262:K268" ca="1" si="60">IF(I262&gt;0,J262*100/I262,0)</f>
        <v>0</v>
      </c>
      <c r="L262" s="61"/>
      <c r="M262" s="61"/>
      <c r="N262" s="61"/>
    </row>
    <row r="263" spans="1:14" ht="21.75" customHeight="1" x14ac:dyDescent="0.4">
      <c r="A263" s="55"/>
      <c r="B263" s="56"/>
      <c r="C263" s="56"/>
      <c r="D263" s="73"/>
      <c r="E263" s="77"/>
      <c r="F263" s="99" t="s">
        <v>119</v>
      </c>
      <c r="G263" s="76"/>
      <c r="H263" s="66" t="s">
        <v>16</v>
      </c>
      <c r="I263" s="48">
        <f ca="1">IFERROR(__xludf.DUMMYFUNCTION("IMPORTRANGE(""https://docs.google.com/spreadsheets/d/1C3CXT74ZlgGe6_JY_1olB1XN4rF0dxEuIIF-xsYjHgg/edit?usp=sharing"",""งบกองทุน!H25"")"),45)</f>
        <v>45</v>
      </c>
      <c r="J263" s="67">
        <f>J267</f>
        <v>0</v>
      </c>
      <c r="K263" s="49">
        <f t="shared" ca="1" si="60"/>
        <v>0</v>
      </c>
      <c r="L263" s="61"/>
      <c r="M263" s="61"/>
      <c r="N263" s="61"/>
    </row>
    <row r="264" spans="1:14" ht="21.75" hidden="1" customHeight="1" x14ac:dyDescent="0.4">
      <c r="A264" s="55"/>
      <c r="B264" s="56"/>
      <c r="C264" s="56"/>
      <c r="D264" s="73"/>
      <c r="E264" s="77"/>
      <c r="F264" s="75"/>
      <c r="H264" s="60" t="s">
        <v>103</v>
      </c>
      <c r="I264" s="48">
        <f ca="1">IFERROR(__xludf.DUMMYFUNCTION("IMPORTRANGE(""https://docs.google.com/spreadsheets/d/1C3CXT74ZlgGe6_JY_1olB1XN4rF0dxEuIIF-xsYjHgg/edit?usp=sharing"",""งบกองทุน!i25"")"),60)</f>
        <v>60</v>
      </c>
      <c r="J264" s="68">
        <v>0</v>
      </c>
      <c r="K264" s="49">
        <f t="shared" ca="1" si="60"/>
        <v>0</v>
      </c>
      <c r="L264" s="61"/>
      <c r="M264" s="61"/>
      <c r="N264" s="61"/>
    </row>
    <row r="265" spans="1:14" ht="21.75" customHeight="1" x14ac:dyDescent="0.4">
      <c r="A265" s="55"/>
      <c r="B265" s="56"/>
      <c r="C265" s="56"/>
      <c r="D265" s="73"/>
      <c r="E265" s="77"/>
      <c r="F265" s="75"/>
      <c r="G265" s="99" t="s">
        <v>219</v>
      </c>
      <c r="H265" s="60" t="s">
        <v>16</v>
      </c>
      <c r="I265" s="48">
        <f ca="1">I263</f>
        <v>45</v>
      </c>
      <c r="J265" s="68">
        <v>0</v>
      </c>
      <c r="K265" s="49">
        <f t="shared" ca="1" si="60"/>
        <v>0</v>
      </c>
      <c r="L265" s="61"/>
      <c r="M265" s="61"/>
      <c r="N265" s="61"/>
    </row>
    <row r="266" spans="1:14" ht="21.75" hidden="1" customHeight="1" x14ac:dyDescent="0.4">
      <c r="A266" s="55"/>
      <c r="B266" s="56"/>
      <c r="C266" s="56"/>
      <c r="D266" s="73"/>
      <c r="E266" s="77"/>
      <c r="F266" s="75"/>
      <c r="G266" s="76"/>
      <c r="H266" s="60" t="s">
        <v>103</v>
      </c>
      <c r="I266" s="48">
        <f ca="1">IFERROR(__xludf.DUMMYFUNCTION("IMPORTRANGE(""https://docs.google.com/spreadsheets/d/1C3CXT74ZlgGe6_JY_1olB1XN4rF0dxEuIIF-xsYjHgg/edit?usp=sharing"",""งบกองทุน!k25"")"),60)</f>
        <v>60</v>
      </c>
      <c r="J266" s="68">
        <v>0</v>
      </c>
      <c r="K266" s="49">
        <f t="shared" ca="1" si="60"/>
        <v>0</v>
      </c>
      <c r="L266" s="61"/>
      <c r="M266" s="61"/>
      <c r="N266" s="61"/>
    </row>
    <row r="267" spans="1:14" ht="21.75" customHeight="1" x14ac:dyDescent="0.4">
      <c r="A267" s="55"/>
      <c r="B267" s="56"/>
      <c r="C267" s="56"/>
      <c r="D267" s="73"/>
      <c r="E267" s="77"/>
      <c r="F267" s="75"/>
      <c r="G267" s="76" t="s">
        <v>220</v>
      </c>
      <c r="H267" s="60" t="s">
        <v>16</v>
      </c>
      <c r="I267" s="48">
        <f ca="1">I265</f>
        <v>45</v>
      </c>
      <c r="J267" s="68">
        <v>0</v>
      </c>
      <c r="K267" s="49">
        <f t="shared" ca="1" si="60"/>
        <v>0</v>
      </c>
      <c r="L267" s="61"/>
      <c r="M267" s="61"/>
      <c r="N267" s="61"/>
    </row>
    <row r="268" spans="1:14" ht="21.75" hidden="1" customHeight="1" x14ac:dyDescent="0.4">
      <c r="A268" s="55"/>
      <c r="B268" s="56"/>
      <c r="C268" s="56"/>
      <c r="D268" s="73"/>
      <c r="E268" s="77"/>
      <c r="F268" s="75"/>
      <c r="G268" s="99" t="s">
        <v>122</v>
      </c>
      <c r="H268" s="60" t="s">
        <v>16</v>
      </c>
      <c r="I268" s="67">
        <f ca="1">IFERROR(__xludf.DUMMYFUNCTION("IMPORTRANGE(""https://docs.google.com/spreadsheets/d/1C3CXT74ZlgGe6_JY_1olB1XN4rF0dxEuIIF-xsYjHgg/edit?usp=sharing"",""งบกองทุน!m25"")"),0)</f>
        <v>0</v>
      </c>
      <c r="J268" s="67">
        <v>0</v>
      </c>
      <c r="K268" s="49">
        <f t="shared" ca="1" si="60"/>
        <v>0</v>
      </c>
      <c r="L268" s="61"/>
      <c r="M268" s="61"/>
      <c r="N268" s="61"/>
    </row>
    <row r="269" spans="1:14" ht="21.75" hidden="1" customHeight="1" x14ac:dyDescent="0.4">
      <c r="A269" s="55"/>
      <c r="B269" s="56"/>
      <c r="C269" s="56"/>
      <c r="D269" s="73"/>
      <c r="E269" s="77"/>
      <c r="F269" s="75"/>
      <c r="G269" s="76" t="s">
        <v>123</v>
      </c>
      <c r="H269" s="60"/>
      <c r="I269" s="67"/>
      <c r="J269" s="67"/>
      <c r="K269" s="49"/>
      <c r="L269" s="61"/>
      <c r="M269" s="61"/>
      <c r="N269" s="61"/>
    </row>
    <row r="270" spans="1:14" ht="21.75" customHeight="1" x14ac:dyDescent="0.4">
      <c r="A270" s="55"/>
      <c r="B270" s="56"/>
      <c r="C270" s="56"/>
      <c r="D270" s="73"/>
      <c r="E270" s="75"/>
      <c r="F270" s="74" t="s">
        <v>34</v>
      </c>
      <c r="G270" s="76"/>
      <c r="H270" s="66" t="s">
        <v>103</v>
      </c>
      <c r="I270" s="67">
        <f t="shared" ref="I270:J270" ca="1" si="61">SUM(I271:I272)</f>
        <v>120</v>
      </c>
      <c r="J270" s="67">
        <f t="shared" si="61"/>
        <v>0</v>
      </c>
      <c r="K270" s="49">
        <f t="shared" ref="K270:K272" ca="1" si="62">IF(I270&gt;0,J270*100/I270,0)</f>
        <v>0</v>
      </c>
      <c r="L270" s="61"/>
      <c r="M270" s="61"/>
      <c r="N270" s="61"/>
    </row>
    <row r="271" spans="1:14" ht="21.75" customHeight="1" x14ac:dyDescent="0.4">
      <c r="A271" s="55"/>
      <c r="B271" s="56"/>
      <c r="C271" s="56"/>
      <c r="D271" s="73"/>
      <c r="E271" s="75"/>
      <c r="F271" s="75"/>
      <c r="G271" s="76" t="s">
        <v>124</v>
      </c>
      <c r="H271" s="66" t="s">
        <v>103</v>
      </c>
      <c r="I271" s="67">
        <f ca="1">IFERROR(__xludf.DUMMYFUNCTION("IMPORTRANGE(""https://docs.google.com/spreadsheets/d/1C3CXT74ZlgGe6_JY_1olB1XN4rF0dxEuIIF-xsYjHgg/edit?usp=sharing"",""งบกองทุน!o25"")"),60)</f>
        <v>60</v>
      </c>
      <c r="J271" s="68">
        <v>0</v>
      </c>
      <c r="K271" s="49">
        <f t="shared" ca="1" si="62"/>
        <v>0</v>
      </c>
      <c r="L271" s="61"/>
      <c r="M271" s="61"/>
      <c r="N271" s="61"/>
    </row>
    <row r="272" spans="1:14" ht="21.75" customHeight="1" x14ac:dyDescent="0.4">
      <c r="A272" s="55"/>
      <c r="B272" s="56"/>
      <c r="C272" s="56"/>
      <c r="D272" s="73"/>
      <c r="E272" s="75"/>
      <c r="F272" s="75"/>
      <c r="G272" s="76" t="s">
        <v>125</v>
      </c>
      <c r="H272" s="66" t="s">
        <v>103</v>
      </c>
      <c r="I272" s="67">
        <f ca="1">IFERROR(__xludf.DUMMYFUNCTION("IMPORTRANGE(""https://docs.google.com/spreadsheets/d/1C3CXT74ZlgGe6_JY_1olB1XN4rF0dxEuIIF-xsYjHgg/edit?usp=sharing"",""งบกองทุน!p25"")"),60)</f>
        <v>60</v>
      </c>
      <c r="J272" s="68">
        <v>0</v>
      </c>
      <c r="K272" s="49">
        <f t="shared" ca="1" si="62"/>
        <v>0</v>
      </c>
      <c r="L272" s="61"/>
      <c r="M272" s="61"/>
      <c r="N272" s="61"/>
    </row>
    <row r="273" spans="1:14" ht="21.75" customHeight="1" x14ac:dyDescent="0.4">
      <c r="A273" s="55"/>
      <c r="B273" s="56"/>
      <c r="C273" s="56"/>
      <c r="D273" s="73"/>
      <c r="E273" s="74" t="s">
        <v>35</v>
      </c>
      <c r="F273" s="75"/>
      <c r="G273" s="76"/>
      <c r="H273" s="66"/>
      <c r="I273" s="67"/>
      <c r="J273" s="68">
        <v>0</v>
      </c>
      <c r="K273" s="49"/>
      <c r="L273" s="61"/>
      <c r="M273" s="61"/>
      <c r="N273" s="61"/>
    </row>
    <row r="274" spans="1:14" ht="21.75" customHeight="1" x14ac:dyDescent="0.4">
      <c r="A274" s="55"/>
      <c r="B274" s="56"/>
      <c r="C274" s="56"/>
      <c r="D274" s="81">
        <v>3</v>
      </c>
      <c r="E274" s="82" t="s">
        <v>36</v>
      </c>
      <c r="F274" s="83"/>
      <c r="G274" s="84"/>
      <c r="H274" s="66"/>
      <c r="I274" s="67"/>
      <c r="J274" s="85">
        <v>0</v>
      </c>
      <c r="K274" s="49"/>
      <c r="L274" s="61"/>
      <c r="M274" s="61"/>
      <c r="N274" s="61"/>
    </row>
    <row r="275" spans="1:14" ht="21.75" customHeight="1" x14ac:dyDescent="0.4">
      <c r="A275" s="222"/>
      <c r="B275" s="223">
        <v>2</v>
      </c>
      <c r="C275" s="224" t="s">
        <v>126</v>
      </c>
      <c r="D275" s="224"/>
      <c r="E275" s="234"/>
      <c r="F275" s="234"/>
      <c r="G275" s="235"/>
      <c r="H275" s="226" t="s">
        <v>103</v>
      </c>
      <c r="I275" s="227">
        <f ca="1">I292</f>
        <v>1000</v>
      </c>
      <c r="J275" s="227">
        <f>+J292</f>
        <v>0</v>
      </c>
      <c r="K275" s="228">
        <f t="shared" ref="K275:K276" ca="1" si="63">IF(I275&gt;0,J275*100/I275,0)</f>
        <v>0</v>
      </c>
      <c r="L275" s="229">
        <f t="shared" ref="L275:M275" ca="1" si="64">SUM(L277:L278)</f>
        <v>1028520</v>
      </c>
      <c r="M275" s="229">
        <f t="shared" si="64"/>
        <v>9558</v>
      </c>
      <c r="N275" s="229">
        <f ca="1">+IF(L275&gt;0,M275*100/L275,0)</f>
        <v>0.92929646482324113</v>
      </c>
    </row>
    <row r="276" spans="1:14" ht="21.75" customHeight="1" x14ac:dyDescent="0.4">
      <c r="A276" s="222"/>
      <c r="B276" s="223"/>
      <c r="C276" s="224"/>
      <c r="D276" s="236"/>
      <c r="E276" s="237"/>
      <c r="F276" s="237"/>
      <c r="G276" s="238"/>
      <c r="H276" s="226" t="s">
        <v>16</v>
      </c>
      <c r="I276" s="227">
        <f ca="1">I291</f>
        <v>100</v>
      </c>
      <c r="J276" s="227">
        <f>+J291</f>
        <v>0</v>
      </c>
      <c r="K276" s="228">
        <f t="shared" ca="1" si="63"/>
        <v>0</v>
      </c>
      <c r="L276" s="229"/>
      <c r="M276" s="229"/>
      <c r="N276" s="229"/>
    </row>
    <row r="277" spans="1:14" ht="21.75" customHeight="1" x14ac:dyDescent="0.4">
      <c r="A277" s="42"/>
      <c r="B277" s="43"/>
      <c r="C277" s="43" t="s">
        <v>17</v>
      </c>
      <c r="D277" s="44" t="s">
        <v>18</v>
      </c>
      <c r="E277" s="45"/>
      <c r="F277" s="45"/>
      <c r="G277" s="46" t="s">
        <v>19</v>
      </c>
      <c r="H277" s="47" t="s">
        <v>20</v>
      </c>
      <c r="I277" s="48" t="s">
        <v>21</v>
      </c>
      <c r="J277" s="48"/>
      <c r="K277" s="49"/>
      <c r="L277" s="50">
        <v>0</v>
      </c>
      <c r="M277" s="50">
        <v>0</v>
      </c>
      <c r="N277" s="50">
        <f t="shared" ref="N277:N280" si="65">+IF(L277&gt;0,M277*100/L277,0)</f>
        <v>0</v>
      </c>
    </row>
    <row r="278" spans="1:14" ht="21.75" customHeight="1" x14ac:dyDescent="0.4">
      <c r="A278" s="42"/>
      <c r="B278" s="43"/>
      <c r="C278" s="43"/>
      <c r="D278" s="51"/>
      <c r="E278" s="45"/>
      <c r="F278" s="45" t="s">
        <v>21</v>
      </c>
      <c r="G278" s="46" t="s">
        <v>22</v>
      </c>
      <c r="H278" s="47" t="s">
        <v>20</v>
      </c>
      <c r="I278" s="48"/>
      <c r="J278" s="48"/>
      <c r="K278" s="49"/>
      <c r="L278" s="50">
        <f t="shared" ref="L278:M278" ca="1" si="66">SUM(L279:L280)</f>
        <v>1028520</v>
      </c>
      <c r="M278" s="50">
        <f t="shared" si="66"/>
        <v>9558</v>
      </c>
      <c r="N278" s="50">
        <f t="shared" ca="1" si="65"/>
        <v>0.92929646482324113</v>
      </c>
    </row>
    <row r="279" spans="1:14" ht="21.75" customHeight="1" x14ac:dyDescent="0.4">
      <c r="A279" s="42"/>
      <c r="B279" s="43"/>
      <c r="C279" s="43"/>
      <c r="D279" s="51"/>
      <c r="E279" s="45"/>
      <c r="F279" s="45"/>
      <c r="G279" s="52" t="s">
        <v>110</v>
      </c>
      <c r="H279" s="47" t="s">
        <v>20</v>
      </c>
      <c r="I279" s="48"/>
      <c r="J279" s="48"/>
      <c r="K279" s="49"/>
      <c r="L279" s="53">
        <f ca="1">IFERROR(__xludf.DUMMYFUNCTION("IMPORTRANGE(""https://docs.google.com/spreadsheets/d/1C3CXT74ZlgGe6_JY_1olB1XN4rF0dxEuIIF-xsYjHgg/edit?usp=sharing"",""งบกองทุน!r25"")"),0)</f>
        <v>0</v>
      </c>
      <c r="M279" s="53">
        <v>0</v>
      </c>
      <c r="N279" s="53">
        <f t="shared" ca="1" si="65"/>
        <v>0</v>
      </c>
    </row>
    <row r="280" spans="1:14" ht="21.75" customHeight="1" x14ac:dyDescent="0.4">
      <c r="A280" s="42"/>
      <c r="B280" s="43"/>
      <c r="C280" s="43"/>
      <c r="D280" s="51"/>
      <c r="E280" s="45"/>
      <c r="F280" s="45"/>
      <c r="G280" s="52" t="s">
        <v>111</v>
      </c>
      <c r="H280" s="47" t="s">
        <v>20</v>
      </c>
      <c r="I280" s="48"/>
      <c r="J280" s="48"/>
      <c r="K280" s="49"/>
      <c r="L280" s="53">
        <f ca="1">IFERROR(__xludf.DUMMYFUNCTION("IMPORTRANGE(""https://docs.google.com/spreadsheets/d/1C3CXT74ZlgGe6_JY_1olB1XN4rF0dxEuIIF-xsYjHgg/edit?usp=sharing"",""งบกองทุน!s25"")"),1028520)</f>
        <v>1028520</v>
      </c>
      <c r="M280" s="53">
        <f>SUM(M281:M284)</f>
        <v>9558</v>
      </c>
      <c r="N280" s="53">
        <f t="shared" ca="1" si="65"/>
        <v>0.92929646482324113</v>
      </c>
    </row>
    <row r="281" spans="1:14" ht="21.75" customHeight="1" x14ac:dyDescent="0.4">
      <c r="A281" s="230"/>
      <c r="B281" s="231"/>
      <c r="C281" s="43"/>
      <c r="D281" s="232"/>
      <c r="E281" s="45"/>
      <c r="F281" s="45"/>
      <c r="G281" s="46" t="s">
        <v>112</v>
      </c>
      <c r="H281" s="47" t="s">
        <v>20</v>
      </c>
      <c r="I281" s="67"/>
      <c r="J281" s="67"/>
      <c r="K281" s="233"/>
      <c r="L281" s="53"/>
      <c r="M281" s="54">
        <v>0</v>
      </c>
      <c r="N281" s="53"/>
    </row>
    <row r="282" spans="1:14" ht="21.75" customHeight="1" x14ac:dyDescent="0.4">
      <c r="A282" s="230"/>
      <c r="B282" s="231"/>
      <c r="C282" s="43"/>
      <c r="D282" s="232"/>
      <c r="E282" s="45"/>
      <c r="F282" s="45"/>
      <c r="G282" s="46" t="s">
        <v>113</v>
      </c>
      <c r="H282" s="47" t="s">
        <v>20</v>
      </c>
      <c r="I282" s="67"/>
      <c r="J282" s="67"/>
      <c r="K282" s="233"/>
      <c r="L282" s="53"/>
      <c r="M282" s="54">
        <v>0</v>
      </c>
      <c r="N282" s="53"/>
    </row>
    <row r="283" spans="1:14" ht="21.75" customHeight="1" x14ac:dyDescent="0.4">
      <c r="A283" s="230"/>
      <c r="B283" s="231"/>
      <c r="C283" s="43"/>
      <c r="D283" s="232"/>
      <c r="E283" s="45"/>
      <c r="F283" s="45"/>
      <c r="G283" s="46" t="s">
        <v>114</v>
      </c>
      <c r="H283" s="47" t="s">
        <v>20</v>
      </c>
      <c r="I283" s="67"/>
      <c r="J283" s="67"/>
      <c r="K283" s="233"/>
      <c r="L283" s="53"/>
      <c r="M283" s="54">
        <v>9558</v>
      </c>
      <c r="N283" s="53"/>
    </row>
    <row r="284" spans="1:14" ht="21.75" customHeight="1" x14ac:dyDescent="0.4">
      <c r="A284" s="230"/>
      <c r="B284" s="231"/>
      <c r="C284" s="43"/>
      <c r="D284" s="232"/>
      <c r="E284" s="45"/>
      <c r="F284" s="45"/>
      <c r="G284" s="46" t="s">
        <v>115</v>
      </c>
      <c r="H284" s="47" t="s">
        <v>20</v>
      </c>
      <c r="I284" s="67"/>
      <c r="J284" s="67"/>
      <c r="K284" s="233"/>
      <c r="L284" s="53"/>
      <c r="M284" s="54">
        <v>0</v>
      </c>
      <c r="N284" s="53"/>
    </row>
    <row r="285" spans="1:14" ht="21.75" customHeight="1" x14ac:dyDescent="0.4">
      <c r="A285" s="55"/>
      <c r="B285" s="56"/>
      <c r="C285" s="43" t="s">
        <v>17</v>
      </c>
      <c r="D285" s="57" t="s">
        <v>25</v>
      </c>
      <c r="E285" s="58"/>
      <c r="F285" s="58"/>
      <c r="G285" s="59"/>
      <c r="H285" s="60"/>
      <c r="I285" s="48"/>
      <c r="J285" s="48"/>
      <c r="K285" s="49"/>
      <c r="L285" s="61"/>
      <c r="M285" s="61"/>
      <c r="N285" s="61"/>
    </row>
    <row r="286" spans="1:14" ht="21.75" customHeight="1" x14ac:dyDescent="0.4">
      <c r="A286" s="55"/>
      <c r="B286" s="56"/>
      <c r="C286" s="56"/>
      <c r="D286" s="62">
        <v>1</v>
      </c>
      <c r="E286" s="63" t="s">
        <v>26</v>
      </c>
      <c r="F286" s="64"/>
      <c r="G286" s="65"/>
      <c r="H286" s="66"/>
      <c r="I286" s="67"/>
      <c r="J286" s="68">
        <v>0</v>
      </c>
      <c r="K286" s="49"/>
      <c r="L286" s="61"/>
      <c r="M286" s="61"/>
      <c r="N286" s="61"/>
    </row>
    <row r="287" spans="1:14" ht="21.75" customHeight="1" x14ac:dyDescent="0.4">
      <c r="A287" s="55"/>
      <c r="B287" s="56"/>
      <c r="C287" s="56"/>
      <c r="D287" s="69">
        <v>2</v>
      </c>
      <c r="E287" s="70" t="s">
        <v>27</v>
      </c>
      <c r="F287" s="71"/>
      <c r="G287" s="72"/>
      <c r="H287" s="66"/>
      <c r="I287" s="67"/>
      <c r="J287" s="68">
        <v>1</v>
      </c>
      <c r="K287" s="49"/>
      <c r="L287" s="61" t="s">
        <v>21</v>
      </c>
      <c r="M287" s="61" t="s">
        <v>21</v>
      </c>
      <c r="N287" s="61"/>
    </row>
    <row r="288" spans="1:14" ht="21.75" customHeight="1" x14ac:dyDescent="0.4">
      <c r="A288" s="55"/>
      <c r="B288" s="56"/>
      <c r="C288" s="56"/>
      <c r="D288" s="73"/>
      <c r="E288" s="74" t="s">
        <v>28</v>
      </c>
      <c r="F288" s="75"/>
      <c r="G288" s="76"/>
      <c r="H288" s="66"/>
      <c r="I288" s="67"/>
      <c r="J288" s="68">
        <v>1</v>
      </c>
      <c r="K288" s="49"/>
      <c r="L288" s="61"/>
      <c r="M288" s="61"/>
      <c r="N288" s="61"/>
    </row>
    <row r="289" spans="1:14" ht="21.75" customHeight="1" x14ac:dyDescent="0.4">
      <c r="A289" s="55"/>
      <c r="B289" s="56"/>
      <c r="C289" s="56"/>
      <c r="D289" s="73"/>
      <c r="E289" s="74" t="s">
        <v>29</v>
      </c>
      <c r="F289" s="75"/>
      <c r="G289" s="76"/>
      <c r="H289" s="66"/>
      <c r="I289" s="67"/>
      <c r="J289" s="68">
        <v>0</v>
      </c>
      <c r="K289" s="49"/>
      <c r="L289" s="61"/>
      <c r="M289" s="61"/>
      <c r="N289" s="61"/>
    </row>
    <row r="290" spans="1:14" ht="21.75" customHeight="1" x14ac:dyDescent="0.4">
      <c r="A290" s="55"/>
      <c r="B290" s="56"/>
      <c r="C290" s="56"/>
      <c r="D290" s="73"/>
      <c r="E290" s="77"/>
      <c r="F290" s="74" t="s">
        <v>127</v>
      </c>
      <c r="G290" s="75"/>
      <c r="H290" s="66"/>
      <c r="I290" s="67"/>
      <c r="J290" s="67"/>
      <c r="K290" s="49"/>
      <c r="L290" s="61"/>
      <c r="M290" s="61"/>
      <c r="N290" s="61"/>
    </row>
    <row r="291" spans="1:14" ht="21.75" customHeight="1" x14ac:dyDescent="0.4">
      <c r="A291" s="55"/>
      <c r="B291" s="56"/>
      <c r="C291" s="56"/>
      <c r="D291" s="73"/>
      <c r="E291" s="77"/>
      <c r="F291" s="75"/>
      <c r="G291" s="99" t="s">
        <v>50</v>
      </c>
      <c r="H291" s="66" t="s">
        <v>16</v>
      </c>
      <c r="I291" s="67">
        <f ca="1">IFERROR(__xludf.DUMMYFUNCTION("IMPORTRANGE(""https://docs.google.com/spreadsheets/d/1C3CXT74ZlgGe6_JY_1olB1XN4rF0dxEuIIF-xsYjHgg/edit?usp=sharing"",""งบกองทุน!v25"")"),100)</f>
        <v>100</v>
      </c>
      <c r="J291" s="68">
        <v>0</v>
      </c>
      <c r="K291" s="49">
        <f t="shared" ref="K291:K293" ca="1" si="67">IF(I291&gt;0,J291*100/I291,0)</f>
        <v>0</v>
      </c>
      <c r="L291" s="61"/>
      <c r="M291" s="61"/>
      <c r="N291" s="61"/>
    </row>
    <row r="292" spans="1:14" ht="21.75" customHeight="1" x14ac:dyDescent="0.4">
      <c r="A292" s="55"/>
      <c r="B292" s="56"/>
      <c r="C292" s="56"/>
      <c r="D292" s="73"/>
      <c r="E292" s="77"/>
      <c r="F292" s="75"/>
      <c r="G292" s="76" t="s">
        <v>34</v>
      </c>
      <c r="H292" s="66" t="s">
        <v>103</v>
      </c>
      <c r="I292" s="67">
        <f ca="1">IFERROR(__xludf.DUMMYFUNCTION("IMPORTRANGE(""https://docs.google.com/spreadsheets/d/1C3CXT74ZlgGe6_JY_1olB1XN4rF0dxEuIIF-xsYjHgg/edit?usp=sharing"",""งบกองทุน!w25"")"),1000)</f>
        <v>1000</v>
      </c>
      <c r="J292" s="68">
        <v>0</v>
      </c>
      <c r="K292" s="49">
        <f t="shared" ca="1" si="67"/>
        <v>0</v>
      </c>
      <c r="L292" s="61"/>
      <c r="M292" s="61"/>
      <c r="N292" s="61"/>
    </row>
    <row r="293" spans="1:14" ht="21.75" customHeight="1" x14ac:dyDescent="0.4">
      <c r="A293" s="55"/>
      <c r="B293" s="56"/>
      <c r="C293" s="56"/>
      <c r="D293" s="73"/>
      <c r="E293" s="77"/>
      <c r="F293" s="75"/>
      <c r="G293" s="76"/>
      <c r="H293" s="66" t="s">
        <v>16</v>
      </c>
      <c r="I293" s="67">
        <f ca="1">IFERROR(__xludf.DUMMYFUNCTION("IMPORTRANGE(""https://docs.google.com/spreadsheets/d/1C3CXT74ZlgGe6_JY_1olB1XN4rF0dxEuIIF-xsYjHgg/edit?usp=sharing"",""งบกองทุน!x25"")"),100)</f>
        <v>100</v>
      </c>
      <c r="J293" s="68">
        <v>0</v>
      </c>
      <c r="K293" s="49">
        <f t="shared" ca="1" si="67"/>
        <v>0</v>
      </c>
      <c r="L293" s="61"/>
      <c r="M293" s="61"/>
      <c r="N293" s="61"/>
    </row>
    <row r="294" spans="1:14" ht="21.75" customHeight="1" x14ac:dyDescent="0.4">
      <c r="A294" s="55"/>
      <c r="B294" s="56"/>
      <c r="C294" s="56"/>
      <c r="D294" s="73"/>
      <c r="E294" s="74" t="s">
        <v>35</v>
      </c>
      <c r="F294" s="75"/>
      <c r="G294" s="76"/>
      <c r="H294" s="66"/>
      <c r="I294" s="67"/>
      <c r="J294" s="68">
        <v>0</v>
      </c>
      <c r="K294" s="49"/>
      <c r="L294" s="61"/>
      <c r="M294" s="61"/>
      <c r="N294" s="61"/>
    </row>
    <row r="295" spans="1:14" ht="21.75" customHeight="1" x14ac:dyDescent="0.4">
      <c r="A295" s="55"/>
      <c r="B295" s="56"/>
      <c r="C295" s="56"/>
      <c r="D295" s="81">
        <v>3</v>
      </c>
      <c r="E295" s="82" t="s">
        <v>36</v>
      </c>
      <c r="F295" s="83"/>
      <c r="G295" s="84"/>
      <c r="H295" s="66"/>
      <c r="I295" s="67"/>
      <c r="J295" s="85">
        <v>0</v>
      </c>
      <c r="K295" s="49"/>
      <c r="L295" s="61"/>
      <c r="M295" s="61"/>
      <c r="N295" s="61"/>
    </row>
    <row r="296" spans="1:14" ht="21.75" customHeight="1" x14ac:dyDescent="0.4">
      <c r="A296" s="222"/>
      <c r="B296" s="223">
        <v>3</v>
      </c>
      <c r="C296" s="223" t="s">
        <v>128</v>
      </c>
      <c r="D296" s="224"/>
      <c r="E296" s="224"/>
      <c r="F296" s="224"/>
      <c r="G296" s="225"/>
      <c r="H296" s="226" t="s">
        <v>103</v>
      </c>
      <c r="I296" s="227">
        <f ca="1">SUM(I313,I317,I322)</f>
        <v>150</v>
      </c>
      <c r="J296" s="227">
        <f>J313+J317+J322</f>
        <v>0</v>
      </c>
      <c r="K296" s="228">
        <f t="shared" ref="K296:K297" ca="1" si="68">IF(I296&gt;0,J296*100/I296,0)</f>
        <v>0</v>
      </c>
      <c r="L296" s="229">
        <f t="shared" ref="L296:M296" ca="1" si="69">SUM(L298:L299)</f>
        <v>172800</v>
      </c>
      <c r="M296" s="229">
        <f t="shared" si="69"/>
        <v>0</v>
      </c>
      <c r="N296" s="229">
        <f ca="1">+IF(L296&gt;0,M296*100/L296,0)</f>
        <v>0</v>
      </c>
    </row>
    <row r="297" spans="1:14" ht="21.75" customHeight="1" x14ac:dyDescent="0.4">
      <c r="A297" s="222"/>
      <c r="B297" s="223"/>
      <c r="C297" s="223"/>
      <c r="D297" s="236"/>
      <c r="E297" s="236"/>
      <c r="F297" s="236"/>
      <c r="G297" s="239"/>
      <c r="H297" s="226" t="s">
        <v>16</v>
      </c>
      <c r="I297" s="227">
        <f ca="1">SUM(I312,I316,I321)</f>
        <v>50</v>
      </c>
      <c r="J297" s="227">
        <f ca="1">J311</f>
        <v>0</v>
      </c>
      <c r="K297" s="228">
        <f t="shared" ca="1" si="68"/>
        <v>0</v>
      </c>
      <c r="L297" s="229"/>
      <c r="M297" s="229"/>
      <c r="N297" s="229"/>
    </row>
    <row r="298" spans="1:14" ht="21.75" customHeight="1" x14ac:dyDescent="0.4">
      <c r="A298" s="42"/>
      <c r="B298" s="43"/>
      <c r="C298" s="43" t="s">
        <v>17</v>
      </c>
      <c r="D298" s="44" t="s">
        <v>18</v>
      </c>
      <c r="E298" s="45"/>
      <c r="F298" s="45"/>
      <c r="G298" s="46" t="s">
        <v>19</v>
      </c>
      <c r="H298" s="47" t="s">
        <v>20</v>
      </c>
      <c r="I298" s="48" t="s">
        <v>21</v>
      </c>
      <c r="J298" s="48"/>
      <c r="K298" s="49"/>
      <c r="L298" s="50">
        <v>0</v>
      </c>
      <c r="M298" s="53">
        <v>0</v>
      </c>
      <c r="N298" s="53">
        <f t="shared" ref="N298:N301" si="70">+IF(L298&gt;0,M298*100/L298,0)</f>
        <v>0</v>
      </c>
    </row>
    <row r="299" spans="1:14" ht="21.75" customHeight="1" x14ac:dyDescent="0.4">
      <c r="A299" s="42"/>
      <c r="B299" s="43"/>
      <c r="C299" s="43"/>
      <c r="D299" s="51"/>
      <c r="E299" s="45"/>
      <c r="F299" s="45" t="s">
        <v>21</v>
      </c>
      <c r="G299" s="46" t="s">
        <v>22</v>
      </c>
      <c r="H299" s="47" t="s">
        <v>20</v>
      </c>
      <c r="I299" s="48"/>
      <c r="J299" s="48"/>
      <c r="K299" s="49"/>
      <c r="L299" s="50">
        <f t="shared" ref="L299:M299" ca="1" si="71">SUM(L300:L301)</f>
        <v>172800</v>
      </c>
      <c r="M299" s="53">
        <f t="shared" si="71"/>
        <v>0</v>
      </c>
      <c r="N299" s="53">
        <f t="shared" ca="1" si="70"/>
        <v>0</v>
      </c>
    </row>
    <row r="300" spans="1:14" ht="21.75" customHeight="1" x14ac:dyDescent="0.4">
      <c r="A300" s="42"/>
      <c r="B300" s="43"/>
      <c r="C300" s="43"/>
      <c r="D300" s="51"/>
      <c r="E300" s="45"/>
      <c r="F300" s="45"/>
      <c r="G300" s="52" t="s">
        <v>110</v>
      </c>
      <c r="H300" s="47" t="s">
        <v>20</v>
      </c>
      <c r="I300" s="48"/>
      <c r="J300" s="48"/>
      <c r="K300" s="49"/>
      <c r="L300" s="53">
        <f ca="1">IFERROR(__xludf.DUMMYFUNCTION("IMPORTRANGE(""https://docs.google.com/spreadsheets/d/1C3CXT74ZlgGe6_JY_1olB1XN4rF0dxEuIIF-xsYjHgg/edit?usp=sharing"",""งบกองทุน!z25"")"),0)</f>
        <v>0</v>
      </c>
      <c r="M300" s="53">
        <v>0</v>
      </c>
      <c r="N300" s="53">
        <f t="shared" ca="1" si="70"/>
        <v>0</v>
      </c>
    </row>
    <row r="301" spans="1:14" ht="21.75" customHeight="1" x14ac:dyDescent="0.4">
      <c r="A301" s="42"/>
      <c r="B301" s="43"/>
      <c r="C301" s="43"/>
      <c r="D301" s="51"/>
      <c r="E301" s="45"/>
      <c r="F301" s="45"/>
      <c r="G301" s="52" t="s">
        <v>111</v>
      </c>
      <c r="H301" s="47" t="s">
        <v>20</v>
      </c>
      <c r="I301" s="48"/>
      <c r="J301" s="48"/>
      <c r="K301" s="49"/>
      <c r="L301" s="53">
        <f ca="1">IFERROR(__xludf.DUMMYFUNCTION("IMPORTRANGE(""https://docs.google.com/spreadsheets/d/1C3CXT74ZlgGe6_JY_1olB1XN4rF0dxEuIIF-xsYjHgg/edit?usp=sharing"",""งบกองทุน!aa25"")"),172800)</f>
        <v>172800</v>
      </c>
      <c r="M301" s="53">
        <f>SUM(M302:M305)</f>
        <v>0</v>
      </c>
      <c r="N301" s="53">
        <f t="shared" ca="1" si="70"/>
        <v>0</v>
      </c>
    </row>
    <row r="302" spans="1:14" ht="21.75" customHeight="1" x14ac:dyDescent="0.4">
      <c r="A302" s="230"/>
      <c r="B302" s="231"/>
      <c r="C302" s="43"/>
      <c r="D302" s="232"/>
      <c r="E302" s="45"/>
      <c r="F302" s="45"/>
      <c r="G302" s="46" t="s">
        <v>112</v>
      </c>
      <c r="H302" s="47" t="s">
        <v>20</v>
      </c>
      <c r="I302" s="67"/>
      <c r="J302" s="67"/>
      <c r="K302" s="233"/>
      <c r="L302" s="53"/>
      <c r="M302" s="54">
        <v>0</v>
      </c>
      <c r="N302" s="53"/>
    </row>
    <row r="303" spans="1:14" ht="21.75" customHeight="1" x14ac:dyDescent="0.4">
      <c r="A303" s="230"/>
      <c r="B303" s="231"/>
      <c r="C303" s="43"/>
      <c r="D303" s="232"/>
      <c r="E303" s="45"/>
      <c r="F303" s="45"/>
      <c r="G303" s="46" t="s">
        <v>113</v>
      </c>
      <c r="H303" s="47" t="s">
        <v>20</v>
      </c>
      <c r="I303" s="67"/>
      <c r="J303" s="67"/>
      <c r="K303" s="233"/>
      <c r="L303" s="53"/>
      <c r="M303" s="54">
        <v>0</v>
      </c>
      <c r="N303" s="53"/>
    </row>
    <row r="304" spans="1:14" ht="21.75" customHeight="1" x14ac:dyDescent="0.4">
      <c r="A304" s="230"/>
      <c r="B304" s="231"/>
      <c r="C304" s="43"/>
      <c r="D304" s="232"/>
      <c r="E304" s="45"/>
      <c r="F304" s="45"/>
      <c r="G304" s="46" t="s">
        <v>114</v>
      </c>
      <c r="H304" s="47" t="s">
        <v>20</v>
      </c>
      <c r="I304" s="67"/>
      <c r="J304" s="67"/>
      <c r="K304" s="233"/>
      <c r="L304" s="53"/>
      <c r="M304" s="54">
        <v>0</v>
      </c>
      <c r="N304" s="53"/>
    </row>
    <row r="305" spans="1:14" ht="21.75" customHeight="1" x14ac:dyDescent="0.4">
      <c r="A305" s="230"/>
      <c r="B305" s="231"/>
      <c r="C305" s="43"/>
      <c r="D305" s="232"/>
      <c r="E305" s="45"/>
      <c r="F305" s="45"/>
      <c r="G305" s="46" t="s">
        <v>115</v>
      </c>
      <c r="H305" s="47" t="s">
        <v>20</v>
      </c>
      <c r="I305" s="67"/>
      <c r="J305" s="67"/>
      <c r="K305" s="233"/>
      <c r="L305" s="53"/>
      <c r="M305" s="54">
        <v>0</v>
      </c>
      <c r="N305" s="53"/>
    </row>
    <row r="306" spans="1:14" ht="21.75" customHeight="1" x14ac:dyDescent="0.4">
      <c r="A306" s="55"/>
      <c r="B306" s="56"/>
      <c r="C306" s="43" t="s">
        <v>17</v>
      </c>
      <c r="D306" s="57" t="s">
        <v>25</v>
      </c>
      <c r="E306" s="58"/>
      <c r="F306" s="58"/>
      <c r="G306" s="59"/>
      <c r="H306" s="60"/>
      <c r="I306" s="48"/>
      <c r="J306" s="48"/>
      <c r="K306" s="49"/>
      <c r="L306" s="61"/>
      <c r="M306" s="61"/>
      <c r="N306" s="61"/>
    </row>
    <row r="307" spans="1:14" ht="21.75" customHeight="1" x14ac:dyDescent="0.4">
      <c r="A307" s="55"/>
      <c r="B307" s="56"/>
      <c r="C307" s="56"/>
      <c r="D307" s="62">
        <v>1</v>
      </c>
      <c r="E307" s="63" t="s">
        <v>26</v>
      </c>
      <c r="F307" s="64"/>
      <c r="G307" s="65"/>
      <c r="H307" s="66"/>
      <c r="I307" s="67"/>
      <c r="J307" s="68">
        <v>0</v>
      </c>
      <c r="K307" s="49"/>
      <c r="L307" s="61"/>
      <c r="M307" s="61"/>
      <c r="N307" s="61"/>
    </row>
    <row r="308" spans="1:14" ht="21.75" customHeight="1" x14ac:dyDescent="0.4">
      <c r="A308" s="55"/>
      <c r="B308" s="56"/>
      <c r="C308" s="56"/>
      <c r="D308" s="69">
        <v>2</v>
      </c>
      <c r="E308" s="70" t="s">
        <v>27</v>
      </c>
      <c r="F308" s="71"/>
      <c r="G308" s="72"/>
      <c r="H308" s="66"/>
      <c r="I308" s="67"/>
      <c r="J308" s="68">
        <v>1</v>
      </c>
      <c r="K308" s="49"/>
      <c r="L308" s="61" t="s">
        <v>21</v>
      </c>
      <c r="M308" s="61" t="s">
        <v>21</v>
      </c>
      <c r="N308" s="61"/>
    </row>
    <row r="309" spans="1:14" ht="21.75" customHeight="1" x14ac:dyDescent="0.4">
      <c r="A309" s="55"/>
      <c r="B309" s="56"/>
      <c r="C309" s="56"/>
      <c r="D309" s="73"/>
      <c r="E309" s="74" t="s">
        <v>28</v>
      </c>
      <c r="F309" s="75"/>
      <c r="G309" s="76"/>
      <c r="H309" s="66"/>
      <c r="I309" s="67"/>
      <c r="J309" s="68">
        <v>1</v>
      </c>
      <c r="K309" s="49"/>
      <c r="L309" s="61"/>
      <c r="M309" s="61"/>
      <c r="N309" s="61"/>
    </row>
    <row r="310" spans="1:14" ht="21.75" customHeight="1" x14ac:dyDescent="0.4">
      <c r="A310" s="55"/>
      <c r="B310" s="56"/>
      <c r="C310" s="56"/>
      <c r="D310" s="73"/>
      <c r="E310" s="74" t="s">
        <v>29</v>
      </c>
      <c r="F310" s="75"/>
      <c r="G310" s="76"/>
      <c r="H310" s="66"/>
      <c r="I310" s="67"/>
      <c r="J310" s="68">
        <v>0</v>
      </c>
      <c r="K310" s="49"/>
      <c r="L310" s="61"/>
      <c r="M310" s="61"/>
      <c r="N310" s="61"/>
    </row>
    <row r="311" spans="1:14" ht="21.75" customHeight="1" x14ac:dyDescent="0.4">
      <c r="A311" s="55"/>
      <c r="B311" s="56"/>
      <c r="C311" s="56"/>
      <c r="D311" s="73"/>
      <c r="E311" s="77"/>
      <c r="F311" s="74" t="s">
        <v>50</v>
      </c>
      <c r="G311" s="240"/>
      <c r="H311" s="241" t="s">
        <v>16</v>
      </c>
      <c r="I311" s="79">
        <f t="shared" ref="I311:J311" ca="1" si="72">+I312+I316+I321</f>
        <v>50</v>
      </c>
      <c r="J311" s="79">
        <f t="shared" ca="1" si="72"/>
        <v>0</v>
      </c>
      <c r="K311" s="80">
        <f t="shared" ref="K311:K327" ca="1" si="73">IF(I311&gt;0,J311*100/I311,0)</f>
        <v>0</v>
      </c>
      <c r="L311" s="61"/>
      <c r="M311" s="61"/>
      <c r="N311" s="61"/>
    </row>
    <row r="312" spans="1:14" ht="21.75" customHeight="1" x14ac:dyDescent="0.4">
      <c r="A312" s="55"/>
      <c r="B312" s="56"/>
      <c r="C312" s="56"/>
      <c r="D312" s="73"/>
      <c r="E312" s="77"/>
      <c r="F312" s="242" t="s">
        <v>129</v>
      </c>
      <c r="G312" s="76"/>
      <c r="H312" s="78" t="s">
        <v>16</v>
      </c>
      <c r="I312" s="243">
        <f ca="1">IFERROR(__xludf.DUMMYFUNCTION("IMPORTRANGE(""https://docs.google.com/spreadsheets/d/1C3CXT74ZlgGe6_JY_1olB1XN4rF0dxEuIIF-xsYjHgg/edit?usp=sharing"",""งบกองทุน!ae25"")"),10)</f>
        <v>10</v>
      </c>
      <c r="J312" s="79">
        <f ca="1">IF(AND(J314=I314,J315=I315),I314,0)</f>
        <v>0</v>
      </c>
      <c r="K312" s="80">
        <f t="shared" ca="1" si="73"/>
        <v>0</v>
      </c>
      <c r="L312" s="61"/>
      <c r="M312" s="61"/>
      <c r="N312" s="61"/>
    </row>
    <row r="313" spans="1:14" ht="21.75" customHeight="1" x14ac:dyDescent="0.4">
      <c r="A313" s="55"/>
      <c r="B313" s="56"/>
      <c r="C313" s="56"/>
      <c r="D313" s="73"/>
      <c r="E313" s="77"/>
      <c r="F313" s="75"/>
      <c r="G313" s="76"/>
      <c r="H313" s="78" t="s">
        <v>103</v>
      </c>
      <c r="I313" s="243">
        <f ca="1">IFERROR(__xludf.DUMMYFUNCTION("IMPORTRANGE(""https://docs.google.com/spreadsheets/d/1C3CXT74ZlgGe6_JY_1olB1XN4rF0dxEuIIF-xsYjHgg/edit?usp=sharing"",""งบกองทุน!ad25"")"),30)</f>
        <v>30</v>
      </c>
      <c r="J313" s="154">
        <v>0</v>
      </c>
      <c r="K313" s="80">
        <f t="shared" ca="1" si="73"/>
        <v>0</v>
      </c>
      <c r="L313" s="61"/>
      <c r="M313" s="61"/>
      <c r="N313" s="61"/>
    </row>
    <row r="314" spans="1:14" ht="21.75" customHeight="1" x14ac:dyDescent="0.4">
      <c r="A314" s="55"/>
      <c r="B314" s="56"/>
      <c r="C314" s="56"/>
      <c r="D314" s="73"/>
      <c r="E314" s="77"/>
      <c r="F314" s="75"/>
      <c r="G314" s="99" t="s">
        <v>130</v>
      </c>
      <c r="H314" s="60" t="s">
        <v>16</v>
      </c>
      <c r="I314" s="200">
        <f ca="1">IFERROR(__xludf.DUMMYFUNCTION("IMPORTRANGE(""https://docs.google.com/spreadsheets/d/1C3CXT74ZlgGe6_JY_1olB1XN4rF0dxEuIIF-xsYjHgg/edit?usp=sharing"",""งบกองทุน!af25"")"),10)</f>
        <v>10</v>
      </c>
      <c r="J314" s="68">
        <v>0</v>
      </c>
      <c r="K314" s="49">
        <f t="shared" ca="1" si="73"/>
        <v>0</v>
      </c>
      <c r="L314" s="61"/>
      <c r="M314" s="61"/>
      <c r="N314" s="61"/>
    </row>
    <row r="315" spans="1:14" ht="21.75" customHeight="1" x14ac:dyDescent="0.4">
      <c r="A315" s="105"/>
      <c r="B315" s="106"/>
      <c r="C315" s="106"/>
      <c r="D315" s="244"/>
      <c r="E315" s="245"/>
      <c r="F315" s="204"/>
      <c r="G315" s="246" t="s">
        <v>131</v>
      </c>
      <c r="H315" s="206" t="s">
        <v>16</v>
      </c>
      <c r="I315" s="207">
        <f ca="1">IFERROR(__xludf.DUMMYFUNCTION("IMPORTRANGE(""https://docs.google.com/spreadsheets/d/1C3CXT74ZlgGe6_JY_1olB1XN4rF0dxEuIIF-xsYjHgg/edit?usp=sharing"",""งบกองทุน!ag25"")"),10)</f>
        <v>10</v>
      </c>
      <c r="J315" s="247">
        <v>0</v>
      </c>
      <c r="K315" s="114">
        <f t="shared" ca="1" si="73"/>
        <v>0</v>
      </c>
      <c r="L315" s="115"/>
      <c r="M315" s="115"/>
      <c r="N315" s="115"/>
    </row>
    <row r="316" spans="1:14" ht="21.75" customHeight="1" x14ac:dyDescent="0.4">
      <c r="A316" s="55"/>
      <c r="B316" s="56"/>
      <c r="C316" s="56"/>
      <c r="D316" s="73"/>
      <c r="E316" s="77"/>
      <c r="F316" s="242" t="s">
        <v>132</v>
      </c>
      <c r="G316" s="76"/>
      <c r="H316" s="78" t="s">
        <v>16</v>
      </c>
      <c r="I316" s="243">
        <f ca="1">IFERROR(__xludf.DUMMYFUNCTION("IMPORTRANGE(""https://docs.google.com/spreadsheets/d/1C3CXT74ZlgGe6_JY_1olB1XN4rF0dxEuIIF-xsYjHgg/edit?usp=sharing"",""งบกองทุน!ai25"")"),30)</f>
        <v>30</v>
      </c>
      <c r="J316" s="79">
        <f ca="1">IF(AND(J318=I318,J319=I319,J320=I320),I318,0)</f>
        <v>0</v>
      </c>
      <c r="K316" s="80">
        <f t="shared" ca="1" si="73"/>
        <v>0</v>
      </c>
      <c r="L316" s="61"/>
      <c r="M316" s="61"/>
      <c r="N316" s="61"/>
    </row>
    <row r="317" spans="1:14" ht="21.75" customHeight="1" x14ac:dyDescent="0.4">
      <c r="A317" s="55"/>
      <c r="B317" s="56"/>
      <c r="C317" s="56"/>
      <c r="D317" s="73"/>
      <c r="E317" s="77"/>
      <c r="F317" s="75"/>
      <c r="G317" s="76"/>
      <c r="H317" s="78" t="s">
        <v>103</v>
      </c>
      <c r="I317" s="243">
        <f ca="1">IFERROR(__xludf.DUMMYFUNCTION("IMPORTRANGE(""https://docs.google.com/spreadsheets/d/1C3CXT74ZlgGe6_JY_1olB1XN4rF0dxEuIIF-xsYjHgg/edit?usp=sharing"",""งบกองทุน!ah25"")"),90)</f>
        <v>90</v>
      </c>
      <c r="J317" s="154">
        <v>0</v>
      </c>
      <c r="K317" s="80">
        <f t="shared" ca="1" si="73"/>
        <v>0</v>
      </c>
      <c r="L317" s="61"/>
      <c r="M317" s="61"/>
      <c r="N317" s="61"/>
    </row>
    <row r="318" spans="1:14" ht="21.75" customHeight="1" x14ac:dyDescent="0.4">
      <c r="A318" s="55"/>
      <c r="B318" s="56"/>
      <c r="C318" s="56"/>
      <c r="D318" s="73"/>
      <c r="E318" s="77"/>
      <c r="F318" s="75"/>
      <c r="G318" s="99" t="s">
        <v>133</v>
      </c>
      <c r="H318" s="60" t="s">
        <v>16</v>
      </c>
      <c r="I318" s="200">
        <f ca="1">IFERROR(__xludf.DUMMYFUNCTION("IMPORTRANGE(""https://docs.google.com/spreadsheets/d/1C3CXT74ZlgGe6_JY_1olB1XN4rF0dxEuIIF-xsYjHgg/edit?usp=sharing"",""งบกองทุน!aj25"")"),30)</f>
        <v>30</v>
      </c>
      <c r="J318" s="68">
        <v>0</v>
      </c>
      <c r="K318" s="49">
        <f t="shared" ca="1" si="73"/>
        <v>0</v>
      </c>
      <c r="L318" s="61"/>
      <c r="M318" s="61"/>
      <c r="N318" s="61"/>
    </row>
    <row r="319" spans="1:14" ht="21.75" customHeight="1" x14ac:dyDescent="0.4">
      <c r="A319" s="55"/>
      <c r="B319" s="56"/>
      <c r="C319" s="56"/>
      <c r="D319" s="73"/>
      <c r="E319" s="77"/>
      <c r="F319" s="75"/>
      <c r="G319" s="99" t="s">
        <v>134</v>
      </c>
      <c r="H319" s="60" t="s">
        <v>16</v>
      </c>
      <c r="I319" s="200">
        <f ca="1">IFERROR(__xludf.DUMMYFUNCTION("IMPORTRANGE(""https://docs.google.com/spreadsheets/d/1C3CXT74ZlgGe6_JY_1olB1XN4rF0dxEuIIF-xsYjHgg/edit?usp=sharing"",""งบกองทุน!ak25"")"),30)</f>
        <v>30</v>
      </c>
      <c r="J319" s="68">
        <v>0</v>
      </c>
      <c r="K319" s="49">
        <f t="shared" ca="1" si="73"/>
        <v>0</v>
      </c>
      <c r="L319" s="61"/>
      <c r="M319" s="61"/>
      <c r="N319" s="61"/>
    </row>
    <row r="320" spans="1:14" ht="21.75" customHeight="1" x14ac:dyDescent="0.4">
      <c r="A320" s="55"/>
      <c r="B320" s="56"/>
      <c r="C320" s="56"/>
      <c r="D320" s="73"/>
      <c r="E320" s="77"/>
      <c r="F320" s="75"/>
      <c r="G320" s="99" t="s">
        <v>135</v>
      </c>
      <c r="H320" s="60" t="s">
        <v>16</v>
      </c>
      <c r="I320" s="200">
        <f ca="1">IFERROR(__xludf.DUMMYFUNCTION("IMPORTRANGE(""https://docs.google.com/spreadsheets/d/1C3CXT74ZlgGe6_JY_1olB1XN4rF0dxEuIIF-xsYjHgg/edit?usp=sharing"",""งบกองทุน!al25"")"),30)</f>
        <v>30</v>
      </c>
      <c r="J320" s="68">
        <v>0</v>
      </c>
      <c r="K320" s="49">
        <f t="shared" ca="1" si="73"/>
        <v>0</v>
      </c>
      <c r="L320" s="61"/>
      <c r="M320" s="61"/>
      <c r="N320" s="61"/>
    </row>
    <row r="321" spans="1:14" ht="21.75" customHeight="1" x14ac:dyDescent="0.4">
      <c r="A321" s="55"/>
      <c r="B321" s="56"/>
      <c r="C321" s="56"/>
      <c r="D321" s="73"/>
      <c r="E321" s="77"/>
      <c r="F321" s="242" t="s">
        <v>136</v>
      </c>
      <c r="G321" s="76"/>
      <c r="H321" s="78" t="s">
        <v>16</v>
      </c>
      <c r="I321" s="243">
        <f ca="1">IFERROR(__xludf.DUMMYFUNCTION("IMPORTRANGE(""https://docs.google.com/spreadsheets/d/1C3CXT74ZlgGe6_JY_1olB1XN4rF0dxEuIIF-xsYjHgg/edit?usp=sharing"",""งบกองทุน!an25"")"),10)</f>
        <v>10</v>
      </c>
      <c r="J321" s="79">
        <f ca="1">IF(AND(J323=I323,J324=I324),I323,0)</f>
        <v>0</v>
      </c>
      <c r="K321" s="80">
        <f t="shared" ca="1" si="73"/>
        <v>0</v>
      </c>
      <c r="L321" s="61"/>
      <c r="M321" s="61"/>
      <c r="N321" s="61"/>
    </row>
    <row r="322" spans="1:14" ht="21.75" customHeight="1" x14ac:dyDescent="0.4">
      <c r="A322" s="55"/>
      <c r="B322" s="56"/>
      <c r="C322" s="56"/>
      <c r="D322" s="73"/>
      <c r="E322" s="77"/>
      <c r="F322" s="75"/>
      <c r="G322" s="76"/>
      <c r="H322" s="78" t="s">
        <v>103</v>
      </c>
      <c r="I322" s="243">
        <f ca="1">IFERROR(__xludf.DUMMYFUNCTION("IMPORTRANGE(""https://docs.google.com/spreadsheets/d/1C3CXT74ZlgGe6_JY_1olB1XN4rF0dxEuIIF-xsYjHgg/edit?usp=sharing"",""งบกองทุน!am25"")"),30)</f>
        <v>30</v>
      </c>
      <c r="J322" s="154">
        <v>0</v>
      </c>
      <c r="K322" s="80">
        <f t="shared" ca="1" si="73"/>
        <v>0</v>
      </c>
      <c r="L322" s="61"/>
      <c r="M322" s="61"/>
      <c r="N322" s="61"/>
    </row>
    <row r="323" spans="1:14" ht="21.75" customHeight="1" x14ac:dyDescent="0.4">
      <c r="A323" s="55"/>
      <c r="B323" s="56"/>
      <c r="C323" s="56"/>
      <c r="D323" s="73"/>
      <c r="E323" s="77"/>
      <c r="F323" s="75"/>
      <c r="G323" s="99" t="s">
        <v>137</v>
      </c>
      <c r="H323" s="60" t="s">
        <v>16</v>
      </c>
      <c r="I323" s="248">
        <f ca="1">IFERROR(__xludf.DUMMYFUNCTION("IMPORTRANGE(""https://docs.google.com/spreadsheets/d/1C3CXT74ZlgGe6_JY_1olB1XN4rF0dxEuIIF-xsYjHgg/edit?usp=sharing"",""งบกองทุน!ao25"")"),10)</f>
        <v>10</v>
      </c>
      <c r="J323" s="68">
        <v>0</v>
      </c>
      <c r="K323" s="49">
        <f t="shared" ca="1" si="73"/>
        <v>0</v>
      </c>
      <c r="L323" s="61"/>
      <c r="M323" s="61"/>
      <c r="N323" s="61"/>
    </row>
    <row r="324" spans="1:14" ht="21.75" customHeight="1" x14ac:dyDescent="0.4">
      <c r="A324" s="55"/>
      <c r="B324" s="56"/>
      <c r="C324" s="56"/>
      <c r="D324" s="73"/>
      <c r="E324" s="77"/>
      <c r="F324" s="75"/>
      <c r="G324" s="99" t="s">
        <v>138</v>
      </c>
      <c r="H324" s="60" t="s">
        <v>16</v>
      </c>
      <c r="I324" s="248">
        <f ca="1">IFERROR(__xludf.DUMMYFUNCTION("IMPORTRANGE(""https://docs.google.com/spreadsheets/d/1C3CXT74ZlgGe6_JY_1olB1XN4rF0dxEuIIF-xsYjHgg/edit?usp=sharing"",""งบกองทุน!ap25"")"),10)</f>
        <v>10</v>
      </c>
      <c r="J324" s="68">
        <v>0</v>
      </c>
      <c r="K324" s="49">
        <f t="shared" ca="1" si="73"/>
        <v>0</v>
      </c>
      <c r="L324" s="61"/>
      <c r="M324" s="61"/>
      <c r="N324" s="61"/>
    </row>
    <row r="325" spans="1:14" ht="21.75" customHeight="1" x14ac:dyDescent="0.4">
      <c r="A325" s="55"/>
      <c r="B325" s="56"/>
      <c r="C325" s="56"/>
      <c r="D325" s="73"/>
      <c r="E325" s="77"/>
      <c r="F325" s="74" t="s">
        <v>34</v>
      </c>
      <c r="G325" s="240"/>
      <c r="H325" s="241" t="s">
        <v>16</v>
      </c>
      <c r="I325" s="79">
        <f ca="1">SUM(I326,I327)</f>
        <v>40</v>
      </c>
      <c r="J325" s="79">
        <f ca="1">IF(AND(J326=I326,J327=I327),I325,0)</f>
        <v>0</v>
      </c>
      <c r="K325" s="80">
        <f t="shared" ca="1" si="73"/>
        <v>0</v>
      </c>
      <c r="L325" s="61"/>
      <c r="M325" s="61"/>
      <c r="N325" s="61"/>
    </row>
    <row r="326" spans="1:14" ht="21.75" customHeight="1" x14ac:dyDescent="0.4">
      <c r="A326" s="249"/>
      <c r="B326" s="250"/>
      <c r="C326" s="250"/>
      <c r="D326" s="251"/>
      <c r="E326" s="77"/>
      <c r="F326" s="75"/>
      <c r="G326" s="99" t="s">
        <v>139</v>
      </c>
      <c r="H326" s="60" t="s">
        <v>16</v>
      </c>
      <c r="I326" s="248">
        <f ca="1">IFERROR(__xludf.DUMMYFUNCTION("IMPORTRANGE(""https://docs.google.com/spreadsheets/d/1C3CXT74ZlgGe6_JY_1olB1XN4rF0dxEuIIF-xsYjHgg/edit?usp=sharing"",""งบกองทุน!ar25"")"),10)</f>
        <v>10</v>
      </c>
      <c r="J326" s="68">
        <v>0</v>
      </c>
      <c r="K326" s="49">
        <f t="shared" ca="1" si="73"/>
        <v>0</v>
      </c>
      <c r="L326" s="61"/>
      <c r="M326" s="61"/>
      <c r="N326" s="61"/>
    </row>
    <row r="327" spans="1:14" ht="21.75" customHeight="1" x14ac:dyDescent="0.4">
      <c r="A327" s="249"/>
      <c r="B327" s="250"/>
      <c r="C327" s="250"/>
      <c r="D327" s="251"/>
      <c r="E327" s="77"/>
      <c r="F327" s="75"/>
      <c r="G327" s="99" t="s">
        <v>140</v>
      </c>
      <c r="H327" s="60" t="s">
        <v>16</v>
      </c>
      <c r="I327" s="248">
        <f ca="1">IFERROR(__xludf.DUMMYFUNCTION("IMPORTRANGE(""https://docs.google.com/spreadsheets/d/1C3CXT74ZlgGe6_JY_1olB1XN4rF0dxEuIIF-xsYjHgg/edit?usp=sharing"",""งบกองทุน!as25"")"),30)</f>
        <v>30</v>
      </c>
      <c r="J327" s="68">
        <v>0</v>
      </c>
      <c r="K327" s="49">
        <f t="shared" ca="1" si="73"/>
        <v>0</v>
      </c>
      <c r="L327" s="61"/>
      <c r="M327" s="61"/>
      <c r="N327" s="61"/>
    </row>
    <row r="328" spans="1:14" ht="21.75" customHeight="1" x14ac:dyDescent="0.4">
      <c r="A328" s="55"/>
      <c r="B328" s="56"/>
      <c r="C328" s="56"/>
      <c r="D328" s="73"/>
      <c r="E328" s="74" t="s">
        <v>35</v>
      </c>
      <c r="F328" s="75"/>
      <c r="G328" s="76"/>
      <c r="H328" s="66"/>
      <c r="I328" s="67"/>
      <c r="J328" s="68">
        <v>0</v>
      </c>
      <c r="K328" s="49"/>
      <c r="L328" s="61"/>
      <c r="M328" s="61"/>
      <c r="N328" s="61"/>
    </row>
    <row r="329" spans="1:14" ht="21.75" customHeight="1" x14ac:dyDescent="0.4">
      <c r="A329" s="55"/>
      <c r="B329" s="56"/>
      <c r="C329" s="56"/>
      <c r="D329" s="81">
        <v>3</v>
      </c>
      <c r="E329" s="82" t="s">
        <v>36</v>
      </c>
      <c r="F329" s="83"/>
      <c r="G329" s="84"/>
      <c r="H329" s="66"/>
      <c r="I329" s="67"/>
      <c r="J329" s="85">
        <v>0</v>
      </c>
      <c r="K329" s="49"/>
      <c r="L329" s="61"/>
      <c r="M329" s="61"/>
      <c r="N329" s="61"/>
    </row>
    <row r="330" spans="1:14" ht="21.75" customHeight="1" x14ac:dyDescent="0.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35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123800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4">
      <c r="A331" s="42"/>
      <c r="B331" s="43"/>
      <c r="C331" s="43" t="s">
        <v>17</v>
      </c>
      <c r="D331" s="44" t="s">
        <v>18</v>
      </c>
      <c r="E331" s="45"/>
      <c r="F331" s="45"/>
      <c r="G331" s="46" t="s">
        <v>19</v>
      </c>
      <c r="H331" s="47" t="s">
        <v>20</v>
      </c>
      <c r="I331" s="48" t="s">
        <v>21</v>
      </c>
      <c r="J331" s="48"/>
      <c r="K331" s="49"/>
      <c r="L331" s="50">
        <v>0</v>
      </c>
      <c r="M331" s="53">
        <v>0</v>
      </c>
      <c r="N331" s="53">
        <f t="shared" si="75"/>
        <v>0</v>
      </c>
    </row>
    <row r="332" spans="1:14" ht="21.75" customHeight="1" x14ac:dyDescent="0.4">
      <c r="A332" s="42"/>
      <c r="B332" s="43"/>
      <c r="C332" s="43"/>
      <c r="D332" s="51"/>
      <c r="E332" s="45"/>
      <c r="F332" s="45" t="s">
        <v>21</v>
      </c>
      <c r="G332" s="46" t="s">
        <v>22</v>
      </c>
      <c r="H332" s="47" t="s">
        <v>20</v>
      </c>
      <c r="I332" s="48"/>
      <c r="J332" s="48"/>
      <c r="K332" s="49"/>
      <c r="L332" s="50">
        <f t="shared" ref="L332:M332" ca="1" si="76">SUM(L333:L334)</f>
        <v>123800</v>
      </c>
      <c r="M332" s="53">
        <f t="shared" si="76"/>
        <v>0</v>
      </c>
      <c r="N332" s="53">
        <f t="shared" ca="1" si="75"/>
        <v>0</v>
      </c>
    </row>
    <row r="333" spans="1:14" ht="21.75" customHeight="1" x14ac:dyDescent="0.4">
      <c r="A333" s="42"/>
      <c r="B333" s="43"/>
      <c r="C333" s="43"/>
      <c r="D333" s="51"/>
      <c r="E333" s="45"/>
      <c r="F333" s="45"/>
      <c r="G333" s="52" t="s">
        <v>110</v>
      </c>
      <c r="H333" s="47" t="s">
        <v>20</v>
      </c>
      <c r="I333" s="48"/>
      <c r="J333" s="48"/>
      <c r="K333" s="49"/>
      <c r="L333" s="53">
        <f ca="1">IFERROR(__xludf.DUMMYFUNCTION("IMPORTRANGE(""https://docs.google.com/spreadsheets/d/1C3CXT74ZlgGe6_JY_1olB1XN4rF0dxEuIIF-xsYjHgg/edit?usp=sharing"",""งบกองทุน!au25"")"),0)</f>
        <v>0</v>
      </c>
      <c r="M333" s="53">
        <v>0</v>
      </c>
      <c r="N333" s="53">
        <f t="shared" ca="1" si="75"/>
        <v>0</v>
      </c>
    </row>
    <row r="334" spans="1:14" ht="21.75" customHeight="1" x14ac:dyDescent="0.4">
      <c r="A334" s="42"/>
      <c r="B334" s="43"/>
      <c r="C334" s="43"/>
      <c r="D334" s="51"/>
      <c r="E334" s="45"/>
      <c r="F334" s="45"/>
      <c r="G334" s="52" t="s">
        <v>111</v>
      </c>
      <c r="H334" s="47" t="s">
        <v>20</v>
      </c>
      <c r="I334" s="48"/>
      <c r="J334" s="48"/>
      <c r="K334" s="49"/>
      <c r="L334" s="53">
        <f ca="1">IFERROR(__xludf.DUMMYFUNCTION("IMPORTRANGE(""https://docs.google.com/spreadsheets/d/1C3CXT74ZlgGe6_JY_1olB1XN4rF0dxEuIIF-xsYjHgg/edit?usp=sharing"",""งบกองทุน!av25"")"),123800)</f>
        <v>123800</v>
      </c>
      <c r="M334" s="53">
        <f>SUM(M335:M338)</f>
        <v>0</v>
      </c>
      <c r="N334" s="53">
        <f t="shared" ca="1" si="75"/>
        <v>0</v>
      </c>
    </row>
    <row r="335" spans="1:14" ht="21.75" customHeight="1" x14ac:dyDescent="0.4">
      <c r="A335" s="230"/>
      <c r="B335" s="231"/>
      <c r="C335" s="43"/>
      <c r="D335" s="232"/>
      <c r="E335" s="45"/>
      <c r="F335" s="45"/>
      <c r="G335" s="46" t="s">
        <v>112</v>
      </c>
      <c r="H335" s="47" t="s">
        <v>20</v>
      </c>
      <c r="I335" s="67"/>
      <c r="J335" s="67"/>
      <c r="K335" s="233"/>
      <c r="L335" s="53"/>
      <c r="M335" s="54">
        <v>0</v>
      </c>
      <c r="N335" s="53"/>
    </row>
    <row r="336" spans="1:14" ht="21.75" customHeight="1" x14ac:dyDescent="0.4">
      <c r="A336" s="230"/>
      <c r="B336" s="231"/>
      <c r="C336" s="43"/>
      <c r="D336" s="232"/>
      <c r="E336" s="45"/>
      <c r="F336" s="45"/>
      <c r="G336" s="46" t="s">
        <v>113</v>
      </c>
      <c r="H336" s="47" t="s">
        <v>20</v>
      </c>
      <c r="I336" s="67"/>
      <c r="J336" s="67"/>
      <c r="K336" s="233"/>
      <c r="L336" s="53"/>
      <c r="M336" s="54">
        <v>0</v>
      </c>
      <c r="N336" s="53"/>
    </row>
    <row r="337" spans="1:14" ht="21.75" customHeight="1" x14ac:dyDescent="0.4">
      <c r="A337" s="230"/>
      <c r="B337" s="231"/>
      <c r="C337" s="43"/>
      <c r="D337" s="232"/>
      <c r="E337" s="45"/>
      <c r="F337" s="45"/>
      <c r="G337" s="46" t="s">
        <v>114</v>
      </c>
      <c r="H337" s="47" t="s">
        <v>20</v>
      </c>
      <c r="I337" s="67"/>
      <c r="J337" s="67"/>
      <c r="K337" s="233"/>
      <c r="L337" s="53"/>
      <c r="M337" s="54">
        <v>0</v>
      </c>
      <c r="N337" s="53"/>
    </row>
    <row r="338" spans="1:14" ht="21.75" customHeight="1" x14ac:dyDescent="0.4">
      <c r="A338" s="230"/>
      <c r="B338" s="231"/>
      <c r="C338" s="43"/>
      <c r="D338" s="232"/>
      <c r="E338" s="45"/>
      <c r="F338" s="45"/>
      <c r="G338" s="46" t="s">
        <v>115</v>
      </c>
      <c r="H338" s="47" t="s">
        <v>20</v>
      </c>
      <c r="I338" s="67"/>
      <c r="J338" s="67"/>
      <c r="K338" s="233"/>
      <c r="L338" s="53"/>
      <c r="M338" s="54">
        <v>0</v>
      </c>
      <c r="N338" s="53"/>
    </row>
    <row r="339" spans="1:14" ht="21.75" customHeight="1" x14ac:dyDescent="0.4">
      <c r="A339" s="55"/>
      <c r="B339" s="56"/>
      <c r="C339" s="43" t="s">
        <v>17</v>
      </c>
      <c r="D339" s="57" t="s">
        <v>25</v>
      </c>
      <c r="E339" s="58"/>
      <c r="F339" s="58"/>
      <c r="G339" s="59"/>
      <c r="H339" s="60"/>
      <c r="I339" s="48"/>
      <c r="J339" s="48"/>
      <c r="K339" s="49"/>
      <c r="L339" s="61"/>
      <c r="M339" s="61"/>
      <c r="N339" s="61"/>
    </row>
    <row r="340" spans="1:14" ht="21.75" customHeight="1" x14ac:dyDescent="0.4">
      <c r="A340" s="55"/>
      <c r="B340" s="56"/>
      <c r="C340" s="56"/>
      <c r="D340" s="62">
        <v>1</v>
      </c>
      <c r="E340" s="63" t="s">
        <v>26</v>
      </c>
      <c r="F340" s="64"/>
      <c r="G340" s="65"/>
      <c r="H340" s="66"/>
      <c r="I340" s="67"/>
      <c r="J340" s="85">
        <v>0</v>
      </c>
      <c r="K340" s="49"/>
      <c r="L340" s="61"/>
      <c r="M340" s="61"/>
      <c r="N340" s="61"/>
    </row>
    <row r="341" spans="1:14" ht="21.75" customHeight="1" x14ac:dyDescent="0.4">
      <c r="A341" s="55"/>
      <c r="B341" s="56"/>
      <c r="C341" s="56"/>
      <c r="D341" s="69">
        <v>2</v>
      </c>
      <c r="E341" s="70" t="s">
        <v>27</v>
      </c>
      <c r="F341" s="71"/>
      <c r="G341" s="72"/>
      <c r="H341" s="66"/>
      <c r="I341" s="67"/>
      <c r="J341" s="85">
        <v>1</v>
      </c>
      <c r="K341" s="49"/>
      <c r="L341" s="61" t="s">
        <v>21</v>
      </c>
      <c r="M341" s="61" t="s">
        <v>21</v>
      </c>
      <c r="N341" s="61"/>
    </row>
    <row r="342" spans="1:14" ht="21.75" customHeight="1" x14ac:dyDescent="0.4">
      <c r="A342" s="55"/>
      <c r="B342" s="56"/>
      <c r="C342" s="56"/>
      <c r="D342" s="73"/>
      <c r="E342" s="74" t="s">
        <v>142</v>
      </c>
      <c r="F342" s="75"/>
      <c r="G342" s="76"/>
      <c r="H342" s="66"/>
      <c r="I342" s="67"/>
      <c r="J342" s="68">
        <v>1</v>
      </c>
      <c r="K342" s="49"/>
      <c r="L342" s="61"/>
      <c r="M342" s="61"/>
      <c r="N342" s="61"/>
    </row>
    <row r="343" spans="1:14" ht="21.75" customHeight="1" x14ac:dyDescent="0.4">
      <c r="A343" s="55"/>
      <c r="B343" s="56"/>
      <c r="C343" s="56"/>
      <c r="D343" s="73"/>
      <c r="E343" s="74" t="s">
        <v>29</v>
      </c>
      <c r="F343" s="75"/>
      <c r="G343" s="76"/>
      <c r="H343" s="66"/>
      <c r="I343" s="67"/>
      <c r="J343" s="68">
        <v>0</v>
      </c>
      <c r="K343" s="49"/>
      <c r="L343" s="61"/>
      <c r="M343" s="61"/>
      <c r="N343" s="61"/>
    </row>
    <row r="344" spans="1:14" ht="21.75" customHeight="1" x14ac:dyDescent="0.4">
      <c r="A344" s="55"/>
      <c r="B344" s="56"/>
      <c r="C344" s="56"/>
      <c r="D344" s="73"/>
      <c r="E344" s="77"/>
      <c r="F344" s="260" t="s">
        <v>82</v>
      </c>
      <c r="G344" s="76"/>
      <c r="H344" s="66" t="s">
        <v>16</v>
      </c>
      <c r="I344" s="243">
        <f t="shared" ref="I344:J344" ca="1" si="77">+I345+I346+I347</f>
        <v>35</v>
      </c>
      <c r="J344" s="79">
        <f t="shared" si="77"/>
        <v>0</v>
      </c>
      <c r="K344" s="49">
        <f t="shared" ref="K344:K347" ca="1" si="78">IF(I344&gt;0,J344*100/I344,0)</f>
        <v>0</v>
      </c>
      <c r="L344" s="61"/>
      <c r="M344" s="61"/>
      <c r="N344" s="61"/>
    </row>
    <row r="345" spans="1:14" ht="21.75" customHeight="1" x14ac:dyDescent="0.4">
      <c r="A345" s="55"/>
      <c r="B345" s="56"/>
      <c r="C345" s="56"/>
      <c r="D345" s="73"/>
      <c r="E345" s="77"/>
      <c r="F345" s="75"/>
      <c r="G345" s="99" t="s">
        <v>143</v>
      </c>
      <c r="H345" s="66" t="s">
        <v>16</v>
      </c>
      <c r="I345" s="200">
        <f ca="1">IFERROR(__xludf.DUMMYFUNCTION("IMPORTRANGE(""https://docs.google.com/spreadsheets/d/1C3CXT74ZlgGe6_JY_1olB1XN4rF0dxEuIIF-xsYjHgg/edit?usp=sharing"",""งบกองทุน!ay25"")"),15)</f>
        <v>15</v>
      </c>
      <c r="J345" s="68">
        <v>0</v>
      </c>
      <c r="K345" s="49">
        <f t="shared" ca="1" si="78"/>
        <v>0</v>
      </c>
      <c r="L345" s="61"/>
      <c r="M345" s="61"/>
      <c r="N345" s="61"/>
    </row>
    <row r="346" spans="1:14" ht="21.75" customHeight="1" x14ac:dyDescent="0.4">
      <c r="A346" s="55"/>
      <c r="B346" s="56"/>
      <c r="C346" s="56"/>
      <c r="D346" s="73"/>
      <c r="E346" s="77"/>
      <c r="F346" s="75"/>
      <c r="G346" s="76" t="s">
        <v>229</v>
      </c>
      <c r="H346" s="66" t="s">
        <v>16</v>
      </c>
      <c r="I346" s="200">
        <f ca="1">IFERROR(__xludf.DUMMYFUNCTION("IMPORTRANGE(""https://docs.google.com/spreadsheets/d/1C3CXT74ZlgGe6_JY_1olB1XN4rF0dxEuIIF-xsYjHgg/edit?usp=sharing"",""งบกองทุน!az25"")"),20)</f>
        <v>20</v>
      </c>
      <c r="J346" s="68">
        <v>0</v>
      </c>
      <c r="K346" s="49">
        <f t="shared" ca="1" si="78"/>
        <v>0</v>
      </c>
      <c r="L346" s="61"/>
      <c r="M346" s="61"/>
      <c r="N346" s="61"/>
    </row>
    <row r="347" spans="1:14" ht="21.75" customHeight="1" x14ac:dyDescent="0.4">
      <c r="A347" s="55"/>
      <c r="B347" s="56"/>
      <c r="C347" s="56"/>
      <c r="D347" s="73"/>
      <c r="E347" s="77"/>
      <c r="F347" s="75"/>
      <c r="G347" s="76" t="s">
        <v>145</v>
      </c>
      <c r="H347" s="66" t="s">
        <v>16</v>
      </c>
      <c r="I347" s="67">
        <f ca="1">IFERROR(__xludf.DUMMYFUNCTION("IMPORTRANGE(""https://docs.google.com/spreadsheets/d/1C3CXT74ZlgGe6_JY_1olB1XN4rF0dxEuIIF-xsYjHgg/edit?usp=sharing"",""งบกองทุน!Ba25"")"),0)</f>
        <v>0</v>
      </c>
      <c r="J347" s="67">
        <v>0</v>
      </c>
      <c r="K347" s="49">
        <f t="shared" ca="1" si="78"/>
        <v>0</v>
      </c>
      <c r="L347" s="61"/>
      <c r="M347" s="61"/>
      <c r="N347" s="61"/>
    </row>
    <row r="348" spans="1:14" ht="21.75" customHeight="1" x14ac:dyDescent="0.4">
      <c r="A348" s="55"/>
      <c r="B348" s="56"/>
      <c r="C348" s="56"/>
      <c r="D348" s="73"/>
      <c r="E348" s="74" t="s">
        <v>35</v>
      </c>
      <c r="F348" s="75"/>
      <c r="G348" s="76"/>
      <c r="H348" s="66"/>
      <c r="I348" s="67"/>
      <c r="J348" s="68">
        <v>0</v>
      </c>
      <c r="K348" s="49"/>
      <c r="L348" s="61"/>
      <c r="M348" s="61"/>
      <c r="N348" s="61"/>
    </row>
    <row r="349" spans="1:14" ht="21.75" customHeight="1" x14ac:dyDescent="0.4">
      <c r="A349" s="55"/>
      <c r="B349" s="56"/>
      <c r="C349" s="56"/>
      <c r="D349" s="81">
        <v>3</v>
      </c>
      <c r="E349" s="82" t="s">
        <v>36</v>
      </c>
      <c r="F349" s="83"/>
      <c r="G349" s="84"/>
      <c r="H349" s="66"/>
      <c r="I349" s="67"/>
      <c r="J349" s="85">
        <v>0</v>
      </c>
      <c r="K349" s="49"/>
      <c r="L349" s="61"/>
      <c r="M349" s="61"/>
      <c r="N349" s="61"/>
    </row>
    <row r="350" spans="1:14" ht="21.75" customHeight="1" x14ac:dyDescent="0.4">
      <c r="A350" s="222"/>
      <c r="B350" s="223">
        <v>5</v>
      </c>
      <c r="C350" s="224" t="s">
        <v>146</v>
      </c>
      <c r="D350" s="224"/>
      <c r="E350" s="224"/>
      <c r="F350" s="224"/>
      <c r="G350" s="225"/>
      <c r="H350" s="226" t="s">
        <v>103</v>
      </c>
      <c r="I350" s="227">
        <f ca="1">I359</f>
        <v>52202</v>
      </c>
      <c r="J350" s="227">
        <f>+J359</f>
        <v>0</v>
      </c>
      <c r="K350" s="228">
        <f ca="1">IF(I350&gt;0,J350*100/I350,0)</f>
        <v>0</v>
      </c>
      <c r="L350" s="229">
        <f t="shared" ref="L350:M350" ca="1" si="79">SUM(L351:L352)</f>
        <v>611754</v>
      </c>
      <c r="M350" s="229">
        <f t="shared" si="79"/>
        <v>0</v>
      </c>
      <c r="N350" s="229">
        <f t="shared" ref="N350:N354" ca="1" si="80">+IF(L350&gt;0,M350*100/L350,0)</f>
        <v>0</v>
      </c>
    </row>
    <row r="351" spans="1:14" ht="21.75" customHeight="1" x14ac:dyDescent="0.4">
      <c r="A351" s="42"/>
      <c r="B351" s="43"/>
      <c r="C351" s="43" t="s">
        <v>17</v>
      </c>
      <c r="D351" s="44" t="s">
        <v>18</v>
      </c>
      <c r="E351" s="45"/>
      <c r="F351" s="45"/>
      <c r="G351" s="46" t="s">
        <v>19</v>
      </c>
      <c r="H351" s="47" t="s">
        <v>20</v>
      </c>
      <c r="I351" s="48" t="s">
        <v>21</v>
      </c>
      <c r="J351" s="48"/>
      <c r="K351" s="49"/>
      <c r="L351" s="50">
        <v>0</v>
      </c>
      <c r="M351" s="53">
        <v>0</v>
      </c>
      <c r="N351" s="53">
        <f t="shared" si="80"/>
        <v>0</v>
      </c>
    </row>
    <row r="352" spans="1:14" ht="21.75" customHeight="1" x14ac:dyDescent="0.4">
      <c r="A352" s="42"/>
      <c r="B352" s="43"/>
      <c r="C352" s="43"/>
      <c r="D352" s="51"/>
      <c r="E352" s="45"/>
      <c r="F352" s="45" t="s">
        <v>21</v>
      </c>
      <c r="G352" s="46" t="s">
        <v>22</v>
      </c>
      <c r="H352" s="47" t="s">
        <v>20</v>
      </c>
      <c r="I352" s="48"/>
      <c r="J352" s="48"/>
      <c r="K352" s="49"/>
      <c r="L352" s="50">
        <f t="shared" ref="L352:M352" ca="1" si="81">SUM(L353:L354)</f>
        <v>611754</v>
      </c>
      <c r="M352" s="53">
        <f t="shared" si="81"/>
        <v>0</v>
      </c>
      <c r="N352" s="53">
        <f t="shared" ca="1" si="80"/>
        <v>0</v>
      </c>
    </row>
    <row r="353" spans="1:14" ht="21.75" customHeight="1" x14ac:dyDescent="0.4">
      <c r="A353" s="42"/>
      <c r="B353" s="43"/>
      <c r="C353" s="43"/>
      <c r="D353" s="51"/>
      <c r="E353" s="45"/>
      <c r="F353" s="45"/>
      <c r="G353" s="52" t="s">
        <v>110</v>
      </c>
      <c r="H353" s="47" t="s">
        <v>20</v>
      </c>
      <c r="I353" s="48"/>
      <c r="J353" s="48"/>
      <c r="K353" s="49"/>
      <c r="L353" s="53">
        <f ca="1">IFERROR(__xludf.DUMMYFUNCTION("IMPORTRANGE(""https://docs.google.com/spreadsheets/d/1C3CXT74ZlgGe6_JY_1olB1XN4rF0dxEuIIF-xsYjHgg/edit?usp=sharing"",""งบกองทุน!Bc25"")"),0)</f>
        <v>0</v>
      </c>
      <c r="M353" s="53">
        <v>0</v>
      </c>
      <c r="N353" s="53">
        <f t="shared" ca="1" si="80"/>
        <v>0</v>
      </c>
    </row>
    <row r="354" spans="1:14" ht="21.75" customHeight="1" x14ac:dyDescent="0.4">
      <c r="A354" s="42"/>
      <c r="B354" s="43"/>
      <c r="C354" s="43"/>
      <c r="D354" s="51"/>
      <c r="E354" s="45"/>
      <c r="F354" s="45"/>
      <c r="G354" s="52" t="s">
        <v>111</v>
      </c>
      <c r="H354" s="47" t="s">
        <v>20</v>
      </c>
      <c r="I354" s="48"/>
      <c r="J354" s="48"/>
      <c r="K354" s="49"/>
      <c r="L354" s="53">
        <f ca="1">IFERROR(__xludf.DUMMYFUNCTION("IMPORTRANGE(""https://docs.google.com/spreadsheets/d/1C3CXT74ZlgGe6_JY_1olB1XN4rF0dxEuIIF-xsYjHgg/edit?usp=sharing"",""งบกองทุน!Bd25"")"),611754)</f>
        <v>611754</v>
      </c>
      <c r="M354" s="53">
        <f>SUM(M355:M358)</f>
        <v>0</v>
      </c>
      <c r="N354" s="53">
        <f t="shared" ca="1" si="80"/>
        <v>0</v>
      </c>
    </row>
    <row r="355" spans="1:14" ht="21.75" customHeight="1" x14ac:dyDescent="0.4">
      <c r="A355" s="230"/>
      <c r="B355" s="231"/>
      <c r="C355" s="43"/>
      <c r="D355" s="232"/>
      <c r="E355" s="45"/>
      <c r="F355" s="45"/>
      <c r="G355" s="46" t="s">
        <v>112</v>
      </c>
      <c r="H355" s="47" t="s">
        <v>20</v>
      </c>
      <c r="I355" s="67"/>
      <c r="J355" s="67"/>
      <c r="K355" s="233"/>
      <c r="L355" s="53"/>
      <c r="M355" s="53">
        <v>0</v>
      </c>
      <c r="N355" s="53"/>
    </row>
    <row r="356" spans="1:14" ht="21.75" customHeight="1" x14ac:dyDescent="0.4">
      <c r="A356" s="230"/>
      <c r="B356" s="231"/>
      <c r="C356" s="43"/>
      <c r="D356" s="232"/>
      <c r="E356" s="45"/>
      <c r="F356" s="45"/>
      <c r="G356" s="46" t="s">
        <v>113</v>
      </c>
      <c r="H356" s="47" t="s">
        <v>20</v>
      </c>
      <c r="I356" s="67"/>
      <c r="J356" s="67"/>
      <c r="K356" s="233"/>
      <c r="L356" s="53"/>
      <c r="M356" s="53">
        <v>0</v>
      </c>
      <c r="N356" s="53"/>
    </row>
    <row r="357" spans="1:14" ht="21.75" customHeight="1" x14ac:dyDescent="0.4">
      <c r="A357" s="230"/>
      <c r="B357" s="231"/>
      <c r="C357" s="43"/>
      <c r="D357" s="232"/>
      <c r="E357" s="45"/>
      <c r="F357" s="45"/>
      <c r="G357" s="46" t="s">
        <v>114</v>
      </c>
      <c r="H357" s="47" t="s">
        <v>20</v>
      </c>
      <c r="I357" s="67"/>
      <c r="J357" s="67"/>
      <c r="K357" s="233"/>
      <c r="L357" s="53"/>
      <c r="M357" s="54">
        <v>0</v>
      </c>
      <c r="N357" s="53"/>
    </row>
    <row r="358" spans="1:14" ht="21.75" customHeight="1" x14ac:dyDescent="0.4">
      <c r="A358" s="230"/>
      <c r="B358" s="231"/>
      <c r="C358" s="43"/>
      <c r="D358" s="232"/>
      <c r="E358" s="45"/>
      <c r="F358" s="45"/>
      <c r="G358" s="46" t="s">
        <v>115</v>
      </c>
      <c r="H358" s="47" t="s">
        <v>20</v>
      </c>
      <c r="I358" s="67"/>
      <c r="J358" s="67"/>
      <c r="K358" s="233"/>
      <c r="L358" s="53"/>
      <c r="M358" s="54">
        <v>0</v>
      </c>
      <c r="N358" s="53"/>
    </row>
    <row r="359" spans="1:14" ht="21.75" customHeight="1" x14ac:dyDescent="0.4">
      <c r="A359" s="55"/>
      <c r="B359" s="56"/>
      <c r="C359" s="261" t="s">
        <v>147</v>
      </c>
      <c r="D359" s="261"/>
      <c r="E359" s="262"/>
      <c r="F359" s="262"/>
      <c r="G359" s="263"/>
      <c r="H359" s="136" t="s">
        <v>103</v>
      </c>
      <c r="I359" s="137">
        <f ca="1">IFERROR(__xludf.DUMMYFUNCTION("IMPORTRANGE(""https://docs.google.com/spreadsheets/d/1C3CXT74ZlgGe6_JY_1olB1XN4rF0dxEuIIF-xsYjHgg/edit?usp=sharing"",""งบกองทุน!BE25"")"),52202)</f>
        <v>52202</v>
      </c>
      <c r="J359" s="137">
        <f>+J376</f>
        <v>0</v>
      </c>
      <c r="K359" s="138">
        <f t="shared" ref="K359:K425" ca="1" si="82">IF(I359&gt;0,J359*100/I359,0)</f>
        <v>0</v>
      </c>
      <c r="L359" s="140"/>
      <c r="M359" s="140"/>
      <c r="N359" s="140"/>
    </row>
    <row r="360" spans="1:14" ht="21.75" customHeight="1" x14ac:dyDescent="0.4">
      <c r="A360" s="249"/>
      <c r="B360" s="250"/>
      <c r="C360" s="250"/>
      <c r="D360" s="251"/>
      <c r="E360" s="73" t="s">
        <v>148</v>
      </c>
      <c r="F360" s="75"/>
      <c r="G360" s="76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IFERROR(__xludf.DUMMYFUNCTION("IMPORTRANGE(""https://docs.google.com/spreadsheets/d/1C3CXT74ZlgGe6_JY_1olB1XN4rF0dxEuIIF-xsYjHgg/edit?usp=sharing"",""งบกองทุน!BE25"")"),52202)</f>
        <v>52202</v>
      </c>
      <c r="J360" s="265">
        <f t="shared" ref="J360:J361" si="83">+J362+J364+J366</f>
        <v>0</v>
      </c>
      <c r="K360" s="80">
        <f t="shared" ca="1" si="82"/>
        <v>0</v>
      </c>
      <c r="L360" s="61"/>
      <c r="M360" s="61"/>
      <c r="N360" s="61"/>
    </row>
    <row r="361" spans="1:14" ht="21.75" customHeight="1" x14ac:dyDescent="0.4">
      <c r="A361" s="249"/>
      <c r="B361" s="250"/>
      <c r="C361" s="250"/>
      <c r="D361" s="251"/>
      <c r="E361" s="75"/>
      <c r="F361" s="75"/>
      <c r="G361" s="76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IFERROR(__xludf.DUMMYFUNCTION("IMPORTRANGE(""https://docs.google.com/spreadsheets/d/1C3CXT74ZlgGe6_JY_1olB1XN4rF0dxEuIIF-xsYjHgg/edit?usp=sharing"",""งบกองทุน!Bf25"")"),9077)</f>
        <v>9077</v>
      </c>
      <c r="J361" s="265">
        <f t="shared" si="83"/>
        <v>0</v>
      </c>
      <c r="K361" s="80">
        <f t="shared" ca="1" si="82"/>
        <v>0</v>
      </c>
      <c r="L361" s="61"/>
      <c r="M361" s="61"/>
      <c r="N361" s="61"/>
    </row>
    <row r="362" spans="1:14" ht="21.75" customHeight="1" x14ac:dyDescent="0.4">
      <c r="A362" s="249"/>
      <c r="B362" s="250"/>
      <c r="C362" s="250"/>
      <c r="D362" s="251"/>
      <c r="E362" s="75"/>
      <c r="F362" s="242" t="s">
        <v>149</v>
      </c>
      <c r="G362" s="266"/>
      <c r="H362" s="267" t="s">
        <v>103</v>
      </c>
      <c r="I362" s="48">
        <v>0</v>
      </c>
      <c r="J362" s="68">
        <v>0</v>
      </c>
      <c r="K362" s="49">
        <f t="shared" si="82"/>
        <v>0</v>
      </c>
      <c r="L362" s="61"/>
      <c r="M362" s="61"/>
      <c r="N362" s="61"/>
    </row>
    <row r="363" spans="1:14" ht="21.75" customHeight="1" x14ac:dyDescent="0.4">
      <c r="A363" s="249"/>
      <c r="B363" s="250"/>
      <c r="C363" s="250"/>
      <c r="D363" s="251"/>
      <c r="E363" s="75"/>
      <c r="F363" s="75"/>
      <c r="G363" s="266"/>
      <c r="H363" s="267" t="s">
        <v>15</v>
      </c>
      <c r="I363" s="48">
        <v>0</v>
      </c>
      <c r="J363" s="68">
        <v>0</v>
      </c>
      <c r="K363" s="49">
        <f t="shared" si="82"/>
        <v>0</v>
      </c>
      <c r="L363" s="61"/>
      <c r="M363" s="61"/>
      <c r="N363" s="61"/>
    </row>
    <row r="364" spans="1:14" ht="21.75" customHeight="1" x14ac:dyDescent="0.4">
      <c r="A364" s="249"/>
      <c r="B364" s="250"/>
      <c r="C364" s="250"/>
      <c r="D364" s="251"/>
      <c r="E364" s="75"/>
      <c r="F364" s="242" t="s">
        <v>150</v>
      </c>
      <c r="G364" s="266"/>
      <c r="H364" s="267" t="s">
        <v>103</v>
      </c>
      <c r="I364" s="48">
        <v>0</v>
      </c>
      <c r="J364" s="68">
        <v>0</v>
      </c>
      <c r="K364" s="49">
        <f t="shared" si="82"/>
        <v>0</v>
      </c>
      <c r="L364" s="61"/>
      <c r="M364" s="61"/>
      <c r="N364" s="61"/>
    </row>
    <row r="365" spans="1:14" ht="21.75" customHeight="1" x14ac:dyDescent="0.4">
      <c r="A365" s="249"/>
      <c r="B365" s="250"/>
      <c r="C365" s="250"/>
      <c r="D365" s="251"/>
      <c r="E365" s="75"/>
      <c r="F365" s="75"/>
      <c r="G365" s="266"/>
      <c r="H365" s="267" t="s">
        <v>15</v>
      </c>
      <c r="I365" s="48">
        <v>0</v>
      </c>
      <c r="J365" s="68">
        <v>0</v>
      </c>
      <c r="K365" s="49">
        <f t="shared" si="82"/>
        <v>0</v>
      </c>
      <c r="L365" s="61"/>
      <c r="M365" s="61"/>
      <c r="N365" s="61"/>
    </row>
    <row r="366" spans="1:14" ht="21.75" customHeight="1" x14ac:dyDescent="0.4">
      <c r="A366" s="249"/>
      <c r="B366" s="250"/>
      <c r="C366" s="250"/>
      <c r="D366" s="251"/>
      <c r="E366" s="75"/>
      <c r="F366" s="242" t="s">
        <v>151</v>
      </c>
      <c r="G366" s="266"/>
      <c r="H366" s="267" t="s">
        <v>103</v>
      </c>
      <c r="I366" s="48">
        <v>0</v>
      </c>
      <c r="J366" s="68">
        <v>0</v>
      </c>
      <c r="K366" s="49">
        <f t="shared" si="82"/>
        <v>0</v>
      </c>
      <c r="L366" s="61"/>
      <c r="M366" s="61"/>
      <c r="N366" s="61"/>
    </row>
    <row r="367" spans="1:14" ht="21.75" customHeight="1" x14ac:dyDescent="0.4">
      <c r="A367" s="249"/>
      <c r="B367" s="250"/>
      <c r="C367" s="250"/>
      <c r="D367" s="251"/>
      <c r="E367" s="75"/>
      <c r="F367" s="75"/>
      <c r="G367" s="75"/>
      <c r="H367" s="267" t="s">
        <v>15</v>
      </c>
      <c r="I367" s="48">
        <v>0</v>
      </c>
      <c r="J367" s="68">
        <v>0</v>
      </c>
      <c r="K367" s="49">
        <f t="shared" si="82"/>
        <v>0</v>
      </c>
      <c r="L367" s="61"/>
      <c r="M367" s="61"/>
      <c r="N367" s="61"/>
    </row>
    <row r="368" spans="1:14" ht="21.75" customHeight="1" x14ac:dyDescent="0.4">
      <c r="A368" s="249"/>
      <c r="B368" s="250"/>
      <c r="C368" s="250"/>
      <c r="D368" s="251"/>
      <c r="E368" s="155" t="s">
        <v>152</v>
      </c>
      <c r="F368" s="75"/>
      <c r="G368" s="76"/>
      <c r="H368" s="264" t="s">
        <v>103</v>
      </c>
      <c r="I368" s="265">
        <f ca="1">+I359</f>
        <v>52202</v>
      </c>
      <c r="J368" s="265">
        <f t="shared" ref="J368:J369" si="84">+J370+J372+J374</f>
        <v>0</v>
      </c>
      <c r="K368" s="80">
        <f t="shared" ca="1" si="82"/>
        <v>0</v>
      </c>
      <c r="L368" s="61"/>
      <c r="M368" s="61"/>
      <c r="N368" s="61"/>
    </row>
    <row r="369" spans="1:14" ht="21.75" customHeight="1" x14ac:dyDescent="0.4">
      <c r="A369" s="249"/>
      <c r="B369" s="250"/>
      <c r="C369" s="250"/>
      <c r="D369" s="251"/>
      <c r="E369" s="75"/>
      <c r="F369" s="75"/>
      <c r="G369" s="76"/>
      <c r="H369" s="264" t="s">
        <v>15</v>
      </c>
      <c r="I369" s="265">
        <f ca="1">I361</f>
        <v>9077</v>
      </c>
      <c r="J369" s="265">
        <f t="shared" si="84"/>
        <v>0</v>
      </c>
      <c r="K369" s="49">
        <f t="shared" ca="1" si="82"/>
        <v>0</v>
      </c>
      <c r="L369" s="61"/>
      <c r="M369" s="61"/>
      <c r="N369" s="61"/>
    </row>
    <row r="370" spans="1:14" ht="21.75" customHeight="1" x14ac:dyDescent="0.4">
      <c r="A370" s="249"/>
      <c r="B370" s="250"/>
      <c r="C370" s="250"/>
      <c r="D370" s="251"/>
      <c r="E370" s="75"/>
      <c r="F370" s="74" t="s">
        <v>153</v>
      </c>
      <c r="G370" s="266"/>
      <c r="H370" s="267" t="s">
        <v>103</v>
      </c>
      <c r="I370" s="48">
        <v>0</v>
      </c>
      <c r="J370" s="68">
        <v>0</v>
      </c>
      <c r="K370" s="49">
        <f t="shared" si="82"/>
        <v>0</v>
      </c>
      <c r="L370" s="61"/>
      <c r="M370" s="61"/>
      <c r="N370" s="61"/>
    </row>
    <row r="371" spans="1:14" ht="21.75" customHeight="1" x14ac:dyDescent="0.4">
      <c r="A371" s="249"/>
      <c r="B371" s="250"/>
      <c r="C371" s="250"/>
      <c r="D371" s="251"/>
      <c r="E371" s="75"/>
      <c r="F371" s="75"/>
      <c r="G371" s="266"/>
      <c r="H371" s="267" t="s">
        <v>15</v>
      </c>
      <c r="I371" s="48">
        <v>0</v>
      </c>
      <c r="J371" s="68">
        <v>0</v>
      </c>
      <c r="K371" s="49">
        <f t="shared" si="82"/>
        <v>0</v>
      </c>
      <c r="L371" s="61"/>
      <c r="M371" s="61"/>
      <c r="N371" s="61"/>
    </row>
    <row r="372" spans="1:14" ht="21.75" customHeight="1" x14ac:dyDescent="0.4">
      <c r="A372" s="249"/>
      <c r="B372" s="250"/>
      <c r="C372" s="250"/>
      <c r="D372" s="251"/>
      <c r="E372" s="75"/>
      <c r="F372" s="74" t="s">
        <v>154</v>
      </c>
      <c r="G372" s="266"/>
      <c r="H372" s="267" t="s">
        <v>103</v>
      </c>
      <c r="I372" s="48">
        <v>0</v>
      </c>
      <c r="J372" s="68">
        <v>0</v>
      </c>
      <c r="K372" s="49">
        <f t="shared" si="82"/>
        <v>0</v>
      </c>
      <c r="L372" s="61"/>
      <c r="M372" s="61"/>
      <c r="N372" s="61"/>
    </row>
    <row r="373" spans="1:14" ht="21.75" customHeight="1" x14ac:dyDescent="0.4">
      <c r="A373" s="249"/>
      <c r="B373" s="250"/>
      <c r="C373" s="250"/>
      <c r="D373" s="251"/>
      <c r="E373" s="75"/>
      <c r="F373" s="75"/>
      <c r="G373" s="266"/>
      <c r="H373" s="267" t="s">
        <v>15</v>
      </c>
      <c r="I373" s="48">
        <v>0</v>
      </c>
      <c r="J373" s="68">
        <v>0</v>
      </c>
      <c r="K373" s="49">
        <f t="shared" si="82"/>
        <v>0</v>
      </c>
      <c r="L373" s="61"/>
      <c r="M373" s="61"/>
      <c r="N373" s="61"/>
    </row>
    <row r="374" spans="1:14" ht="21.75" customHeight="1" x14ac:dyDescent="0.4">
      <c r="A374" s="249"/>
      <c r="B374" s="250"/>
      <c r="C374" s="250"/>
      <c r="D374" s="251"/>
      <c r="E374" s="75"/>
      <c r="F374" s="74" t="s">
        <v>155</v>
      </c>
      <c r="G374" s="266"/>
      <c r="H374" s="267" t="s">
        <v>103</v>
      </c>
      <c r="I374" s="48">
        <v>0</v>
      </c>
      <c r="J374" s="68">
        <v>0</v>
      </c>
      <c r="K374" s="49">
        <f t="shared" si="82"/>
        <v>0</v>
      </c>
      <c r="L374" s="61"/>
      <c r="M374" s="61"/>
      <c r="N374" s="61"/>
    </row>
    <row r="375" spans="1:14" ht="21.75" customHeight="1" x14ac:dyDescent="0.4">
      <c r="A375" s="249"/>
      <c r="B375" s="250"/>
      <c r="C375" s="250"/>
      <c r="D375" s="251"/>
      <c r="E375" s="75"/>
      <c r="F375" s="75"/>
      <c r="G375" s="76"/>
      <c r="H375" s="267" t="s">
        <v>15</v>
      </c>
      <c r="I375" s="48">
        <v>0</v>
      </c>
      <c r="J375" s="68">
        <v>0</v>
      </c>
      <c r="K375" s="49">
        <f t="shared" si="82"/>
        <v>0</v>
      </c>
      <c r="L375" s="61"/>
      <c r="M375" s="61"/>
      <c r="N375" s="61"/>
    </row>
    <row r="376" spans="1:14" ht="21.75" customHeight="1" x14ac:dyDescent="0.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52202</v>
      </c>
      <c r="J376" s="265">
        <f t="shared" ref="J376:J377" si="85">+J378+J380+J382+J388</f>
        <v>0</v>
      </c>
      <c r="K376" s="80">
        <f t="shared" ca="1" si="82"/>
        <v>0</v>
      </c>
      <c r="L376" s="275"/>
      <c r="M376" s="275"/>
      <c r="N376" s="275"/>
    </row>
    <row r="377" spans="1:14" ht="21.75" customHeight="1" x14ac:dyDescent="0.4">
      <c r="A377" s="249"/>
      <c r="B377" s="250"/>
      <c r="C377" s="250"/>
      <c r="D377" s="251"/>
      <c r="E377" s="75"/>
      <c r="F377" s="75"/>
      <c r="G377" s="76"/>
      <c r="H377" s="264" t="s">
        <v>15</v>
      </c>
      <c r="I377" s="265">
        <f ca="1">I361</f>
        <v>9077</v>
      </c>
      <c r="J377" s="265">
        <f t="shared" si="85"/>
        <v>0</v>
      </c>
      <c r="K377" s="49">
        <f t="shared" ca="1" si="82"/>
        <v>0</v>
      </c>
      <c r="L377" s="61"/>
      <c r="M377" s="61"/>
      <c r="N377" s="61"/>
    </row>
    <row r="378" spans="1:14" ht="21.75" customHeight="1" x14ac:dyDescent="0.4">
      <c r="A378" s="249"/>
      <c r="B378" s="250"/>
      <c r="C378" s="250"/>
      <c r="D378" s="251"/>
      <c r="E378" s="75"/>
      <c r="F378" s="74" t="s">
        <v>157</v>
      </c>
      <c r="G378" s="266"/>
      <c r="H378" s="267" t="s">
        <v>103</v>
      </c>
      <c r="I378" s="48">
        <v>0</v>
      </c>
      <c r="J378" s="68">
        <v>0</v>
      </c>
      <c r="K378" s="49">
        <f t="shared" si="82"/>
        <v>0</v>
      </c>
      <c r="L378" s="61"/>
      <c r="M378" s="61"/>
      <c r="N378" s="61"/>
    </row>
    <row r="379" spans="1:14" ht="21.75" customHeight="1" x14ac:dyDescent="0.4">
      <c r="A379" s="249"/>
      <c r="B379" s="250"/>
      <c r="C379" s="250"/>
      <c r="D379" s="251"/>
      <c r="E379" s="75"/>
      <c r="F379" s="75"/>
      <c r="G379" s="266"/>
      <c r="H379" s="267" t="s">
        <v>15</v>
      </c>
      <c r="I379" s="48">
        <v>0</v>
      </c>
      <c r="J379" s="68">
        <v>0</v>
      </c>
      <c r="K379" s="49">
        <f t="shared" si="82"/>
        <v>0</v>
      </c>
      <c r="L379" s="61"/>
      <c r="M379" s="61"/>
      <c r="N379" s="61"/>
    </row>
    <row r="380" spans="1:14" ht="21.75" customHeight="1" x14ac:dyDescent="0.4">
      <c r="A380" s="249"/>
      <c r="B380" s="250"/>
      <c r="C380" s="250"/>
      <c r="D380" s="251"/>
      <c r="E380" s="75"/>
      <c r="F380" s="74" t="s">
        <v>158</v>
      </c>
      <c r="G380" s="266"/>
      <c r="H380" s="267" t="s">
        <v>103</v>
      </c>
      <c r="I380" s="48">
        <v>0</v>
      </c>
      <c r="J380" s="68">
        <v>0</v>
      </c>
      <c r="K380" s="49">
        <f t="shared" si="82"/>
        <v>0</v>
      </c>
      <c r="L380" s="61"/>
      <c r="M380" s="61"/>
      <c r="N380" s="61"/>
    </row>
    <row r="381" spans="1:14" ht="21.75" customHeight="1" x14ac:dyDescent="0.4">
      <c r="A381" s="249"/>
      <c r="B381" s="250"/>
      <c r="C381" s="250"/>
      <c r="D381" s="251"/>
      <c r="E381" s="75"/>
      <c r="F381" s="75"/>
      <c r="G381" s="266"/>
      <c r="H381" s="267" t="s">
        <v>15</v>
      </c>
      <c r="I381" s="48">
        <v>0</v>
      </c>
      <c r="J381" s="68">
        <v>0</v>
      </c>
      <c r="K381" s="49">
        <f t="shared" si="82"/>
        <v>0</v>
      </c>
      <c r="L381" s="61"/>
      <c r="M381" s="61"/>
      <c r="N381" s="61"/>
    </row>
    <row r="382" spans="1:14" ht="21.75" customHeight="1" x14ac:dyDescent="0.4">
      <c r="A382" s="249"/>
      <c r="B382" s="250"/>
      <c r="C382" s="250"/>
      <c r="D382" s="251"/>
      <c r="E382" s="75"/>
      <c r="F382" s="74" t="s">
        <v>159</v>
      </c>
      <c r="G382" s="266"/>
      <c r="H382" s="267" t="s">
        <v>103</v>
      </c>
      <c r="I382" s="48">
        <v>0</v>
      </c>
      <c r="J382" s="265">
        <f t="shared" ref="J382:J383" si="86">J384+J386</f>
        <v>0</v>
      </c>
      <c r="K382" s="49">
        <f t="shared" si="82"/>
        <v>0</v>
      </c>
      <c r="L382" s="61"/>
      <c r="M382" s="61"/>
      <c r="N382" s="61"/>
    </row>
    <row r="383" spans="1:14" ht="21.75" customHeight="1" x14ac:dyDescent="0.4">
      <c r="A383" s="249"/>
      <c r="B383" s="250"/>
      <c r="C383" s="250"/>
      <c r="D383" s="251"/>
      <c r="E383" s="75"/>
      <c r="F383" s="75"/>
      <c r="G383" s="75"/>
      <c r="H383" s="267" t="s">
        <v>15</v>
      </c>
      <c r="I383" s="48">
        <v>0</v>
      </c>
      <c r="J383" s="265">
        <f t="shared" si="86"/>
        <v>0</v>
      </c>
      <c r="K383" s="49">
        <f t="shared" si="82"/>
        <v>0</v>
      </c>
      <c r="L383" s="61"/>
      <c r="M383" s="61"/>
      <c r="N383" s="61"/>
    </row>
    <row r="384" spans="1:14" ht="21.75" customHeight="1" x14ac:dyDescent="0.4">
      <c r="A384" s="249"/>
      <c r="B384" s="250"/>
      <c r="C384" s="250"/>
      <c r="D384" s="251"/>
      <c r="E384" s="75"/>
      <c r="F384" s="75"/>
      <c r="G384" s="74" t="s">
        <v>160</v>
      </c>
      <c r="H384" s="267" t="s">
        <v>103</v>
      </c>
      <c r="I384" s="48">
        <v>0</v>
      </c>
      <c r="J384" s="68">
        <v>0</v>
      </c>
      <c r="K384" s="49">
        <f t="shared" si="82"/>
        <v>0</v>
      </c>
      <c r="L384" s="61"/>
      <c r="M384" s="61"/>
      <c r="N384" s="61"/>
    </row>
    <row r="385" spans="1:14" ht="21.75" customHeight="1" x14ac:dyDescent="0.4">
      <c r="A385" s="249"/>
      <c r="B385" s="250"/>
      <c r="C385" s="250"/>
      <c r="D385" s="251"/>
      <c r="E385" s="75"/>
      <c r="F385" s="75"/>
      <c r="G385" s="75"/>
      <c r="H385" s="267" t="s">
        <v>15</v>
      </c>
      <c r="I385" s="48">
        <v>0</v>
      </c>
      <c r="J385" s="68">
        <v>0</v>
      </c>
      <c r="K385" s="49">
        <f t="shared" si="82"/>
        <v>0</v>
      </c>
      <c r="L385" s="61"/>
      <c r="M385" s="61"/>
      <c r="N385" s="61"/>
    </row>
    <row r="386" spans="1:14" ht="21.75" customHeight="1" x14ac:dyDescent="0.4">
      <c r="A386" s="249"/>
      <c r="B386" s="250"/>
      <c r="C386" s="250"/>
      <c r="D386" s="251"/>
      <c r="E386" s="75"/>
      <c r="F386" s="75"/>
      <c r="G386" s="74" t="s">
        <v>161</v>
      </c>
      <c r="H386" s="267" t="s">
        <v>103</v>
      </c>
      <c r="I386" s="48">
        <v>0</v>
      </c>
      <c r="J386" s="68">
        <v>0</v>
      </c>
      <c r="K386" s="49">
        <f t="shared" si="82"/>
        <v>0</v>
      </c>
      <c r="L386" s="61"/>
      <c r="M386" s="61"/>
      <c r="N386" s="61"/>
    </row>
    <row r="387" spans="1:14" ht="21.75" customHeight="1" x14ac:dyDescent="0.4">
      <c r="A387" s="249"/>
      <c r="B387" s="250"/>
      <c r="C387" s="250"/>
      <c r="D387" s="251"/>
      <c r="E387" s="75"/>
      <c r="F387" s="75"/>
      <c r="G387" s="76"/>
      <c r="H387" s="267" t="s">
        <v>15</v>
      </c>
      <c r="I387" s="48">
        <v>0</v>
      </c>
      <c r="J387" s="68">
        <v>0</v>
      </c>
      <c r="K387" s="49">
        <f t="shared" si="82"/>
        <v>0</v>
      </c>
      <c r="L387" s="61"/>
      <c r="M387" s="61"/>
      <c r="N387" s="61"/>
    </row>
    <row r="388" spans="1:14" ht="21.75" customHeight="1" x14ac:dyDescent="0.4">
      <c r="A388" s="249"/>
      <c r="B388" s="250"/>
      <c r="C388" s="250"/>
      <c r="D388" s="251"/>
      <c r="E388" s="75"/>
      <c r="F388" s="74" t="s">
        <v>162</v>
      </c>
      <c r="G388" s="266"/>
      <c r="H388" s="267" t="s">
        <v>103</v>
      </c>
      <c r="I388" s="48">
        <v>0</v>
      </c>
      <c r="J388" s="68">
        <v>0</v>
      </c>
      <c r="K388" s="49">
        <f t="shared" si="82"/>
        <v>0</v>
      </c>
      <c r="L388" s="61"/>
      <c r="M388" s="61"/>
      <c r="N388" s="61"/>
    </row>
    <row r="389" spans="1:14" ht="21.75" customHeight="1" x14ac:dyDescent="0.4">
      <c r="A389" s="276"/>
      <c r="B389" s="277"/>
      <c r="C389" s="277"/>
      <c r="D389" s="278"/>
      <c r="E389" s="204"/>
      <c r="F389" s="204"/>
      <c r="G389" s="204"/>
      <c r="H389" s="279" t="s">
        <v>15</v>
      </c>
      <c r="I389" s="384">
        <v>0</v>
      </c>
      <c r="J389" s="68">
        <v>0</v>
      </c>
      <c r="K389" s="114">
        <f t="shared" si="82"/>
        <v>0</v>
      </c>
      <c r="L389" s="115"/>
      <c r="M389" s="115"/>
      <c r="N389" s="115"/>
    </row>
    <row r="390" spans="1:14" ht="21.75" customHeight="1" x14ac:dyDescent="0.4">
      <c r="A390" s="55"/>
      <c r="B390" s="56"/>
      <c r="C390" s="261" t="s">
        <v>163</v>
      </c>
      <c r="D390" s="261"/>
      <c r="E390" s="262"/>
      <c r="F390" s="262"/>
      <c r="G390" s="263"/>
      <c r="H390" s="136" t="s">
        <v>103</v>
      </c>
      <c r="I390" s="137">
        <f ca="1">IFERROR(__xludf.DUMMYFUNCTION("IMPORTRANGE(""https://docs.google.com/spreadsheets/d/1C3CXT74ZlgGe6_JY_1olB1XN4rF0dxEuIIF-xsYjHgg/edit?usp=sharing"",""งบกองทุน!cd25"")"),535)</f>
        <v>535</v>
      </c>
      <c r="J390" s="137">
        <f>J391</f>
        <v>0</v>
      </c>
      <c r="K390" s="138">
        <f t="shared" ca="1" si="82"/>
        <v>0</v>
      </c>
      <c r="L390" s="140"/>
      <c r="M390" s="140"/>
      <c r="N390" s="140"/>
    </row>
    <row r="391" spans="1:14" ht="21.75" customHeight="1" x14ac:dyDescent="0.4">
      <c r="A391" s="55"/>
      <c r="B391" s="56"/>
      <c r="C391" s="56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IFERROR(__xludf.DUMMYFUNCTION("IMPORTRANGE(""https://docs.google.com/spreadsheets/d/1C3CXT74ZlgGe6_JY_1olB1XN4rF0dxEuIIF-xsYjHgg/edit?usp=sharing"",""งบกองทุน!cd25"")"),535)</f>
        <v>535</v>
      </c>
      <c r="J391" s="265">
        <f t="shared" ref="J391:J392" si="87">J393+J401+J407</f>
        <v>0</v>
      </c>
      <c r="K391" s="49">
        <f t="shared" ca="1" si="82"/>
        <v>0</v>
      </c>
      <c r="L391" s="61"/>
      <c r="M391" s="61"/>
      <c r="N391" s="61"/>
    </row>
    <row r="392" spans="1:14" ht="21.75" customHeight="1" x14ac:dyDescent="0.4">
      <c r="A392" s="55"/>
      <c r="B392" s="56"/>
      <c r="C392" s="56"/>
      <c r="D392" s="73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IFERROR(__xludf.DUMMYFUNCTION("IMPORTRANGE(""https://docs.google.com/spreadsheets/d/1C3CXT74ZlgGe6_JY_1olB1XN4rF0dxEuIIF-xsYjHgg/edit?usp=sharing"",""งบกองทุน!cc25"")"),174)</f>
        <v>174</v>
      </c>
      <c r="J392" s="265">
        <f t="shared" si="87"/>
        <v>0</v>
      </c>
      <c r="K392" s="80">
        <f t="shared" ca="1" si="82"/>
        <v>0</v>
      </c>
      <c r="L392" s="61"/>
      <c r="M392" s="61"/>
      <c r="N392" s="61"/>
    </row>
    <row r="393" spans="1:14" ht="21.75" customHeight="1" x14ac:dyDescent="0.4">
      <c r="A393" s="55"/>
      <c r="B393" s="56"/>
      <c r="C393" s="56"/>
      <c r="D393" s="251"/>
      <c r="E393" s="251" t="s">
        <v>165</v>
      </c>
      <c r="F393" s="75"/>
      <c r="G393" s="76"/>
      <c r="H393" s="267" t="s">
        <v>103</v>
      </c>
      <c r="I393" s="48">
        <v>0</v>
      </c>
      <c r="J393" s="48">
        <f t="shared" ref="J393:J394" si="88">J395+J397+J399</f>
        <v>0</v>
      </c>
      <c r="K393" s="49">
        <f t="shared" si="82"/>
        <v>0</v>
      </c>
      <c r="L393" s="61"/>
      <c r="M393" s="61"/>
      <c r="N393" s="61"/>
    </row>
    <row r="394" spans="1:14" ht="21.75" customHeight="1" x14ac:dyDescent="0.4">
      <c r="A394" s="55"/>
      <c r="B394" s="56"/>
      <c r="C394" s="56"/>
      <c r="D394" s="73"/>
      <c r="E394" s="75"/>
      <c r="F394" s="75"/>
      <c r="G394" s="76"/>
      <c r="H394" s="267" t="s">
        <v>15</v>
      </c>
      <c r="I394" s="48">
        <v>0</v>
      </c>
      <c r="J394" s="48">
        <f t="shared" si="88"/>
        <v>0</v>
      </c>
      <c r="K394" s="49">
        <f t="shared" si="82"/>
        <v>0</v>
      </c>
      <c r="L394" s="61"/>
      <c r="M394" s="61"/>
      <c r="N394" s="61"/>
    </row>
    <row r="395" spans="1:14" ht="21.75" customHeight="1" x14ac:dyDescent="0.4">
      <c r="A395" s="55"/>
      <c r="B395" s="56"/>
      <c r="C395" s="56"/>
      <c r="D395" s="73"/>
      <c r="E395" s="75"/>
      <c r="F395" s="242" t="s">
        <v>166</v>
      </c>
      <c r="G395" s="266"/>
      <c r="H395" s="267" t="s">
        <v>103</v>
      </c>
      <c r="I395" s="48">
        <v>0</v>
      </c>
      <c r="J395" s="68">
        <v>0</v>
      </c>
      <c r="K395" s="49">
        <f t="shared" si="82"/>
        <v>0</v>
      </c>
      <c r="L395" s="61"/>
      <c r="M395" s="61"/>
      <c r="N395" s="61"/>
    </row>
    <row r="396" spans="1:14" ht="21.75" customHeight="1" x14ac:dyDescent="0.4">
      <c r="A396" s="55"/>
      <c r="B396" s="56"/>
      <c r="C396" s="56"/>
      <c r="D396" s="73"/>
      <c r="E396" s="75"/>
      <c r="F396" s="75"/>
      <c r="G396" s="266"/>
      <c r="H396" s="267" t="s">
        <v>15</v>
      </c>
      <c r="I396" s="48">
        <v>0</v>
      </c>
      <c r="J396" s="68">
        <v>0</v>
      </c>
      <c r="K396" s="49">
        <f t="shared" si="82"/>
        <v>0</v>
      </c>
      <c r="L396" s="61"/>
      <c r="M396" s="61"/>
      <c r="N396" s="61"/>
    </row>
    <row r="397" spans="1:14" ht="21.75" customHeight="1" x14ac:dyDescent="0.4">
      <c r="A397" s="55"/>
      <c r="B397" s="56"/>
      <c r="C397" s="56"/>
      <c r="D397" s="73"/>
      <c r="E397" s="75"/>
      <c r="F397" s="242" t="s">
        <v>167</v>
      </c>
      <c r="G397" s="266"/>
      <c r="H397" s="267" t="s">
        <v>103</v>
      </c>
      <c r="I397" s="48">
        <v>0</v>
      </c>
      <c r="J397" s="68">
        <v>0</v>
      </c>
      <c r="K397" s="49">
        <f t="shared" si="82"/>
        <v>0</v>
      </c>
      <c r="L397" s="61"/>
      <c r="M397" s="61"/>
      <c r="N397" s="61"/>
    </row>
    <row r="398" spans="1:14" ht="21.75" customHeight="1" x14ac:dyDescent="0.4">
      <c r="A398" s="55"/>
      <c r="B398" s="56"/>
      <c r="C398" s="56"/>
      <c r="D398" s="73"/>
      <c r="E398" s="75"/>
      <c r="F398" s="75"/>
      <c r="G398" s="266"/>
      <c r="H398" s="267" t="s">
        <v>15</v>
      </c>
      <c r="I398" s="48">
        <v>0</v>
      </c>
      <c r="J398" s="68">
        <v>0</v>
      </c>
      <c r="K398" s="49">
        <f t="shared" si="82"/>
        <v>0</v>
      </c>
      <c r="L398" s="61"/>
      <c r="M398" s="61"/>
      <c r="N398" s="61"/>
    </row>
    <row r="399" spans="1:14" ht="21.75" customHeight="1" x14ac:dyDescent="0.4">
      <c r="A399" s="55"/>
      <c r="B399" s="56"/>
      <c r="C399" s="56"/>
      <c r="D399" s="73"/>
      <c r="E399" s="75"/>
      <c r="F399" s="242" t="s">
        <v>168</v>
      </c>
      <c r="G399" s="266"/>
      <c r="H399" s="267" t="s">
        <v>103</v>
      </c>
      <c r="I399" s="48">
        <v>0</v>
      </c>
      <c r="J399" s="68">
        <v>0</v>
      </c>
      <c r="K399" s="49">
        <f t="shared" si="82"/>
        <v>0</v>
      </c>
      <c r="L399" s="61"/>
      <c r="M399" s="61"/>
      <c r="N399" s="61"/>
    </row>
    <row r="400" spans="1:14" ht="21.75" customHeight="1" x14ac:dyDescent="0.4">
      <c r="A400" s="55"/>
      <c r="B400" s="56"/>
      <c r="C400" s="56"/>
      <c r="D400" s="73"/>
      <c r="E400" s="75"/>
      <c r="F400" s="75"/>
      <c r="G400" s="75"/>
      <c r="H400" s="267" t="s">
        <v>15</v>
      </c>
      <c r="I400" s="48">
        <v>0</v>
      </c>
      <c r="J400" s="68">
        <v>0</v>
      </c>
      <c r="K400" s="49">
        <f t="shared" si="82"/>
        <v>0</v>
      </c>
      <c r="L400" s="61"/>
      <c r="M400" s="61"/>
      <c r="N400" s="61"/>
    </row>
    <row r="401" spans="1:14" ht="21.75" customHeight="1" x14ac:dyDescent="0.4">
      <c r="A401" s="55"/>
      <c r="B401" s="56"/>
      <c r="C401" s="56"/>
      <c r="D401" s="73"/>
      <c r="E401" s="74" t="s">
        <v>169</v>
      </c>
      <c r="F401" s="75"/>
      <c r="G401" s="266"/>
      <c r="H401" s="267" t="s">
        <v>103</v>
      </c>
      <c r="I401" s="48">
        <v>0</v>
      </c>
      <c r="J401" s="48">
        <f t="shared" ref="J401:J402" si="89">+J403+J405</f>
        <v>0</v>
      </c>
      <c r="K401" s="49">
        <f t="shared" si="82"/>
        <v>0</v>
      </c>
      <c r="L401" s="61"/>
      <c r="M401" s="61"/>
      <c r="N401" s="61"/>
    </row>
    <row r="402" spans="1:14" ht="21.75" customHeight="1" x14ac:dyDescent="0.4">
      <c r="A402" s="55"/>
      <c r="B402" s="56"/>
      <c r="C402" s="56"/>
      <c r="D402" s="73"/>
      <c r="E402" s="75"/>
      <c r="F402" s="75"/>
      <c r="G402" s="75"/>
      <c r="H402" s="267" t="s">
        <v>15</v>
      </c>
      <c r="I402" s="48">
        <v>0</v>
      </c>
      <c r="J402" s="48">
        <f t="shared" si="89"/>
        <v>0</v>
      </c>
      <c r="K402" s="49">
        <f t="shared" si="82"/>
        <v>0</v>
      </c>
      <c r="L402" s="61"/>
      <c r="M402" s="61"/>
      <c r="N402" s="61"/>
    </row>
    <row r="403" spans="1:14" ht="21.75" customHeight="1" x14ac:dyDescent="0.4">
      <c r="A403" s="55"/>
      <c r="B403" s="56"/>
      <c r="C403" s="56"/>
      <c r="D403" s="73"/>
      <c r="E403" s="75"/>
      <c r="F403" s="74" t="s">
        <v>170</v>
      </c>
      <c r="G403" s="75"/>
      <c r="H403" s="267" t="s">
        <v>103</v>
      </c>
      <c r="I403" s="48">
        <v>0</v>
      </c>
      <c r="J403" s="68">
        <v>0</v>
      </c>
      <c r="K403" s="49">
        <f t="shared" si="82"/>
        <v>0</v>
      </c>
      <c r="L403" s="61"/>
      <c r="M403" s="61"/>
      <c r="N403" s="61"/>
    </row>
    <row r="404" spans="1:14" ht="21.75" customHeight="1" x14ac:dyDescent="0.4">
      <c r="A404" s="55"/>
      <c r="B404" s="56"/>
      <c r="C404" s="56"/>
      <c r="D404" s="73"/>
      <c r="E404" s="75"/>
      <c r="F404" s="75"/>
      <c r="G404" s="75"/>
      <c r="H404" s="267" t="s">
        <v>15</v>
      </c>
      <c r="I404" s="48">
        <v>0</v>
      </c>
      <c r="J404" s="68">
        <v>0</v>
      </c>
      <c r="K404" s="49">
        <f t="shared" si="82"/>
        <v>0</v>
      </c>
      <c r="L404" s="61"/>
      <c r="M404" s="61"/>
      <c r="N404" s="61"/>
    </row>
    <row r="405" spans="1:14" ht="21.75" customHeight="1" x14ac:dyDescent="0.4">
      <c r="A405" s="55"/>
      <c r="B405" s="56"/>
      <c r="C405" s="56"/>
      <c r="D405" s="73"/>
      <c r="E405" s="75"/>
      <c r="F405" s="74" t="s">
        <v>171</v>
      </c>
      <c r="G405" s="75"/>
      <c r="H405" s="267" t="s">
        <v>103</v>
      </c>
      <c r="I405" s="48">
        <v>0</v>
      </c>
      <c r="J405" s="68">
        <v>0</v>
      </c>
      <c r="K405" s="49">
        <f t="shared" si="82"/>
        <v>0</v>
      </c>
      <c r="L405" s="61"/>
      <c r="M405" s="61"/>
      <c r="N405" s="61"/>
    </row>
    <row r="406" spans="1:14" ht="21.75" customHeight="1" x14ac:dyDescent="0.4">
      <c r="A406" s="55"/>
      <c r="B406" s="56"/>
      <c r="C406" s="56"/>
      <c r="D406" s="73"/>
      <c r="E406" s="75"/>
      <c r="F406" s="75"/>
      <c r="G406" s="76"/>
      <c r="H406" s="267" t="s">
        <v>15</v>
      </c>
      <c r="I406" s="48">
        <v>0</v>
      </c>
      <c r="J406" s="68">
        <v>0</v>
      </c>
      <c r="K406" s="49">
        <f t="shared" si="82"/>
        <v>0</v>
      </c>
      <c r="L406" s="61"/>
      <c r="M406" s="61"/>
      <c r="N406" s="61"/>
    </row>
    <row r="407" spans="1:14" ht="21.75" customHeight="1" x14ac:dyDescent="0.4">
      <c r="A407" s="55"/>
      <c r="B407" s="56"/>
      <c r="C407" s="56"/>
      <c r="D407" s="251"/>
      <c r="E407" s="251" t="s">
        <v>225</v>
      </c>
      <c r="F407" s="75"/>
      <c r="G407" s="76"/>
      <c r="H407" s="267" t="s">
        <v>103</v>
      </c>
      <c r="I407" s="48">
        <v>0</v>
      </c>
      <c r="J407" s="68">
        <v>0</v>
      </c>
      <c r="K407" s="49">
        <f t="shared" si="82"/>
        <v>0</v>
      </c>
      <c r="L407" s="61"/>
      <c r="M407" s="61"/>
      <c r="N407" s="61"/>
    </row>
    <row r="408" spans="1:14" ht="21.75" customHeight="1" x14ac:dyDescent="0.4">
      <c r="A408" s="55"/>
      <c r="B408" s="56"/>
      <c r="C408" s="56"/>
      <c r="D408" s="73"/>
      <c r="E408" s="75"/>
      <c r="F408" s="75"/>
      <c r="G408" s="76"/>
      <c r="H408" s="267" t="s">
        <v>15</v>
      </c>
      <c r="I408" s="48">
        <v>0</v>
      </c>
      <c r="J408" s="68">
        <v>0</v>
      </c>
      <c r="K408" s="49">
        <f t="shared" si="82"/>
        <v>0</v>
      </c>
      <c r="L408" s="61"/>
      <c r="M408" s="61"/>
      <c r="N408" s="61"/>
    </row>
    <row r="409" spans="1:14" ht="21.75" customHeight="1" x14ac:dyDescent="0.4">
      <c r="A409" s="55"/>
      <c r="B409" s="56"/>
      <c r="C409" s="261" t="s">
        <v>173</v>
      </c>
      <c r="D409" s="261"/>
      <c r="E409" s="285"/>
      <c r="F409" s="285"/>
      <c r="G409" s="286"/>
      <c r="H409" s="287" t="s">
        <v>103</v>
      </c>
      <c r="I409" s="137">
        <f ca="1">IFERROR(__xludf.DUMMYFUNCTION("IMPORTRANGE(""https://docs.google.com/spreadsheets/d/1C3CXT74ZlgGe6_JY_1olB1XN4rF0dxEuIIF-xsYjHgg/edit?usp=sharing"",""งบกองทุน!cz25"")"),0)</f>
        <v>0</v>
      </c>
      <c r="J409" s="137">
        <f ca="1">SUM(J412,J414)</f>
        <v>0</v>
      </c>
      <c r="K409" s="138">
        <f t="shared" ca="1" si="82"/>
        <v>0</v>
      </c>
      <c r="L409" s="61"/>
      <c r="M409" s="61"/>
      <c r="N409" s="61"/>
    </row>
    <row r="410" spans="1:14" ht="21.75" customHeight="1" x14ac:dyDescent="0.4">
      <c r="A410" s="55"/>
      <c r="B410" s="56"/>
      <c r="C410" s="288"/>
      <c r="D410" s="288"/>
      <c r="E410" s="288" t="s">
        <v>174</v>
      </c>
      <c r="F410" s="289"/>
      <c r="G410" s="290"/>
      <c r="H410" s="291" t="s">
        <v>103</v>
      </c>
      <c r="I410" s="150">
        <f ca="1">IFERROR(__xludf.DUMMYFUNCTION("IMPORTRANGE(""https://docs.google.com/spreadsheets/d/1C3CXT74ZlgGe6_JY_1olB1XN4rF0dxEuIIF-xsYjHgg/edit?usp=sharing"",""งบกองทุน!cz25"")"),0)</f>
        <v>0</v>
      </c>
      <c r="J410" s="150">
        <f t="shared" ref="J410:J411" ca="1" si="90">SUM(J412,J414)</f>
        <v>0</v>
      </c>
      <c r="K410" s="147">
        <f t="shared" ca="1" si="82"/>
        <v>0</v>
      </c>
      <c r="L410" s="61"/>
      <c r="M410" s="61"/>
      <c r="N410" s="61"/>
    </row>
    <row r="411" spans="1:14" ht="21.75" customHeight="1" x14ac:dyDescent="0.4">
      <c r="A411" s="55"/>
      <c r="B411" s="56"/>
      <c r="C411" s="288"/>
      <c r="D411" s="288"/>
      <c r="E411" s="288" t="s">
        <v>175</v>
      </c>
      <c r="F411" s="289"/>
      <c r="G411" s="290"/>
      <c r="H411" s="291" t="s">
        <v>15</v>
      </c>
      <c r="I411" s="150">
        <f ca="1">IFERROR(__xludf.DUMMYFUNCTION("IMPORTRANGE(""https://docs.google.com/spreadsheets/d/1C3CXT74ZlgGe6_JY_1olB1XN4rF0dxEuIIF-xsYjHgg/edit?usp=sharing"",""งบกองทุน!cy25"")"),0)</f>
        <v>0</v>
      </c>
      <c r="J411" s="150">
        <f t="shared" ca="1" si="90"/>
        <v>0</v>
      </c>
      <c r="K411" s="147">
        <f t="shared" ca="1" si="82"/>
        <v>0</v>
      </c>
      <c r="L411" s="61"/>
      <c r="M411" s="61"/>
      <c r="N411" s="61"/>
    </row>
    <row r="412" spans="1:14" ht="21.75" customHeight="1" x14ac:dyDescent="0.4">
      <c r="A412" s="55"/>
      <c r="B412" s="56"/>
      <c r="C412" s="56"/>
      <c r="D412" s="73"/>
      <c r="E412" s="75"/>
      <c r="F412" s="75"/>
      <c r="G412" s="99" t="s">
        <v>176</v>
      </c>
      <c r="H412" s="267" t="s">
        <v>103</v>
      </c>
      <c r="I412" s="48">
        <v>0</v>
      </c>
      <c r="J412" s="67">
        <f ca="1">IFERROR(__xludf.DUMMYFUNCTION("IMPORTRANGE(""https://docs.google.com/spreadsheets/d/1C3CXT74ZlgGe6_JY_1olB1XN4rF0dxEuIIF-xsYjHgg/edit?usp=sharing"",""งบกองทุน!db25"")"),0)</f>
        <v>0</v>
      </c>
      <c r="K412" s="49">
        <f t="shared" si="82"/>
        <v>0</v>
      </c>
      <c r="L412" s="61"/>
      <c r="M412" s="61"/>
      <c r="N412" s="61"/>
    </row>
    <row r="413" spans="1:14" ht="21.75" customHeight="1" x14ac:dyDescent="0.4">
      <c r="A413" s="55"/>
      <c r="B413" s="56"/>
      <c r="C413" s="56"/>
      <c r="D413" s="73"/>
      <c r="E413" s="75"/>
      <c r="F413" s="75"/>
      <c r="G413" s="76"/>
      <c r="H413" s="267" t="s">
        <v>15</v>
      </c>
      <c r="I413" s="48">
        <v>0</v>
      </c>
      <c r="J413" s="67">
        <f ca="1">IFERROR(__xludf.DUMMYFUNCTION("IMPORTRANGE(""https://docs.google.com/spreadsheets/d/1C3CXT74ZlgGe6_JY_1olB1XN4rF0dxEuIIF-xsYjHgg/edit?usp=sharing"",""งบกองทุน!da25"")"),0)</f>
        <v>0</v>
      </c>
      <c r="K413" s="49">
        <f t="shared" si="82"/>
        <v>0</v>
      </c>
      <c r="L413" s="61"/>
      <c r="M413" s="61"/>
      <c r="N413" s="61"/>
    </row>
    <row r="414" spans="1:14" ht="21.75" customHeight="1" x14ac:dyDescent="0.4">
      <c r="A414" s="55"/>
      <c r="B414" s="56"/>
      <c r="C414" s="56"/>
      <c r="D414" s="73"/>
      <c r="E414" s="75"/>
      <c r="F414" s="75"/>
      <c r="G414" s="99" t="s">
        <v>177</v>
      </c>
      <c r="H414" s="267" t="s">
        <v>103</v>
      </c>
      <c r="I414" s="48">
        <v>0</v>
      </c>
      <c r="J414" s="67">
        <f ca="1">IFERROR(__xludf.DUMMYFUNCTION("IMPORTRANGE(""https://docs.google.com/spreadsheets/d/1C3CXT74ZlgGe6_JY_1olB1XN4rF0dxEuIIF-xsYjHgg/edit?usp=sharing"",""งบกองทุน!dd25"")"),0)</f>
        <v>0</v>
      </c>
      <c r="K414" s="49">
        <f t="shared" si="82"/>
        <v>0</v>
      </c>
      <c r="L414" s="61"/>
      <c r="M414" s="61"/>
      <c r="N414" s="61"/>
    </row>
    <row r="415" spans="1:14" ht="21.75" customHeight="1" x14ac:dyDescent="0.4">
      <c r="A415" s="55"/>
      <c r="B415" s="56"/>
      <c r="C415" s="56"/>
      <c r="D415" s="73"/>
      <c r="E415" s="75"/>
      <c r="F415" s="75"/>
      <c r="G415" s="76"/>
      <c r="H415" s="267" t="s">
        <v>15</v>
      </c>
      <c r="I415" s="48">
        <v>0</v>
      </c>
      <c r="J415" s="67">
        <f ca="1">IFERROR(__xludf.DUMMYFUNCTION("IMPORTRANGE(""https://docs.google.com/spreadsheets/d/1C3CXT74ZlgGe6_JY_1olB1XN4rF0dxEuIIF-xsYjHgg/edit?usp=sharing"",""งบกองทุน!dc25"")"),0)</f>
        <v>0</v>
      </c>
      <c r="K415" s="49">
        <f t="shared" si="82"/>
        <v>0</v>
      </c>
      <c r="L415" s="61"/>
      <c r="M415" s="61"/>
      <c r="N415" s="61"/>
    </row>
    <row r="416" spans="1:14" ht="21.75" customHeight="1" x14ac:dyDescent="0.4">
      <c r="A416" s="55"/>
      <c r="B416" s="56"/>
      <c r="C416" s="56"/>
      <c r="D416" s="73"/>
      <c r="E416" s="75"/>
      <c r="F416" s="75"/>
      <c r="G416" s="99" t="s">
        <v>178</v>
      </c>
      <c r="H416" s="267" t="s">
        <v>103</v>
      </c>
      <c r="I416" s="48">
        <v>0</v>
      </c>
      <c r="J416" s="67">
        <f ca="1">IFERROR(__xludf.DUMMYFUNCTION("IMPORTRANGE(""https://docs.google.com/spreadsheets/d/1C3CXT74ZlgGe6_JY_1olB1XN4rF0dxEuIIF-xsYjHgg/edit?usp=sharing"",""งบกองทุน!df25"")"),0)</f>
        <v>0</v>
      </c>
      <c r="K416" s="49">
        <f t="shared" si="82"/>
        <v>0</v>
      </c>
      <c r="L416" s="61"/>
      <c r="M416" s="61"/>
      <c r="N416" s="61"/>
    </row>
    <row r="417" spans="1:14" ht="21.75" customHeight="1" x14ac:dyDescent="0.4">
      <c r="A417" s="55"/>
      <c r="B417" s="56"/>
      <c r="C417" s="56"/>
      <c r="D417" s="73"/>
      <c r="E417" s="75"/>
      <c r="F417" s="75"/>
      <c r="G417" s="76"/>
      <c r="H417" s="267" t="s">
        <v>15</v>
      </c>
      <c r="I417" s="48">
        <v>0</v>
      </c>
      <c r="J417" s="67">
        <f ca="1">IFERROR(__xludf.DUMMYFUNCTION("IMPORTRANGE(""https://docs.google.com/spreadsheets/d/1C3CXT74ZlgGe6_JY_1olB1XN4rF0dxEuIIF-xsYjHgg/edit?usp=sharing"",""งบกองทุน!de25"")"),0)</f>
        <v>0</v>
      </c>
      <c r="K417" s="49">
        <f t="shared" si="82"/>
        <v>0</v>
      </c>
      <c r="L417" s="61"/>
      <c r="M417" s="61"/>
      <c r="N417" s="61"/>
    </row>
    <row r="418" spans="1:14" ht="21.75" customHeight="1" x14ac:dyDescent="0.4">
      <c r="A418" s="55"/>
      <c r="B418" s="56"/>
      <c r="C418" s="288"/>
      <c r="D418" s="288"/>
      <c r="E418" s="288" t="s">
        <v>179</v>
      </c>
      <c r="F418" s="289"/>
      <c r="G418" s="290"/>
      <c r="H418" s="291" t="s">
        <v>103</v>
      </c>
      <c r="I418" s="150">
        <f t="shared" ref="I418:I419" ca="1" si="91">J416</f>
        <v>0</v>
      </c>
      <c r="J418" s="150">
        <f t="shared" ref="J418:J419" si="92">SUM(J420,J422,J424)</f>
        <v>0</v>
      </c>
      <c r="K418" s="147">
        <f t="shared" ca="1" si="82"/>
        <v>0</v>
      </c>
      <c r="L418" s="61"/>
      <c r="M418" s="61"/>
      <c r="N418" s="61"/>
    </row>
    <row r="419" spans="1:14" ht="21.75" customHeight="1" x14ac:dyDescent="0.4">
      <c r="A419" s="55"/>
      <c r="B419" s="56"/>
      <c r="C419" s="288"/>
      <c r="D419" s="288"/>
      <c r="E419" s="288" t="s">
        <v>180</v>
      </c>
      <c r="F419" s="289"/>
      <c r="G419" s="290"/>
      <c r="H419" s="291" t="s">
        <v>15</v>
      </c>
      <c r="I419" s="150">
        <f t="shared" ca="1" si="91"/>
        <v>0</v>
      </c>
      <c r="J419" s="150">
        <f t="shared" si="92"/>
        <v>0</v>
      </c>
      <c r="K419" s="147">
        <f t="shared" ca="1" si="82"/>
        <v>0</v>
      </c>
      <c r="L419" s="61"/>
      <c r="M419" s="61"/>
      <c r="N419" s="61"/>
    </row>
    <row r="420" spans="1:14" ht="21.75" customHeight="1" x14ac:dyDescent="0.4">
      <c r="A420" s="55"/>
      <c r="B420" s="56"/>
      <c r="C420" s="56"/>
      <c r="D420" s="73"/>
      <c r="E420" s="75"/>
      <c r="F420" s="75"/>
      <c r="G420" s="99" t="s">
        <v>176</v>
      </c>
      <c r="H420" s="267" t="s">
        <v>103</v>
      </c>
      <c r="I420" s="48">
        <v>0</v>
      </c>
      <c r="J420" s="68">
        <v>0</v>
      </c>
      <c r="K420" s="49">
        <f t="shared" si="82"/>
        <v>0</v>
      </c>
      <c r="L420" s="61"/>
      <c r="M420" s="61"/>
      <c r="N420" s="61"/>
    </row>
    <row r="421" spans="1:14" ht="21.75" customHeight="1" x14ac:dyDescent="0.4">
      <c r="A421" s="55"/>
      <c r="B421" s="56"/>
      <c r="C421" s="56"/>
      <c r="D421" s="73"/>
      <c r="E421" s="75"/>
      <c r="F421" s="75"/>
      <c r="G421" s="76"/>
      <c r="H421" s="267" t="s">
        <v>15</v>
      </c>
      <c r="I421" s="48">
        <v>0</v>
      </c>
      <c r="J421" s="68">
        <v>0</v>
      </c>
      <c r="K421" s="49">
        <f t="shared" si="82"/>
        <v>0</v>
      </c>
      <c r="L421" s="61"/>
      <c r="M421" s="61"/>
      <c r="N421" s="61"/>
    </row>
    <row r="422" spans="1:14" ht="21.75" customHeight="1" x14ac:dyDescent="0.4">
      <c r="A422" s="55"/>
      <c r="B422" s="56"/>
      <c r="C422" s="56"/>
      <c r="D422" s="73"/>
      <c r="E422" s="75"/>
      <c r="F422" s="75"/>
      <c r="G422" s="99" t="s">
        <v>177</v>
      </c>
      <c r="H422" s="267" t="s">
        <v>103</v>
      </c>
      <c r="I422" s="48">
        <v>0</v>
      </c>
      <c r="J422" s="68">
        <v>0</v>
      </c>
      <c r="K422" s="49">
        <f t="shared" si="82"/>
        <v>0</v>
      </c>
      <c r="L422" s="61"/>
      <c r="M422" s="61"/>
      <c r="N422" s="61"/>
    </row>
    <row r="423" spans="1:14" ht="21.75" customHeight="1" x14ac:dyDescent="0.4">
      <c r="A423" s="55"/>
      <c r="B423" s="56"/>
      <c r="C423" s="56"/>
      <c r="D423" s="73"/>
      <c r="E423" s="75"/>
      <c r="F423" s="75"/>
      <c r="G423" s="76"/>
      <c r="H423" s="267" t="s">
        <v>15</v>
      </c>
      <c r="I423" s="48">
        <v>0</v>
      </c>
      <c r="J423" s="68">
        <v>0</v>
      </c>
      <c r="K423" s="49">
        <f t="shared" si="82"/>
        <v>0</v>
      </c>
      <c r="L423" s="61"/>
      <c r="M423" s="61"/>
      <c r="N423" s="61"/>
    </row>
    <row r="424" spans="1:14" ht="21.75" customHeight="1" x14ac:dyDescent="0.4">
      <c r="A424" s="55"/>
      <c r="B424" s="56"/>
      <c r="C424" s="56"/>
      <c r="D424" s="73"/>
      <c r="E424" s="75"/>
      <c r="F424" s="75"/>
      <c r="G424" s="99" t="s">
        <v>181</v>
      </c>
      <c r="H424" s="267" t="s">
        <v>103</v>
      </c>
      <c r="I424" s="48">
        <v>0</v>
      </c>
      <c r="J424" s="68">
        <v>0</v>
      </c>
      <c r="K424" s="49">
        <f t="shared" si="82"/>
        <v>0</v>
      </c>
      <c r="L424" s="61"/>
      <c r="M424" s="61"/>
      <c r="N424" s="61"/>
    </row>
    <row r="425" spans="1:14" ht="21.75" customHeight="1" x14ac:dyDescent="0.4">
      <c r="A425" s="292"/>
      <c r="B425" s="293"/>
      <c r="C425" s="293"/>
      <c r="D425" s="294"/>
      <c r="E425" s="295"/>
      <c r="F425" s="295"/>
      <c r="G425" s="296"/>
      <c r="H425" s="297" t="s">
        <v>15</v>
      </c>
      <c r="I425" s="298">
        <v>0</v>
      </c>
      <c r="J425" s="299">
        <v>0</v>
      </c>
      <c r="K425" s="309">
        <f t="shared" si="82"/>
        <v>0</v>
      </c>
      <c r="L425" s="300"/>
      <c r="M425" s="300"/>
      <c r="N425" s="300"/>
    </row>
    <row r="426" spans="1:14" ht="21.75" customHeight="1" x14ac:dyDescent="0.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3">I440</f>
        <v>22</v>
      </c>
      <c r="J426" s="257">
        <f t="shared" si="93"/>
        <v>22</v>
      </c>
      <c r="K426" s="258">
        <f ca="1">IF(I426&gt;0,J426*100/I426,0)</f>
        <v>100</v>
      </c>
      <c r="L426" s="259">
        <f t="shared" ref="L426:M426" ca="1" si="94">SUM(L427:L428)</f>
        <v>34340</v>
      </c>
      <c r="M426" s="259">
        <f t="shared" si="94"/>
        <v>5060</v>
      </c>
      <c r="N426" s="259">
        <f t="shared" ref="N426:N430" ca="1" si="95">+IF(L426&gt;0,M426*100/L426,0)</f>
        <v>14.735002912055911</v>
      </c>
    </row>
    <row r="427" spans="1:14" ht="21.75" customHeight="1" x14ac:dyDescent="0.4">
      <c r="A427" s="42"/>
      <c r="B427" s="43"/>
      <c r="C427" s="43" t="s">
        <v>17</v>
      </c>
      <c r="D427" s="44" t="s">
        <v>18</v>
      </c>
      <c r="E427" s="45"/>
      <c r="F427" s="45"/>
      <c r="G427" s="46" t="s">
        <v>19</v>
      </c>
      <c r="H427" s="47" t="s">
        <v>20</v>
      </c>
      <c r="I427" s="48" t="s">
        <v>21</v>
      </c>
      <c r="J427" s="48"/>
      <c r="K427" s="49"/>
      <c r="L427" s="50">
        <v>0</v>
      </c>
      <c r="M427" s="53">
        <v>0</v>
      </c>
      <c r="N427" s="53">
        <f t="shared" si="95"/>
        <v>0</v>
      </c>
    </row>
    <row r="428" spans="1:14" ht="21.75" customHeight="1" x14ac:dyDescent="0.4">
      <c r="A428" s="42"/>
      <c r="B428" s="43"/>
      <c r="C428" s="43"/>
      <c r="D428" s="51"/>
      <c r="E428" s="45"/>
      <c r="F428" s="45" t="s">
        <v>21</v>
      </c>
      <c r="G428" s="46" t="s">
        <v>22</v>
      </c>
      <c r="H428" s="47" t="s">
        <v>20</v>
      </c>
      <c r="I428" s="48"/>
      <c r="J428" s="48"/>
      <c r="K428" s="49"/>
      <c r="L428" s="50">
        <f t="shared" ref="L428:M428" ca="1" si="96">SUM(L429:L430)</f>
        <v>34340</v>
      </c>
      <c r="M428" s="53">
        <f t="shared" si="96"/>
        <v>5060</v>
      </c>
      <c r="N428" s="53">
        <f t="shared" ca="1" si="95"/>
        <v>14.735002912055911</v>
      </c>
    </row>
    <row r="429" spans="1:14" ht="21.75" customHeight="1" x14ac:dyDescent="0.4">
      <c r="A429" s="42"/>
      <c r="B429" s="43"/>
      <c r="C429" s="43"/>
      <c r="D429" s="51"/>
      <c r="E429" s="45"/>
      <c r="F429" s="45"/>
      <c r="G429" s="52" t="s">
        <v>110</v>
      </c>
      <c r="H429" s="47" t="s">
        <v>20</v>
      </c>
      <c r="I429" s="48"/>
      <c r="J429" s="48"/>
      <c r="K429" s="49"/>
      <c r="L429" s="53">
        <f ca="1">IFERROR(__xludf.DUMMYFUNCTION("IMPORTRANGE(""https://docs.google.com/spreadsheets/d/1C3CXT74ZlgGe6_JY_1olB1XN4rF0dxEuIIF-xsYjHgg/edit?usp=sharing"",""งบกองทุน!dn25"")"),0)</f>
        <v>0</v>
      </c>
      <c r="M429" s="53">
        <v>0</v>
      </c>
      <c r="N429" s="53">
        <f t="shared" ca="1" si="95"/>
        <v>0</v>
      </c>
    </row>
    <row r="430" spans="1:14" ht="21.75" customHeight="1" x14ac:dyDescent="0.4">
      <c r="A430" s="42"/>
      <c r="B430" s="43"/>
      <c r="C430" s="43"/>
      <c r="D430" s="51"/>
      <c r="E430" s="45"/>
      <c r="F430" s="45"/>
      <c r="G430" s="52" t="s">
        <v>111</v>
      </c>
      <c r="H430" s="47" t="s">
        <v>20</v>
      </c>
      <c r="I430" s="48"/>
      <c r="J430" s="48"/>
      <c r="K430" s="49"/>
      <c r="L430" s="53">
        <f ca="1">IFERROR(__xludf.DUMMYFUNCTION("IMPORTRANGE(""https://docs.google.com/spreadsheets/d/1C3CXT74ZlgGe6_JY_1olB1XN4rF0dxEuIIF-xsYjHgg/edit?usp=sharing"",""งบกองทุน!do25"")"),34340)</f>
        <v>34340</v>
      </c>
      <c r="M430" s="53">
        <f>SUM(M431:M434)</f>
        <v>5060</v>
      </c>
      <c r="N430" s="53">
        <f t="shared" ca="1" si="95"/>
        <v>14.735002912055911</v>
      </c>
    </row>
    <row r="431" spans="1:14" ht="21.75" customHeight="1" x14ac:dyDescent="0.4">
      <c r="A431" s="230"/>
      <c r="B431" s="231"/>
      <c r="C431" s="43"/>
      <c r="D431" s="232"/>
      <c r="E431" s="45"/>
      <c r="F431" s="45"/>
      <c r="G431" s="46" t="s">
        <v>112</v>
      </c>
      <c r="H431" s="47" t="s">
        <v>20</v>
      </c>
      <c r="I431" s="67"/>
      <c r="J431" s="67"/>
      <c r="K431" s="233"/>
      <c r="L431" s="53"/>
      <c r="M431" s="54">
        <v>0</v>
      </c>
      <c r="N431" s="53"/>
    </row>
    <row r="432" spans="1:14" ht="21.75" customHeight="1" x14ac:dyDescent="0.4">
      <c r="A432" s="230"/>
      <c r="B432" s="231"/>
      <c r="C432" s="43"/>
      <c r="D432" s="232"/>
      <c r="E432" s="45"/>
      <c r="F432" s="45"/>
      <c r="G432" s="46" t="s">
        <v>113</v>
      </c>
      <c r="H432" s="47" t="s">
        <v>20</v>
      </c>
      <c r="I432" s="67"/>
      <c r="J432" s="67"/>
      <c r="K432" s="233"/>
      <c r="L432" s="53"/>
      <c r="M432" s="54">
        <v>0</v>
      </c>
      <c r="N432" s="53"/>
    </row>
    <row r="433" spans="1:14" ht="21.75" customHeight="1" x14ac:dyDescent="0.4">
      <c r="A433" s="230"/>
      <c r="B433" s="231"/>
      <c r="C433" s="43"/>
      <c r="D433" s="232"/>
      <c r="E433" s="45"/>
      <c r="F433" s="45"/>
      <c r="G433" s="46" t="s">
        <v>114</v>
      </c>
      <c r="H433" s="47" t="s">
        <v>20</v>
      </c>
      <c r="I433" s="67"/>
      <c r="J433" s="67"/>
      <c r="K433" s="233"/>
      <c r="L433" s="53"/>
      <c r="M433" s="54">
        <v>0</v>
      </c>
      <c r="N433" s="53"/>
    </row>
    <row r="434" spans="1:14" ht="21.75" customHeight="1" x14ac:dyDescent="0.4">
      <c r="A434" s="230"/>
      <c r="B434" s="231"/>
      <c r="C434" s="43"/>
      <c r="D434" s="232"/>
      <c r="E434" s="45"/>
      <c r="F434" s="45"/>
      <c r="G434" s="46" t="s">
        <v>115</v>
      </c>
      <c r="H434" s="47" t="s">
        <v>20</v>
      </c>
      <c r="I434" s="67"/>
      <c r="J434" s="67"/>
      <c r="K434" s="233"/>
      <c r="L434" s="53"/>
      <c r="M434" s="54">
        <v>5060</v>
      </c>
      <c r="N434" s="53"/>
    </row>
    <row r="435" spans="1:14" ht="21.75" customHeight="1" x14ac:dyDescent="0.4">
      <c r="A435" s="55"/>
      <c r="B435" s="56"/>
      <c r="C435" s="43" t="s">
        <v>17</v>
      </c>
      <c r="D435" s="57" t="s">
        <v>25</v>
      </c>
      <c r="E435" s="58"/>
      <c r="F435" s="58"/>
      <c r="G435" s="59"/>
      <c r="H435" s="60"/>
      <c r="I435" s="48"/>
      <c r="J435" s="48"/>
      <c r="K435" s="49"/>
      <c r="L435" s="61"/>
      <c r="M435" s="61"/>
      <c r="N435" s="61"/>
    </row>
    <row r="436" spans="1:14" ht="21.75" customHeight="1" x14ac:dyDescent="0.4">
      <c r="A436" s="55"/>
      <c r="B436" s="56"/>
      <c r="C436" s="56"/>
      <c r="D436" s="62">
        <v>1</v>
      </c>
      <c r="E436" s="63" t="s">
        <v>26</v>
      </c>
      <c r="F436" s="64"/>
      <c r="G436" s="65"/>
      <c r="H436" s="66"/>
      <c r="I436" s="67"/>
      <c r="J436" s="68">
        <v>0</v>
      </c>
      <c r="K436" s="49"/>
      <c r="L436" s="61"/>
      <c r="M436" s="61"/>
      <c r="N436" s="61"/>
    </row>
    <row r="437" spans="1:14" ht="21.75" customHeight="1" x14ac:dyDescent="0.4">
      <c r="A437" s="55"/>
      <c r="B437" s="56"/>
      <c r="C437" s="56"/>
      <c r="D437" s="69">
        <v>2</v>
      </c>
      <c r="E437" s="70" t="s">
        <v>27</v>
      </c>
      <c r="F437" s="71"/>
      <c r="G437" s="72"/>
      <c r="H437" s="66"/>
      <c r="I437" s="67"/>
      <c r="J437" s="68">
        <v>1</v>
      </c>
      <c r="K437" s="49"/>
      <c r="L437" s="61" t="s">
        <v>21</v>
      </c>
      <c r="M437" s="61" t="s">
        <v>21</v>
      </c>
      <c r="N437" s="61"/>
    </row>
    <row r="438" spans="1:14" ht="21.75" customHeight="1" x14ac:dyDescent="0.4">
      <c r="A438" s="55"/>
      <c r="B438" s="56"/>
      <c r="C438" s="56"/>
      <c r="D438" s="73"/>
      <c r="E438" s="74" t="s">
        <v>28</v>
      </c>
      <c r="F438" s="75"/>
      <c r="G438" s="76"/>
      <c r="H438" s="66"/>
      <c r="I438" s="67"/>
      <c r="J438" s="68">
        <v>1</v>
      </c>
      <c r="K438" s="49"/>
      <c r="L438" s="61"/>
      <c r="M438" s="61"/>
      <c r="N438" s="61"/>
    </row>
    <row r="439" spans="1:14" ht="21.75" customHeight="1" x14ac:dyDescent="0.4">
      <c r="A439" s="55"/>
      <c r="B439" s="56"/>
      <c r="C439" s="56"/>
      <c r="D439" s="73"/>
      <c r="E439" s="74" t="s">
        <v>29</v>
      </c>
      <c r="F439" s="75"/>
      <c r="G439" s="76"/>
      <c r="H439" s="66"/>
      <c r="I439" s="67"/>
      <c r="J439" s="68">
        <v>1</v>
      </c>
      <c r="K439" s="49"/>
      <c r="L439" s="61"/>
      <c r="M439" s="61"/>
      <c r="N439" s="61"/>
    </row>
    <row r="440" spans="1:14" ht="21.75" customHeight="1" x14ac:dyDescent="0.4">
      <c r="A440" s="55"/>
      <c r="B440" s="56"/>
      <c r="C440" s="56"/>
      <c r="D440" s="73"/>
      <c r="E440" s="77"/>
      <c r="F440" s="75"/>
      <c r="G440" s="99" t="s">
        <v>183</v>
      </c>
      <c r="H440" s="66" t="s">
        <v>16</v>
      </c>
      <c r="I440" s="200">
        <f ca="1">IFERROR(__xludf.DUMMYFUNCTION("IMPORTRANGE(""https://docs.google.com/spreadsheets/d/1C3CXT74ZlgGe6_JY_1olB1XN4rF0dxEuIIF-xsYjHgg/edit?usp=sharing"",""งบกองทุน!dq25"")"),22)</f>
        <v>22</v>
      </c>
      <c r="J440" s="68">
        <v>22</v>
      </c>
      <c r="K440" s="49">
        <f t="shared" ref="K440:K441" ca="1" si="97">IF(I440&gt;0,J440*100/I440,0)</f>
        <v>100</v>
      </c>
      <c r="L440" s="61"/>
      <c r="M440" s="61"/>
      <c r="N440" s="61"/>
    </row>
    <row r="441" spans="1:14" ht="21.75" hidden="1" customHeight="1" x14ac:dyDescent="0.4">
      <c r="A441" s="55"/>
      <c r="B441" s="56"/>
      <c r="C441" s="56"/>
      <c r="D441" s="73"/>
      <c r="E441" s="77"/>
      <c r="F441" s="75"/>
      <c r="G441" s="99" t="s">
        <v>184</v>
      </c>
      <c r="H441" s="66" t="s">
        <v>16</v>
      </c>
      <c r="I441" s="200">
        <f ca="1">IFERROR(__xludf.DUMMYFUNCTION("IMPORTRANGE(""https://docs.google.com/spreadsheets/d/1C3CXT74ZlgGe6_JY_1olB1XN4rF0dxEuIIF-xsYjHgg/edit?usp=sharing"",""งบกองทุน!dr25"")"),22)</f>
        <v>22</v>
      </c>
      <c r="J441" s="68">
        <v>0</v>
      </c>
      <c r="K441" s="49">
        <f t="shared" ca="1" si="97"/>
        <v>0</v>
      </c>
      <c r="L441" s="61"/>
      <c r="M441" s="61"/>
      <c r="N441" s="61"/>
    </row>
    <row r="442" spans="1:14" ht="21.75" customHeight="1" x14ac:dyDescent="0.4">
      <c r="A442" s="55"/>
      <c r="B442" s="56"/>
      <c r="C442" s="56"/>
      <c r="D442" s="73"/>
      <c r="E442" s="74" t="s">
        <v>35</v>
      </c>
      <c r="F442" s="75"/>
      <c r="G442" s="76"/>
      <c r="H442" s="66"/>
      <c r="I442" s="67"/>
      <c r="J442" s="68">
        <v>0</v>
      </c>
      <c r="K442" s="49"/>
      <c r="L442" s="61"/>
      <c r="M442" s="61"/>
      <c r="N442" s="61"/>
    </row>
    <row r="443" spans="1:14" ht="21.75" customHeight="1" x14ac:dyDescent="0.4">
      <c r="A443" s="292"/>
      <c r="B443" s="293"/>
      <c r="C443" s="293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309"/>
      <c r="L443" s="300"/>
      <c r="M443" s="300"/>
      <c r="N443" s="300"/>
    </row>
    <row r="444" spans="1:14" ht="21.75" customHeight="1" x14ac:dyDescent="0.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8">SUM(I453,I455)</f>
        <v>0</v>
      </c>
      <c r="J444" s="257">
        <f t="shared" si="98"/>
        <v>0</v>
      </c>
      <c r="K444" s="258">
        <f ca="1">IF(I444&gt;0,J444*100/I444,0)</f>
        <v>0</v>
      </c>
      <c r="L444" s="259">
        <f t="shared" ref="L444:M444" ca="1" si="99">SUM(L445:L446)</f>
        <v>0</v>
      </c>
      <c r="M444" s="259">
        <f t="shared" si="99"/>
        <v>0</v>
      </c>
      <c r="N444" s="259">
        <f t="shared" ref="N444:N448" ca="1" si="100">+IF(L444&gt;0,M444*100/L444,0)</f>
        <v>0</v>
      </c>
    </row>
    <row r="445" spans="1:14" ht="21.75" customHeight="1" x14ac:dyDescent="0.4">
      <c r="A445" s="42"/>
      <c r="B445" s="43"/>
      <c r="C445" s="43" t="s">
        <v>17</v>
      </c>
      <c r="D445" s="44" t="s">
        <v>18</v>
      </c>
      <c r="E445" s="45"/>
      <c r="F445" s="45"/>
      <c r="G445" s="46" t="s">
        <v>19</v>
      </c>
      <c r="H445" s="47" t="s">
        <v>20</v>
      </c>
      <c r="I445" s="48" t="s">
        <v>21</v>
      </c>
      <c r="J445" s="48"/>
      <c r="K445" s="49"/>
      <c r="L445" s="50">
        <v>0</v>
      </c>
      <c r="M445" s="53">
        <v>0</v>
      </c>
      <c r="N445" s="53">
        <f t="shared" si="100"/>
        <v>0</v>
      </c>
    </row>
    <row r="446" spans="1:14" ht="21.75" customHeight="1" x14ac:dyDescent="0.4">
      <c r="A446" s="42"/>
      <c r="B446" s="43"/>
      <c r="C446" s="43"/>
      <c r="D446" s="51"/>
      <c r="E446" s="45"/>
      <c r="F446" s="45" t="s">
        <v>21</v>
      </c>
      <c r="G446" s="46" t="s">
        <v>22</v>
      </c>
      <c r="H446" s="47" t="s">
        <v>20</v>
      </c>
      <c r="I446" s="48"/>
      <c r="J446" s="48"/>
      <c r="K446" s="49"/>
      <c r="L446" s="50">
        <f t="shared" ref="L446:M446" ca="1" si="101">SUM(L447:L448)</f>
        <v>0</v>
      </c>
      <c r="M446" s="53">
        <f t="shared" si="101"/>
        <v>0</v>
      </c>
      <c r="N446" s="53">
        <f t="shared" ca="1" si="100"/>
        <v>0</v>
      </c>
    </row>
    <row r="447" spans="1:14" ht="21.75" customHeight="1" x14ac:dyDescent="0.4">
      <c r="A447" s="42"/>
      <c r="B447" s="43"/>
      <c r="C447" s="43"/>
      <c r="D447" s="51"/>
      <c r="E447" s="45"/>
      <c r="F447" s="45"/>
      <c r="G447" s="52" t="s">
        <v>110</v>
      </c>
      <c r="H447" s="47" t="s">
        <v>20</v>
      </c>
      <c r="I447" s="48"/>
      <c r="J447" s="48"/>
      <c r="K447" s="49"/>
      <c r="L447" s="53">
        <f ca="1">IFERROR(__xludf.DUMMYFUNCTION("IMPORTRANGE(""https://docs.google.com/spreadsheets/d/1C3CXT74ZlgGe6_JY_1olB1XN4rF0dxEuIIF-xsYjHgg/edit?usp=sharing"",""งบกองทุน!dt25"")"),0)</f>
        <v>0</v>
      </c>
      <c r="M447" s="53">
        <v>0</v>
      </c>
      <c r="N447" s="53">
        <f t="shared" ca="1" si="100"/>
        <v>0</v>
      </c>
    </row>
    <row r="448" spans="1:14" ht="21.75" customHeight="1" x14ac:dyDescent="0.4">
      <c r="A448" s="42"/>
      <c r="B448" s="43"/>
      <c r="C448" s="43"/>
      <c r="D448" s="51"/>
      <c r="E448" s="45"/>
      <c r="F448" s="45"/>
      <c r="G448" s="52" t="s">
        <v>111</v>
      </c>
      <c r="H448" s="47" t="s">
        <v>20</v>
      </c>
      <c r="I448" s="48"/>
      <c r="J448" s="48"/>
      <c r="K448" s="49"/>
      <c r="L448" s="53">
        <f ca="1">IFERROR(__xludf.DUMMYFUNCTION("IMPORTRANGE(""https://docs.google.com/spreadsheets/d/1C3CXT74ZlgGe6_JY_1olB1XN4rF0dxEuIIF-xsYjHgg/edit?usp=sharing"",""งบกองทุน!du25"")"),0)</f>
        <v>0</v>
      </c>
      <c r="M448" s="53">
        <f>SUM(M449:M452)</f>
        <v>0</v>
      </c>
      <c r="N448" s="53">
        <f t="shared" ca="1" si="100"/>
        <v>0</v>
      </c>
    </row>
    <row r="449" spans="1:14" ht="21.75" customHeight="1" x14ac:dyDescent="0.4">
      <c r="A449" s="230"/>
      <c r="B449" s="231"/>
      <c r="C449" s="43"/>
      <c r="D449" s="232"/>
      <c r="E449" s="45"/>
      <c r="F449" s="45"/>
      <c r="G449" s="46" t="s">
        <v>112</v>
      </c>
      <c r="H449" s="47" t="s">
        <v>20</v>
      </c>
      <c r="I449" s="67"/>
      <c r="J449" s="67"/>
      <c r="K449" s="233"/>
      <c r="L449" s="53"/>
      <c r="M449" s="53">
        <v>0</v>
      </c>
      <c r="N449" s="53"/>
    </row>
    <row r="450" spans="1:14" ht="21.75" customHeight="1" x14ac:dyDescent="0.4">
      <c r="A450" s="230"/>
      <c r="B450" s="231"/>
      <c r="C450" s="43"/>
      <c r="D450" s="232"/>
      <c r="E450" s="45"/>
      <c r="F450" s="45"/>
      <c r="G450" s="46" t="s">
        <v>113</v>
      </c>
      <c r="H450" s="47" t="s">
        <v>20</v>
      </c>
      <c r="I450" s="67"/>
      <c r="J450" s="67"/>
      <c r="K450" s="233"/>
      <c r="L450" s="53"/>
      <c r="M450" s="53">
        <v>0</v>
      </c>
      <c r="N450" s="53"/>
    </row>
    <row r="451" spans="1:14" ht="21.75" customHeight="1" x14ac:dyDescent="0.4">
      <c r="A451" s="230"/>
      <c r="B451" s="231"/>
      <c r="C451" s="43"/>
      <c r="D451" s="232"/>
      <c r="E451" s="45"/>
      <c r="F451" s="45"/>
      <c r="G451" s="46" t="s">
        <v>114</v>
      </c>
      <c r="H451" s="47" t="s">
        <v>20</v>
      </c>
      <c r="I451" s="67"/>
      <c r="J451" s="67"/>
      <c r="K451" s="233"/>
      <c r="L451" s="53"/>
      <c r="M451" s="53">
        <v>0</v>
      </c>
      <c r="N451" s="53"/>
    </row>
    <row r="452" spans="1:14" ht="21.75" customHeight="1" x14ac:dyDescent="0.4">
      <c r="A452" s="230"/>
      <c r="B452" s="231"/>
      <c r="C452" s="43"/>
      <c r="D452" s="232"/>
      <c r="E452" s="45"/>
      <c r="F452" s="45"/>
      <c r="G452" s="46" t="s">
        <v>115</v>
      </c>
      <c r="H452" s="47" t="s">
        <v>20</v>
      </c>
      <c r="I452" s="67"/>
      <c r="J452" s="67"/>
      <c r="K452" s="233"/>
      <c r="L452" s="53"/>
      <c r="M452" s="53">
        <v>0</v>
      </c>
      <c r="N452" s="53"/>
    </row>
    <row r="453" spans="1:14" ht="21.75" customHeight="1" x14ac:dyDescent="0.4">
      <c r="A453" s="55"/>
      <c r="B453" s="56"/>
      <c r="C453" s="56"/>
      <c r="D453" s="73"/>
      <c r="E453" s="75"/>
      <c r="F453" s="75" t="s">
        <v>186</v>
      </c>
      <c r="G453" s="76"/>
      <c r="H453" s="315" t="s">
        <v>103</v>
      </c>
      <c r="I453" s="48">
        <f ca="1">IFERROR(__xludf.DUMMYFUNCTION("IMPORTRANGE(""https://docs.google.com/spreadsheets/d/1C3CXT74ZlgGe6_JY_1olB1XN4rF0dxEuIIF-xsYjHgg/edit?usp=sharing"",""งบกองทุน!dw25"")"),0)</f>
        <v>0</v>
      </c>
      <c r="J453" s="67">
        <v>0</v>
      </c>
      <c r="K453" s="233">
        <f t="shared" ref="K453:K457" ca="1" si="102">IF(I453&gt;0,J453*100/I453,0)</f>
        <v>0</v>
      </c>
      <c r="L453" s="53"/>
      <c r="M453" s="53"/>
      <c r="N453" s="61"/>
    </row>
    <row r="454" spans="1:14" ht="21.75" customHeight="1" x14ac:dyDescent="0.4">
      <c r="A454" s="55"/>
      <c r="B454" s="56"/>
      <c r="C454" s="56"/>
      <c r="D454" s="73"/>
      <c r="E454" s="75"/>
      <c r="F454" s="75"/>
      <c r="G454" s="76"/>
      <c r="H454" s="315" t="s">
        <v>15</v>
      </c>
      <c r="I454" s="48">
        <f ca="1">IFERROR(__xludf.DUMMYFUNCTION("IMPORTRANGE(""https://docs.google.com/spreadsheets/d/1C3CXT74ZlgGe6_JY_1olB1XN4rF0dxEuIIF-xsYjHgg/edit?usp=sharing"",""งบกองทุน!dx25"")"),0)</f>
        <v>0</v>
      </c>
      <c r="J454" s="67">
        <v>0</v>
      </c>
      <c r="K454" s="233">
        <f t="shared" ca="1" si="102"/>
        <v>0</v>
      </c>
      <c r="L454" s="53"/>
      <c r="M454" s="53"/>
      <c r="N454" s="61"/>
    </row>
    <row r="455" spans="1:14" ht="21.75" customHeight="1" x14ac:dyDescent="0.4">
      <c r="A455" s="55"/>
      <c r="B455" s="56"/>
      <c r="C455" s="56"/>
      <c r="D455" s="73"/>
      <c r="E455" s="75"/>
      <c r="F455" s="75" t="s">
        <v>187</v>
      </c>
      <c r="G455" s="76"/>
      <c r="H455" s="315" t="s">
        <v>103</v>
      </c>
      <c r="I455" s="48">
        <f ca="1">IFERROR(__xludf.DUMMYFUNCTION("IMPORTRANGE(""https://docs.google.com/spreadsheets/d/1C3CXT74ZlgGe6_JY_1olB1XN4rF0dxEuIIF-xsYjHgg/edit?usp=sharing"",""งบกองทุน!dy25"")"),0)</f>
        <v>0</v>
      </c>
      <c r="J455" s="67">
        <v>0</v>
      </c>
      <c r="K455" s="233">
        <f t="shared" ca="1" si="102"/>
        <v>0</v>
      </c>
      <c r="L455" s="53"/>
      <c r="M455" s="53"/>
      <c r="N455" s="61"/>
    </row>
    <row r="456" spans="1:14" ht="21.75" customHeight="1" x14ac:dyDescent="0.4">
      <c r="A456" s="55"/>
      <c r="B456" s="56"/>
      <c r="C456" s="56"/>
      <c r="D456" s="73"/>
      <c r="E456" s="75"/>
      <c r="F456" s="75"/>
      <c r="G456" s="76"/>
      <c r="H456" s="315" t="s">
        <v>15</v>
      </c>
      <c r="I456" s="48">
        <f ca="1">IFERROR(__xludf.DUMMYFUNCTION("IMPORTRANGE(""https://docs.google.com/spreadsheets/d/1C3CXT74ZlgGe6_JY_1olB1XN4rF0dxEuIIF-xsYjHgg/edit?usp=sharing"",""งบกองทุน!dz25"")"),0)</f>
        <v>0</v>
      </c>
      <c r="J456" s="67">
        <v>0</v>
      </c>
      <c r="K456" s="49">
        <f t="shared" ca="1" si="102"/>
        <v>0</v>
      </c>
      <c r="L456" s="61"/>
      <c r="M456" s="61"/>
      <c r="N456" s="61"/>
    </row>
    <row r="457" spans="1:14" ht="21.75" customHeight="1" x14ac:dyDescent="0.4">
      <c r="A457" s="222"/>
      <c r="B457" s="223">
        <v>8</v>
      </c>
      <c r="C457" s="224" t="s">
        <v>188</v>
      </c>
      <c r="D457" s="224"/>
      <c r="E457" s="224"/>
      <c r="F457" s="224"/>
      <c r="G457" s="225"/>
      <c r="H457" s="226" t="s">
        <v>16</v>
      </c>
      <c r="I457" s="227">
        <f ca="1">I466</f>
        <v>2150</v>
      </c>
      <c r="J457" s="227">
        <f>+J466</f>
        <v>0</v>
      </c>
      <c r="K457" s="228">
        <f t="shared" ca="1" si="102"/>
        <v>0</v>
      </c>
      <c r="L457" s="229">
        <f t="shared" ref="L457:M457" ca="1" si="103">SUM(L458:L459)</f>
        <v>144800</v>
      </c>
      <c r="M457" s="229">
        <f t="shared" si="103"/>
        <v>7830</v>
      </c>
      <c r="N457" s="229">
        <f t="shared" ref="N457:N461" ca="1" si="104">+IF(L457&gt;0,M457*100/L457,0)</f>
        <v>5.4074585635359114</v>
      </c>
    </row>
    <row r="458" spans="1:14" ht="21.75" customHeight="1" x14ac:dyDescent="0.4">
      <c r="A458" s="42"/>
      <c r="B458" s="43"/>
      <c r="C458" s="43" t="s">
        <v>17</v>
      </c>
      <c r="D458" s="44" t="s">
        <v>18</v>
      </c>
      <c r="E458" s="45"/>
      <c r="F458" s="45"/>
      <c r="G458" s="46" t="s">
        <v>19</v>
      </c>
      <c r="H458" s="47" t="s">
        <v>20</v>
      </c>
      <c r="I458" s="48" t="s">
        <v>21</v>
      </c>
      <c r="J458" s="48"/>
      <c r="K458" s="49"/>
      <c r="L458" s="50">
        <v>0</v>
      </c>
      <c r="M458" s="53">
        <v>0</v>
      </c>
      <c r="N458" s="53">
        <f t="shared" si="104"/>
        <v>0</v>
      </c>
    </row>
    <row r="459" spans="1:14" ht="21.75" customHeight="1" x14ac:dyDescent="0.4">
      <c r="A459" s="42"/>
      <c r="B459" s="43"/>
      <c r="C459" s="43"/>
      <c r="D459" s="51"/>
      <c r="E459" s="45"/>
      <c r="F459" s="45" t="s">
        <v>21</v>
      </c>
      <c r="G459" s="46" t="s">
        <v>22</v>
      </c>
      <c r="H459" s="47" t="s">
        <v>20</v>
      </c>
      <c r="I459" s="48"/>
      <c r="J459" s="48"/>
      <c r="K459" s="49"/>
      <c r="L459" s="50">
        <f t="shared" ref="L459:M459" ca="1" si="105">SUM(L460:L461)</f>
        <v>144800</v>
      </c>
      <c r="M459" s="53">
        <f t="shared" si="105"/>
        <v>7830</v>
      </c>
      <c r="N459" s="53">
        <f t="shared" ca="1" si="104"/>
        <v>5.4074585635359114</v>
      </c>
    </row>
    <row r="460" spans="1:14" ht="21.75" customHeight="1" x14ac:dyDescent="0.4">
      <c r="A460" s="42"/>
      <c r="B460" s="43"/>
      <c r="C460" s="43"/>
      <c r="D460" s="51"/>
      <c r="E460" s="45"/>
      <c r="F460" s="45"/>
      <c r="G460" s="52" t="s">
        <v>110</v>
      </c>
      <c r="H460" s="47" t="s">
        <v>20</v>
      </c>
      <c r="I460" s="48"/>
      <c r="J460" s="48"/>
      <c r="K460" s="49"/>
      <c r="L460" s="53">
        <f ca="1">IFERROR(__xludf.DUMMYFUNCTION("IMPORTRANGE(""https://docs.google.com/spreadsheets/d/1C3CXT74ZlgGe6_JY_1olB1XN4rF0dxEuIIF-xsYjHgg/edit?usp=sharing"",""งบกองทุน!Eb25"")"),0)</f>
        <v>0</v>
      </c>
      <c r="M460" s="53">
        <v>0</v>
      </c>
      <c r="N460" s="53">
        <f t="shared" ca="1" si="104"/>
        <v>0</v>
      </c>
    </row>
    <row r="461" spans="1:14" ht="21.75" customHeight="1" x14ac:dyDescent="0.4">
      <c r="A461" s="42"/>
      <c r="B461" s="43"/>
      <c r="C461" s="43"/>
      <c r="D461" s="51"/>
      <c r="E461" s="45"/>
      <c r="F461" s="45"/>
      <c r="G461" s="52" t="s">
        <v>111</v>
      </c>
      <c r="H461" s="47" t="s">
        <v>20</v>
      </c>
      <c r="I461" s="48"/>
      <c r="J461" s="48"/>
      <c r="K461" s="49"/>
      <c r="L461" s="53">
        <f ca="1">IFERROR(__xludf.DUMMYFUNCTION("IMPORTRANGE(""https://docs.google.com/spreadsheets/d/1C3CXT74ZlgGe6_JY_1olB1XN4rF0dxEuIIF-xsYjHgg/edit?usp=sharing"",""งบกองทุน!Ec25"")"),144800)</f>
        <v>144800</v>
      </c>
      <c r="M461" s="53">
        <f>SUM(M462:M465)</f>
        <v>7830</v>
      </c>
      <c r="N461" s="53">
        <f t="shared" ca="1" si="104"/>
        <v>5.4074585635359114</v>
      </c>
    </row>
    <row r="462" spans="1:14" ht="21.75" customHeight="1" x14ac:dyDescent="0.4">
      <c r="A462" s="230"/>
      <c r="B462" s="231"/>
      <c r="C462" s="43"/>
      <c r="D462" s="232"/>
      <c r="E462" s="45"/>
      <c r="F462" s="45"/>
      <c r="G462" s="46" t="s">
        <v>112</v>
      </c>
      <c r="H462" s="47" t="s">
        <v>20</v>
      </c>
      <c r="I462" s="67"/>
      <c r="J462" s="67"/>
      <c r="K462" s="233"/>
      <c r="L462" s="53"/>
      <c r="M462" s="53">
        <v>0</v>
      </c>
      <c r="N462" s="53"/>
    </row>
    <row r="463" spans="1:14" ht="21.75" customHeight="1" x14ac:dyDescent="0.4">
      <c r="A463" s="230"/>
      <c r="B463" s="231"/>
      <c r="C463" s="43"/>
      <c r="D463" s="232"/>
      <c r="E463" s="45"/>
      <c r="F463" s="45"/>
      <c r="G463" s="46" t="s">
        <v>113</v>
      </c>
      <c r="H463" s="47" t="s">
        <v>20</v>
      </c>
      <c r="I463" s="67"/>
      <c r="J463" s="67"/>
      <c r="K463" s="233"/>
      <c r="L463" s="53"/>
      <c r="M463" s="53">
        <v>0</v>
      </c>
      <c r="N463" s="53"/>
    </row>
    <row r="464" spans="1:14" ht="21.75" customHeight="1" x14ac:dyDescent="0.4">
      <c r="A464" s="230"/>
      <c r="B464" s="231"/>
      <c r="C464" s="43"/>
      <c r="D464" s="232"/>
      <c r="E464" s="45"/>
      <c r="F464" s="45"/>
      <c r="G464" s="46" t="s">
        <v>114</v>
      </c>
      <c r="H464" s="47" t="s">
        <v>20</v>
      </c>
      <c r="I464" s="67"/>
      <c r="J464" s="67"/>
      <c r="K464" s="233"/>
      <c r="L464" s="53"/>
      <c r="M464" s="54">
        <v>7830</v>
      </c>
      <c r="N464" s="53"/>
    </row>
    <row r="465" spans="1:14" ht="21.75" customHeight="1" x14ac:dyDescent="0.4">
      <c r="A465" s="230"/>
      <c r="B465" s="231"/>
      <c r="C465" s="43"/>
      <c r="D465" s="232"/>
      <c r="E465" s="45"/>
      <c r="F465" s="45"/>
      <c r="G465" s="46" t="s">
        <v>115</v>
      </c>
      <c r="H465" s="47" t="s">
        <v>20</v>
      </c>
      <c r="I465" s="67"/>
      <c r="J465" s="67"/>
      <c r="K465" s="233"/>
      <c r="L465" s="53"/>
      <c r="M465" s="54">
        <v>0</v>
      </c>
      <c r="N465" s="53"/>
    </row>
    <row r="466" spans="1:14" ht="21.75" customHeight="1" x14ac:dyDescent="0.4">
      <c r="A466" s="55"/>
      <c r="B466" s="56"/>
      <c r="C466" s="56"/>
      <c r="D466" s="75"/>
      <c r="E466" s="74" t="s">
        <v>21</v>
      </c>
      <c r="F466" s="260" t="s">
        <v>189</v>
      </c>
      <c r="G466" s="240"/>
      <c r="H466" s="314" t="s">
        <v>16</v>
      </c>
      <c r="I466" s="265">
        <f ca="1">IFERROR(__xludf.DUMMYFUNCTION("IMPORTRANGE(""https://docs.google.com/spreadsheets/d/1C3CXT74ZlgGe6_JY_1olB1XN4rF0dxEuIIF-xsYjHgg/edit?usp=sharing"",""งบกองทุน!Ed25"")"),2150)</f>
        <v>2150</v>
      </c>
      <c r="J466" s="265">
        <f>+J469+J470+J471+J472</f>
        <v>0</v>
      </c>
      <c r="K466" s="80">
        <f ca="1">IF(I466&gt;0,J466*100/I466,0)</f>
        <v>0</v>
      </c>
      <c r="L466" s="61"/>
      <c r="M466" s="61"/>
      <c r="N466" s="61"/>
    </row>
    <row r="467" spans="1:14" ht="21.75" customHeight="1" x14ac:dyDescent="0.4">
      <c r="A467" s="55"/>
      <c r="B467" s="56"/>
      <c r="C467" s="56"/>
      <c r="D467" s="75"/>
      <c r="E467" s="75"/>
      <c r="F467" s="74" t="s">
        <v>190</v>
      </c>
      <c r="G467" s="76"/>
      <c r="H467" s="315"/>
      <c r="I467" s="48"/>
      <c r="J467" s="48"/>
      <c r="K467" s="49"/>
      <c r="L467" s="61"/>
      <c r="M467" s="61"/>
      <c r="N467" s="61"/>
    </row>
    <row r="468" spans="1:14" ht="21.75" customHeight="1" x14ac:dyDescent="0.4">
      <c r="A468" s="55"/>
      <c r="B468" s="56"/>
      <c r="C468" s="56"/>
      <c r="D468" s="75"/>
      <c r="E468" s="74" t="s">
        <v>21</v>
      </c>
      <c r="F468" s="74" t="s">
        <v>191</v>
      </c>
      <c r="G468" s="76"/>
      <c r="H468" s="315" t="s">
        <v>57</v>
      </c>
      <c r="I468" s="48">
        <v>0</v>
      </c>
      <c r="J468" s="68">
        <v>0</v>
      </c>
      <c r="K468" s="49">
        <f t="shared" ref="K468:K472" si="106">IF(I468&gt;0,J468*100/I468,0)</f>
        <v>0</v>
      </c>
      <c r="L468" s="61"/>
      <c r="M468" s="61"/>
      <c r="N468" s="61"/>
    </row>
    <row r="469" spans="1:14" ht="21.75" customHeight="1" x14ac:dyDescent="0.4">
      <c r="A469" s="55"/>
      <c r="B469" s="56"/>
      <c r="C469" s="56"/>
      <c r="D469" s="75"/>
      <c r="E469" s="75"/>
      <c r="F469" s="74" t="s">
        <v>192</v>
      </c>
      <c r="G469" s="76"/>
      <c r="H469" s="315" t="s">
        <v>16</v>
      </c>
      <c r="I469" s="48">
        <v>0</v>
      </c>
      <c r="J469" s="68">
        <v>0</v>
      </c>
      <c r="K469" s="49">
        <f t="shared" si="106"/>
        <v>0</v>
      </c>
      <c r="L469" s="61"/>
      <c r="M469" s="61"/>
      <c r="N469" s="61"/>
    </row>
    <row r="470" spans="1:14" ht="21.75" customHeight="1" x14ac:dyDescent="0.4">
      <c r="A470" s="55"/>
      <c r="B470" s="56"/>
      <c r="C470" s="56"/>
      <c r="D470" s="75"/>
      <c r="E470" s="75"/>
      <c r="F470" s="74" t="s">
        <v>193</v>
      </c>
      <c r="G470" s="76"/>
      <c r="H470" s="315" t="s">
        <v>16</v>
      </c>
      <c r="I470" s="48">
        <v>0</v>
      </c>
      <c r="J470" s="68">
        <v>0</v>
      </c>
      <c r="K470" s="49">
        <f t="shared" si="106"/>
        <v>0</v>
      </c>
      <c r="L470" s="61"/>
      <c r="M470" s="61"/>
      <c r="N470" s="61"/>
    </row>
    <row r="471" spans="1:14" ht="21.75" customHeight="1" x14ac:dyDescent="0.4">
      <c r="A471" s="55"/>
      <c r="B471" s="56"/>
      <c r="C471" s="56"/>
      <c r="D471" s="75"/>
      <c r="E471" s="75"/>
      <c r="F471" s="74" t="s">
        <v>194</v>
      </c>
      <c r="G471" s="266"/>
      <c r="H471" s="315" t="s">
        <v>16</v>
      </c>
      <c r="I471" s="48">
        <v>0</v>
      </c>
      <c r="J471" s="68">
        <v>0</v>
      </c>
      <c r="K471" s="49">
        <f t="shared" si="106"/>
        <v>0</v>
      </c>
      <c r="L471" s="61"/>
      <c r="M471" s="61"/>
      <c r="N471" s="61"/>
    </row>
    <row r="472" spans="1:14" ht="21.75" customHeight="1" x14ac:dyDescent="0.4">
      <c r="A472" s="55"/>
      <c r="B472" s="56"/>
      <c r="C472" s="56"/>
      <c r="D472" s="75"/>
      <c r="E472" s="75"/>
      <c r="F472" s="74" t="s">
        <v>195</v>
      </c>
      <c r="G472" s="266"/>
      <c r="H472" s="315" t="s">
        <v>16</v>
      </c>
      <c r="I472" s="48">
        <v>0</v>
      </c>
      <c r="J472" s="68">
        <v>0</v>
      </c>
      <c r="K472" s="49">
        <f t="shared" si="106"/>
        <v>0</v>
      </c>
      <c r="L472" s="61"/>
      <c r="M472" s="61"/>
      <c r="N472" s="61"/>
    </row>
    <row r="473" spans="1:14" ht="21.75" customHeight="1" x14ac:dyDescent="0.4">
      <c r="A473" s="222"/>
      <c r="B473" s="223">
        <v>9</v>
      </c>
      <c r="C473" s="224" t="s">
        <v>196</v>
      </c>
      <c r="D473" s="224"/>
      <c r="E473" s="224"/>
      <c r="F473" s="224"/>
      <c r="G473" s="225"/>
      <c r="H473" s="226" t="s">
        <v>16</v>
      </c>
      <c r="I473" s="227">
        <f ca="1">I484</f>
        <v>70</v>
      </c>
      <c r="J473" s="227">
        <f ca="1">J488</f>
        <v>0</v>
      </c>
      <c r="K473" s="228">
        <f ca="1">IF(I473&gt;0,J473*100/I473,0)</f>
        <v>0</v>
      </c>
      <c r="L473" s="229">
        <f ca="1">SUM(L474,L475)</f>
        <v>298470</v>
      </c>
      <c r="M473" s="229">
        <f>SUM(M474:M475)</f>
        <v>0</v>
      </c>
      <c r="N473" s="229">
        <f t="shared" ref="N473:N477" ca="1" si="107">+IF(L473&gt;0,M473*100/L473,0)</f>
        <v>0</v>
      </c>
    </row>
    <row r="474" spans="1:14" ht="21.75" customHeight="1" x14ac:dyDescent="0.4">
      <c r="A474" s="42"/>
      <c r="B474" s="43"/>
      <c r="C474" s="43" t="s">
        <v>17</v>
      </c>
      <c r="D474" s="44" t="s">
        <v>18</v>
      </c>
      <c r="E474" s="45"/>
      <c r="F474" s="45"/>
      <c r="G474" s="46" t="s">
        <v>19</v>
      </c>
      <c r="H474" s="47" t="s">
        <v>20</v>
      </c>
      <c r="I474" s="48" t="s">
        <v>21</v>
      </c>
      <c r="J474" s="48"/>
      <c r="K474" s="49"/>
      <c r="L474" s="50">
        <v>0</v>
      </c>
      <c r="M474" s="53">
        <v>0</v>
      </c>
      <c r="N474" s="53">
        <f t="shared" si="107"/>
        <v>0</v>
      </c>
    </row>
    <row r="475" spans="1:14" ht="21.75" customHeight="1" x14ac:dyDescent="0.4">
      <c r="A475" s="42"/>
      <c r="B475" s="43"/>
      <c r="C475" s="43"/>
      <c r="D475" s="51"/>
      <c r="E475" s="45"/>
      <c r="F475" s="45" t="s">
        <v>21</v>
      </c>
      <c r="G475" s="46" t="s">
        <v>22</v>
      </c>
      <c r="H475" s="47" t="s">
        <v>20</v>
      </c>
      <c r="I475" s="48"/>
      <c r="J475" s="48"/>
      <c r="K475" s="49"/>
      <c r="L475" s="50">
        <f t="shared" ref="L475:M475" ca="1" si="108">SUM(L476:L477)</f>
        <v>298470</v>
      </c>
      <c r="M475" s="53">
        <f t="shared" si="108"/>
        <v>0</v>
      </c>
      <c r="N475" s="53">
        <f t="shared" ca="1" si="107"/>
        <v>0</v>
      </c>
    </row>
    <row r="476" spans="1:14" ht="21.75" customHeight="1" x14ac:dyDescent="0.4">
      <c r="A476" s="42"/>
      <c r="B476" s="43"/>
      <c r="C476" s="43"/>
      <c r="D476" s="51"/>
      <c r="E476" s="45"/>
      <c r="F476" s="45"/>
      <c r="G476" s="52" t="s">
        <v>110</v>
      </c>
      <c r="H476" s="47" t="s">
        <v>20</v>
      </c>
      <c r="I476" s="48"/>
      <c r="J476" s="48"/>
      <c r="K476" s="49"/>
      <c r="L476" s="53">
        <f ca="1">IFERROR(__xludf.DUMMYFUNCTION("IMPORTRANGE(""https://docs.google.com/spreadsheets/d/1C3CXT74ZlgGe6_JY_1olB1XN4rF0dxEuIIF-xsYjHgg/edit?usp=sharing"",""งบกองทุน!Ek25"")"),0)</f>
        <v>0</v>
      </c>
      <c r="M476" s="53">
        <v>0</v>
      </c>
      <c r="N476" s="53">
        <f t="shared" ca="1" si="107"/>
        <v>0</v>
      </c>
    </row>
    <row r="477" spans="1:14" ht="21.75" customHeight="1" x14ac:dyDescent="0.4">
      <c r="A477" s="42"/>
      <c r="B477" s="43"/>
      <c r="C477" s="43"/>
      <c r="D477" s="51"/>
      <c r="E477" s="45"/>
      <c r="F477" s="45"/>
      <c r="G477" s="52" t="s">
        <v>111</v>
      </c>
      <c r="H477" s="47" t="s">
        <v>20</v>
      </c>
      <c r="I477" s="48"/>
      <c r="J477" s="48"/>
      <c r="K477" s="49"/>
      <c r="L477" s="53">
        <f ca="1">IFERROR(__xludf.DUMMYFUNCTION("IMPORTRANGE(""https://docs.google.com/spreadsheets/d/1C3CXT74ZlgGe6_JY_1olB1XN4rF0dxEuIIF-xsYjHgg/edit?usp=sharing"",""งบกองทุน!El25"")"),298470)</f>
        <v>298470</v>
      </c>
      <c r="M477" s="53">
        <f>SUM(M478:M481)</f>
        <v>0</v>
      </c>
      <c r="N477" s="53">
        <f t="shared" ca="1" si="107"/>
        <v>0</v>
      </c>
    </row>
    <row r="478" spans="1:14" ht="21.75" customHeight="1" x14ac:dyDescent="0.4">
      <c r="A478" s="230"/>
      <c r="B478" s="231"/>
      <c r="C478" s="43"/>
      <c r="D478" s="232"/>
      <c r="E478" s="45"/>
      <c r="F478" s="45"/>
      <c r="G478" s="46" t="s">
        <v>112</v>
      </c>
      <c r="H478" s="47" t="s">
        <v>20</v>
      </c>
      <c r="I478" s="67"/>
      <c r="J478" s="67"/>
      <c r="K478" s="233"/>
      <c r="L478" s="53"/>
      <c r="M478" s="53">
        <v>0</v>
      </c>
      <c r="N478" s="53"/>
    </row>
    <row r="479" spans="1:14" ht="21.75" customHeight="1" x14ac:dyDescent="0.4">
      <c r="A479" s="230"/>
      <c r="B479" s="231"/>
      <c r="C479" s="43"/>
      <c r="D479" s="232"/>
      <c r="E479" s="45"/>
      <c r="F479" s="45"/>
      <c r="G479" s="46" t="s">
        <v>113</v>
      </c>
      <c r="H479" s="47" t="s">
        <v>20</v>
      </c>
      <c r="I479" s="67"/>
      <c r="J479" s="67"/>
      <c r="K479" s="233"/>
      <c r="L479" s="53"/>
      <c r="M479" s="53">
        <v>0</v>
      </c>
      <c r="N479" s="53"/>
    </row>
    <row r="480" spans="1:14" ht="21.75" customHeight="1" x14ac:dyDescent="0.4">
      <c r="A480" s="230"/>
      <c r="B480" s="231"/>
      <c r="C480" s="43"/>
      <c r="D480" s="232"/>
      <c r="E480" s="45"/>
      <c r="F480" s="45"/>
      <c r="G480" s="46" t="s">
        <v>114</v>
      </c>
      <c r="H480" s="47" t="s">
        <v>20</v>
      </c>
      <c r="I480" s="67"/>
      <c r="J480" s="67"/>
      <c r="K480" s="233"/>
      <c r="L480" s="53"/>
      <c r="M480" s="54">
        <v>0</v>
      </c>
      <c r="N480" s="53"/>
    </row>
    <row r="481" spans="1:14" ht="21.75" customHeight="1" x14ac:dyDescent="0.4">
      <c r="A481" s="230"/>
      <c r="B481" s="231"/>
      <c r="C481" s="43"/>
      <c r="D481" s="232"/>
      <c r="E481" s="45"/>
      <c r="F481" s="45"/>
      <c r="G481" s="46" t="s">
        <v>115</v>
      </c>
      <c r="H481" s="47" t="s">
        <v>20</v>
      </c>
      <c r="I481" s="67"/>
      <c r="J481" s="67"/>
      <c r="K481" s="233"/>
      <c r="L481" s="53"/>
      <c r="M481" s="54">
        <v>0</v>
      </c>
      <c r="N481" s="53"/>
    </row>
    <row r="482" spans="1:14" ht="21.75" customHeight="1" x14ac:dyDescent="0.4">
      <c r="A482" s="316"/>
      <c r="B482" s="51"/>
      <c r="C482" s="43"/>
      <c r="D482" s="155"/>
      <c r="E482" s="74" t="s">
        <v>197</v>
      </c>
      <c r="F482" s="75"/>
      <c r="G482" s="76"/>
      <c r="H482" s="60" t="s">
        <v>15</v>
      </c>
      <c r="I482" s="200">
        <f ca="1">IFERROR(__xludf.DUMMYFUNCTION("IMPORTRANGE(""https://docs.google.com/spreadsheets/d/1C3CXT74ZlgGe6_JY_1olB1XN4rF0dxEuIIF-xsYjHgg/edit?usp=sharing"",""งบกองทุน!Em25"")"),70)</f>
        <v>70</v>
      </c>
      <c r="J482" s="67">
        <f ca="1">IFERROR(__xludf.DUMMYFUNCTION("IMPORTRANGE(""https://docs.google.com/spreadsheets/d/1AGHcLOeeYFL3K4b9R1dSzyJy00PE_ra89DNTVfnxSWM/edit?usp=sharing"",""รวมที่ชุมชน!G14"")"),2)</f>
        <v>2</v>
      </c>
      <c r="K482" s="49">
        <f t="shared" ref="K482:K489" ca="1" si="109">IF(I482&gt;0,J482*100/I482,0)</f>
        <v>2.8571428571428572</v>
      </c>
      <c r="L482" s="61"/>
      <c r="M482" s="61"/>
      <c r="N482" s="61"/>
    </row>
    <row r="483" spans="1:14" ht="21.75" customHeight="1" x14ac:dyDescent="0.4">
      <c r="A483" s="316"/>
      <c r="B483" s="51"/>
      <c r="C483" s="43"/>
      <c r="D483" s="155"/>
      <c r="E483" s="75"/>
      <c r="F483" s="75"/>
      <c r="G483" s="76"/>
      <c r="H483" s="60" t="s">
        <v>103</v>
      </c>
      <c r="I483" s="200">
        <f ca="1">IFERROR(__xludf.DUMMYFUNCTION("IMPORTRANGE(""https://docs.google.com/spreadsheets/d/1C3CXT74ZlgGe6_JY_1olB1XN4rF0dxEuIIF-xsYjHgg/edit?usp=sharing"",""งบกองทุน!En25"")"),0)</f>
        <v>0</v>
      </c>
      <c r="J483" s="67">
        <f ca="1">IFERROR(__xludf.DUMMYFUNCTION("IMPORTRANGE(""https://docs.google.com/spreadsheets/d/1AGHcLOeeYFL3K4b9R1dSzyJy00PE_ra89DNTVfnxSWM/edit?usp=sharing"",""รวมที่ชุมชน!H14"")"),1.99)</f>
        <v>1.99</v>
      </c>
      <c r="K483" s="49">
        <f t="shared" ca="1" si="109"/>
        <v>0</v>
      </c>
      <c r="L483" s="61"/>
      <c r="M483" s="61"/>
      <c r="N483" s="61"/>
    </row>
    <row r="484" spans="1:14" ht="21.75" customHeight="1" x14ac:dyDescent="0.4">
      <c r="A484" s="316"/>
      <c r="B484" s="51"/>
      <c r="C484" s="43"/>
      <c r="D484" s="155"/>
      <c r="E484" s="74" t="s">
        <v>104</v>
      </c>
      <c r="F484" s="75"/>
      <c r="G484" s="76"/>
      <c r="H484" s="60" t="s">
        <v>16</v>
      </c>
      <c r="I484" s="200">
        <f ca="1">IFERROR(__xludf.DUMMYFUNCTION("IMPORTRANGE(""https://docs.google.com/spreadsheets/d/1C3CXT74ZlgGe6_JY_1olB1XN4rF0dxEuIIF-xsYjHgg/edit?usp=sharing"",""งบกองทุน!Eo25"")"),70)</f>
        <v>70</v>
      </c>
      <c r="J484" s="67">
        <f ca="1">IFERROR(__xludf.DUMMYFUNCTION("IMPORTRANGE(""https://docs.google.com/spreadsheets/d/1AGHcLOeeYFL3K4b9R1dSzyJy00PE_ra89DNTVfnxSWM/edit?usp=sharing"",""รวมที่ชุมชน!J14"")"),0)</f>
        <v>0</v>
      </c>
      <c r="K484" s="49">
        <f t="shared" ca="1" si="109"/>
        <v>0</v>
      </c>
      <c r="L484" s="61"/>
      <c r="M484" s="61"/>
      <c r="N484" s="61"/>
    </row>
    <row r="485" spans="1:14" ht="21.75" customHeight="1" x14ac:dyDescent="0.4">
      <c r="A485" s="316"/>
      <c r="B485" s="51"/>
      <c r="C485" s="43"/>
      <c r="D485" s="155"/>
      <c r="E485" s="75"/>
      <c r="F485" s="75"/>
      <c r="G485" s="76"/>
      <c r="H485" s="60" t="s">
        <v>103</v>
      </c>
      <c r="I485" s="200">
        <f ca="1">IFERROR(__xludf.DUMMYFUNCTION("IMPORTRANGE(""https://docs.google.com/spreadsheets/d/1C3CXT74ZlgGe6_JY_1olB1XN4rF0dxEuIIF-xsYjHgg/edit?usp=sharing"",""งบกองทุน!Ep25"")"),0)</f>
        <v>0</v>
      </c>
      <c r="J485" s="67">
        <f ca="1">IFERROR(__xludf.DUMMYFUNCTION("IMPORTRANGE(""https://docs.google.com/spreadsheets/d/1AGHcLOeeYFL3K4b9R1dSzyJy00PE_ra89DNTVfnxSWM/edit?usp=sharing"",""รวมที่ชุมชน!L14"")"),0)</f>
        <v>0</v>
      </c>
      <c r="K485" s="49">
        <f t="shared" ca="1" si="109"/>
        <v>0</v>
      </c>
      <c r="L485" s="61"/>
      <c r="M485" s="61"/>
      <c r="N485" s="61"/>
    </row>
    <row r="486" spans="1:14" ht="21.75" customHeight="1" x14ac:dyDescent="0.4">
      <c r="A486" s="316"/>
      <c r="B486" s="51"/>
      <c r="C486" s="43"/>
      <c r="D486" s="155"/>
      <c r="E486" s="74" t="s">
        <v>105</v>
      </c>
      <c r="F486" s="75"/>
      <c r="G486" s="76"/>
      <c r="H486" s="60" t="s">
        <v>16</v>
      </c>
      <c r="I486" s="200">
        <f ca="1">IFERROR(__xludf.DUMMYFUNCTION("IMPORTRANGE(""https://docs.google.com/spreadsheets/d/1C3CXT74ZlgGe6_JY_1olB1XN4rF0dxEuIIF-xsYjHgg/edit?usp=sharing"",""งบกองทุน!Eq25"")"),70)</f>
        <v>70</v>
      </c>
      <c r="J486" s="67">
        <f ca="1">IFERROR(__xludf.DUMMYFUNCTION("IMPORTRANGE(""https://docs.google.com/spreadsheets/d/1AGHcLOeeYFL3K4b9R1dSzyJy00PE_ra89DNTVfnxSWM/edit?usp=sharing"",""รวมที่ชุมชน!S14"")"),0)</f>
        <v>0</v>
      </c>
      <c r="K486" s="49">
        <f t="shared" ca="1" si="109"/>
        <v>0</v>
      </c>
      <c r="L486" s="61"/>
      <c r="M486" s="61"/>
      <c r="N486" s="61"/>
    </row>
    <row r="487" spans="1:14" ht="21.75" customHeight="1" x14ac:dyDescent="0.4">
      <c r="A487" s="316"/>
      <c r="B487" s="51"/>
      <c r="C487" s="43"/>
      <c r="D487" s="155"/>
      <c r="E487" s="75"/>
      <c r="F487" s="75"/>
      <c r="G487" s="76"/>
      <c r="H487" s="60" t="s">
        <v>103</v>
      </c>
      <c r="I487" s="200">
        <f ca="1">IFERROR(__xludf.DUMMYFUNCTION("IMPORTRANGE(""https://docs.google.com/spreadsheets/d/1C3CXT74ZlgGe6_JY_1olB1XN4rF0dxEuIIF-xsYjHgg/edit?usp=sharing"",""งบกองทุน!Er25"")"),0)</f>
        <v>0</v>
      </c>
      <c r="J487" s="67">
        <f ca="1">IFERROR(__xludf.DUMMYFUNCTION("IMPORTRANGE(""https://docs.google.com/spreadsheets/d/1AGHcLOeeYFL3K4b9R1dSzyJy00PE_ra89DNTVfnxSWM/edit?usp=sharing"",""รวมที่ชุมชน!U14"")"),0)</f>
        <v>0</v>
      </c>
      <c r="K487" s="49">
        <f t="shared" ca="1" si="109"/>
        <v>0</v>
      </c>
      <c r="L487" s="61"/>
      <c r="M487" s="61"/>
      <c r="N487" s="61"/>
    </row>
    <row r="488" spans="1:14" ht="21.75" customHeight="1" x14ac:dyDescent="0.4">
      <c r="A488" s="316"/>
      <c r="B488" s="51"/>
      <c r="C488" s="43"/>
      <c r="D488" s="155"/>
      <c r="E488" s="74" t="s">
        <v>106</v>
      </c>
      <c r="F488" s="75"/>
      <c r="G488" s="76"/>
      <c r="H488" s="60" t="s">
        <v>16</v>
      </c>
      <c r="I488" s="200">
        <f ca="1">IFERROR(__xludf.DUMMYFUNCTION("IMPORTRANGE(""https://docs.google.com/spreadsheets/d/1C3CXT74ZlgGe6_JY_1olB1XN4rF0dxEuIIF-xsYjHgg/edit?usp=sharing"",""งบกองทุน!Es25"")"),70)</f>
        <v>70</v>
      </c>
      <c r="J488" s="67">
        <f ca="1">IFERROR(__xludf.DUMMYFUNCTION("IMPORTRANGE(""https://docs.google.com/spreadsheets/d/1AGHcLOeeYFL3K4b9R1dSzyJy00PE_ra89DNTVfnxSWM/edit?usp=sharing"",""รวมที่ชุมชน!V14"")"),0)</f>
        <v>0</v>
      </c>
      <c r="K488" s="49">
        <f t="shared" ca="1" si="109"/>
        <v>0</v>
      </c>
      <c r="L488" s="61"/>
      <c r="M488" s="61"/>
      <c r="N488" s="61"/>
    </row>
    <row r="489" spans="1:14" ht="21.75" customHeight="1" x14ac:dyDescent="0.4">
      <c r="A489" s="317"/>
      <c r="B489" s="318"/>
      <c r="C489" s="319"/>
      <c r="D489" s="320"/>
      <c r="E489" s="295"/>
      <c r="F489" s="295"/>
      <c r="G489" s="296"/>
      <c r="H489" s="321" t="s">
        <v>103</v>
      </c>
      <c r="I489" s="322">
        <f ca="1">IFERROR(__xludf.DUMMYFUNCTION("IMPORTRANGE(""https://docs.google.com/spreadsheets/d/1C3CXT74ZlgGe6_JY_1olB1XN4rF0dxEuIIF-xsYjHgg/edit?usp=sharing"",""งบกองทุน!Et25"")"),0)</f>
        <v>0</v>
      </c>
      <c r="J489" s="112">
        <f ca="1">IFERROR(__xludf.DUMMYFUNCTION("IMPORTRANGE(""https://docs.google.com/spreadsheets/d/1AGHcLOeeYFL3K4b9R1dSzyJy00PE_ra89DNTVfnxSWM/edit?usp=sharing"",""รวมที่ชุมชน!X14"")"),0)</f>
        <v>0</v>
      </c>
      <c r="K489" s="114">
        <f t="shared" ca="1" si="109"/>
        <v>0</v>
      </c>
      <c r="L489" s="300"/>
      <c r="M489" s="300"/>
      <c r="N489" s="300"/>
    </row>
    <row r="490" spans="1:14" ht="21.75" customHeight="1" x14ac:dyDescent="0.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10">I504</f>
        <v>100</v>
      </c>
      <c r="J490" s="375">
        <f t="shared" si="110"/>
        <v>0</v>
      </c>
      <c r="K490" s="301">
        <f ca="1">IF(I490&gt;0,J490*100/I490,0)</f>
        <v>0</v>
      </c>
      <c r="L490" s="259">
        <f ca="1">SUM(L491,L492)</f>
        <v>8900</v>
      </c>
      <c r="M490" s="259">
        <f>SUM(M491:M492)</f>
        <v>1800</v>
      </c>
      <c r="N490" s="259">
        <f t="shared" ref="N490:N494" ca="1" si="111">+IF(L490&gt;0,M490*100/L490,0)</f>
        <v>20.224719101123597</v>
      </c>
    </row>
    <row r="491" spans="1:14" ht="21.75" customHeight="1" x14ac:dyDescent="0.4">
      <c r="A491" s="42"/>
      <c r="B491" s="43"/>
      <c r="C491" s="43" t="s">
        <v>17</v>
      </c>
      <c r="D491" s="44" t="s">
        <v>18</v>
      </c>
      <c r="E491" s="45"/>
      <c r="F491" s="45"/>
      <c r="G491" s="46" t="s">
        <v>19</v>
      </c>
      <c r="H491" s="47" t="s">
        <v>20</v>
      </c>
      <c r="I491" s="48" t="s">
        <v>21</v>
      </c>
      <c r="J491" s="48"/>
      <c r="K491" s="49"/>
      <c r="L491" s="50">
        <v>0</v>
      </c>
      <c r="M491" s="53">
        <v>0</v>
      </c>
      <c r="N491" s="53">
        <f t="shared" si="111"/>
        <v>0</v>
      </c>
    </row>
    <row r="492" spans="1:14" ht="21.75" customHeight="1" x14ac:dyDescent="0.4">
      <c r="A492" s="42"/>
      <c r="B492" s="43"/>
      <c r="C492" s="43"/>
      <c r="D492" s="51"/>
      <c r="E492" s="45"/>
      <c r="F492" s="45" t="s">
        <v>21</v>
      </c>
      <c r="G492" s="46" t="s">
        <v>22</v>
      </c>
      <c r="H492" s="47" t="s">
        <v>20</v>
      </c>
      <c r="I492" s="48"/>
      <c r="J492" s="48"/>
      <c r="K492" s="49"/>
      <c r="L492" s="50">
        <f t="shared" ref="L492:M492" ca="1" si="112">SUM(L493:L494)</f>
        <v>8900</v>
      </c>
      <c r="M492" s="53">
        <f t="shared" si="112"/>
        <v>1800</v>
      </c>
      <c r="N492" s="53">
        <f t="shared" ca="1" si="111"/>
        <v>20.224719101123597</v>
      </c>
    </row>
    <row r="493" spans="1:14" ht="21.75" customHeight="1" x14ac:dyDescent="0.4">
      <c r="A493" s="42"/>
      <c r="B493" s="43"/>
      <c r="C493" s="43"/>
      <c r="D493" s="51"/>
      <c r="E493" s="45"/>
      <c r="F493" s="45"/>
      <c r="G493" s="52" t="s">
        <v>110</v>
      </c>
      <c r="H493" s="47" t="s">
        <v>20</v>
      </c>
      <c r="I493" s="48"/>
      <c r="J493" s="48"/>
      <c r="K493" s="49"/>
      <c r="L493" s="53">
        <f ca="1">IFERROR(__xludf.DUMMYFUNCTION("IMPORTRANGE(""https://docs.google.com/spreadsheets/d/1C3CXT74ZlgGe6_JY_1olB1XN4rF0dxEuIIF-xsYjHgg/edit?usp=sharing"",""งบกองทุน!Ev25"")"),0)</f>
        <v>0</v>
      </c>
      <c r="M493" s="53">
        <v>0</v>
      </c>
      <c r="N493" s="53">
        <f t="shared" ca="1" si="111"/>
        <v>0</v>
      </c>
    </row>
    <row r="494" spans="1:14" ht="21.75" customHeight="1" x14ac:dyDescent="0.4">
      <c r="A494" s="42"/>
      <c r="B494" s="43"/>
      <c r="C494" s="43"/>
      <c r="D494" s="51"/>
      <c r="E494" s="45"/>
      <c r="F494" s="45"/>
      <c r="G494" s="52" t="s">
        <v>111</v>
      </c>
      <c r="H494" s="47" t="s">
        <v>20</v>
      </c>
      <c r="I494" s="48"/>
      <c r="J494" s="48"/>
      <c r="K494" s="49"/>
      <c r="L494" s="53">
        <f ca="1">IFERROR(__xludf.DUMMYFUNCTION("IMPORTRANGE(""https://docs.google.com/spreadsheets/d/1C3CXT74ZlgGe6_JY_1olB1XN4rF0dxEuIIF-xsYjHgg/edit?usp=sharing"",""งบกองทุน!Ew25"")"),8900)</f>
        <v>8900</v>
      </c>
      <c r="M494" s="53">
        <f>SUM(M495:M498)</f>
        <v>1800</v>
      </c>
      <c r="N494" s="53">
        <f t="shared" ca="1" si="111"/>
        <v>20.224719101123597</v>
      </c>
    </row>
    <row r="495" spans="1:14" ht="21.75" customHeight="1" x14ac:dyDescent="0.4">
      <c r="A495" s="230"/>
      <c r="B495" s="231"/>
      <c r="C495" s="43"/>
      <c r="D495" s="232"/>
      <c r="E495" s="45"/>
      <c r="F495" s="45"/>
      <c r="G495" s="46" t="s">
        <v>112</v>
      </c>
      <c r="H495" s="47" t="s">
        <v>20</v>
      </c>
      <c r="I495" s="67"/>
      <c r="J495" s="67"/>
      <c r="K495" s="233"/>
      <c r="L495" s="53"/>
      <c r="M495" s="53">
        <v>0</v>
      </c>
      <c r="N495" s="53"/>
    </row>
    <row r="496" spans="1:14" ht="21.75" customHeight="1" x14ac:dyDescent="0.4">
      <c r="A496" s="230"/>
      <c r="B496" s="231"/>
      <c r="C496" s="43"/>
      <c r="D496" s="232"/>
      <c r="E496" s="45"/>
      <c r="F496" s="45"/>
      <c r="G496" s="46" t="s">
        <v>113</v>
      </c>
      <c r="H496" s="47" t="s">
        <v>20</v>
      </c>
      <c r="I496" s="67"/>
      <c r="J496" s="67"/>
      <c r="K496" s="233"/>
      <c r="L496" s="53"/>
      <c r="M496" s="53">
        <v>0</v>
      </c>
      <c r="N496" s="53"/>
    </row>
    <row r="497" spans="1:14" ht="21.75" customHeight="1" x14ac:dyDescent="0.4">
      <c r="A497" s="230"/>
      <c r="B497" s="231"/>
      <c r="C497" s="43"/>
      <c r="D497" s="232"/>
      <c r="E497" s="45"/>
      <c r="F497" s="45"/>
      <c r="G497" s="46" t="s">
        <v>114</v>
      </c>
      <c r="H497" s="47" t="s">
        <v>20</v>
      </c>
      <c r="I497" s="67"/>
      <c r="J497" s="67"/>
      <c r="K497" s="233"/>
      <c r="L497" s="53"/>
      <c r="M497" s="54">
        <v>0</v>
      </c>
      <c r="N497" s="53"/>
    </row>
    <row r="498" spans="1:14" ht="21.75" customHeight="1" x14ac:dyDescent="0.4">
      <c r="A498" s="230"/>
      <c r="B498" s="231"/>
      <c r="C498" s="43"/>
      <c r="D498" s="232"/>
      <c r="E498" s="45"/>
      <c r="F498" s="45"/>
      <c r="G498" s="46" t="s">
        <v>115</v>
      </c>
      <c r="H498" s="47" t="s">
        <v>20</v>
      </c>
      <c r="I498" s="67"/>
      <c r="J498" s="67"/>
      <c r="K498" s="233"/>
      <c r="L498" s="53"/>
      <c r="M498" s="54">
        <v>1800</v>
      </c>
      <c r="N498" s="53"/>
    </row>
    <row r="499" spans="1:14" ht="21.75" customHeight="1" x14ac:dyDescent="0.4">
      <c r="A499" s="55"/>
      <c r="B499" s="56"/>
      <c r="C499" s="43" t="s">
        <v>17</v>
      </c>
      <c r="D499" s="57" t="s">
        <v>25</v>
      </c>
      <c r="E499" s="58"/>
      <c r="F499" s="58"/>
      <c r="G499" s="59"/>
      <c r="H499" s="60"/>
      <c r="I499" s="48"/>
      <c r="J499" s="48"/>
      <c r="K499" s="49"/>
      <c r="L499" s="61"/>
      <c r="M499" s="61"/>
      <c r="N499" s="61"/>
    </row>
    <row r="500" spans="1:14" ht="21.75" customHeight="1" x14ac:dyDescent="0.4">
      <c r="A500" s="55"/>
      <c r="B500" s="56"/>
      <c r="C500" s="56"/>
      <c r="D500" s="62">
        <v>1</v>
      </c>
      <c r="E500" s="63" t="s">
        <v>26</v>
      </c>
      <c r="F500" s="64"/>
      <c r="G500" s="65"/>
      <c r="H500" s="66"/>
      <c r="I500" s="67"/>
      <c r="J500" s="68">
        <v>0</v>
      </c>
      <c r="K500" s="49"/>
      <c r="L500" s="61"/>
      <c r="M500" s="61"/>
      <c r="N500" s="61"/>
    </row>
    <row r="501" spans="1:14" ht="21.75" customHeight="1" x14ac:dyDescent="0.4">
      <c r="A501" s="55"/>
      <c r="B501" s="56"/>
      <c r="C501" s="56"/>
      <c r="D501" s="69">
        <v>2</v>
      </c>
      <c r="E501" s="70" t="s">
        <v>27</v>
      </c>
      <c r="F501" s="71"/>
      <c r="G501" s="72"/>
      <c r="H501" s="66"/>
      <c r="I501" s="67"/>
      <c r="J501" s="68">
        <v>1</v>
      </c>
      <c r="K501" s="49"/>
      <c r="L501" s="61" t="s">
        <v>21</v>
      </c>
      <c r="M501" s="61" t="s">
        <v>21</v>
      </c>
      <c r="N501" s="61"/>
    </row>
    <row r="502" spans="1:14" ht="21.75" hidden="1" customHeight="1" x14ac:dyDescent="0.4">
      <c r="A502" s="376"/>
      <c r="B502" s="377"/>
      <c r="C502" s="377"/>
      <c r="D502" s="378"/>
      <c r="E502" s="379" t="s">
        <v>28</v>
      </c>
      <c r="F502" s="380"/>
      <c r="G502" s="381"/>
      <c r="H502" s="330"/>
      <c r="I502" s="331"/>
      <c r="J502" s="331">
        <v>0</v>
      </c>
      <c r="K502" s="382"/>
      <c r="L502" s="383"/>
      <c r="M502" s="383"/>
      <c r="N502" s="383"/>
    </row>
    <row r="503" spans="1:14" ht="21.75" hidden="1" customHeight="1" x14ac:dyDescent="0.4">
      <c r="A503" s="376"/>
      <c r="B503" s="377"/>
      <c r="C503" s="377"/>
      <c r="D503" s="378"/>
      <c r="E503" s="379" t="s">
        <v>29</v>
      </c>
      <c r="F503" s="380"/>
      <c r="G503" s="381"/>
      <c r="H503" s="330"/>
      <c r="I503" s="331"/>
      <c r="J503" s="331">
        <v>0</v>
      </c>
      <c r="K503" s="382"/>
      <c r="L503" s="383"/>
      <c r="M503" s="383"/>
      <c r="N503" s="383"/>
    </row>
    <row r="504" spans="1:14" ht="21.75" customHeight="1" x14ac:dyDescent="0.4">
      <c r="A504" s="55"/>
      <c r="B504" s="56"/>
      <c r="C504" s="56"/>
      <c r="D504" s="73"/>
      <c r="E504" s="75"/>
      <c r="F504" s="75" t="s">
        <v>199</v>
      </c>
      <c r="G504" s="76"/>
      <c r="H504" s="60" t="s">
        <v>103</v>
      </c>
      <c r="I504" s="67">
        <f ca="1">IFERROR(__xludf.DUMMYFUNCTION("IMPORTRANGE(""https://docs.google.com/spreadsheets/d/1C3CXT74ZlgGe6_JY_1olB1XN4rF0dxEuIIF-xsYjHgg/edit?usp=sharing"",""งบกองทุน!EZ25"")"),100)</f>
        <v>100</v>
      </c>
      <c r="J504" s="48">
        <f>+J510</f>
        <v>0</v>
      </c>
      <c r="K504" s="49">
        <f t="shared" ref="K504:K512" ca="1" si="113">IF(I$504&gt;0,J504*100/I$504,0)</f>
        <v>0</v>
      </c>
      <c r="L504" s="61"/>
      <c r="M504" s="61"/>
      <c r="N504" s="61"/>
    </row>
    <row r="505" spans="1:14" ht="21.75" customHeight="1" x14ac:dyDescent="0.4">
      <c r="A505" s="55"/>
      <c r="B505" s="56"/>
      <c r="C505" s="56"/>
      <c r="D505" s="73"/>
      <c r="E505" s="77"/>
      <c r="F505" s="75"/>
      <c r="G505" s="99" t="s">
        <v>200</v>
      </c>
      <c r="H505" s="60" t="s">
        <v>103</v>
      </c>
      <c r="I505" s="67">
        <v>0</v>
      </c>
      <c r="J505" s="68">
        <v>0</v>
      </c>
      <c r="K505" s="49">
        <f t="shared" ca="1" si="113"/>
        <v>0</v>
      </c>
      <c r="L505" s="61"/>
      <c r="M505" s="61"/>
      <c r="N505" s="61"/>
    </row>
    <row r="506" spans="1:14" ht="21.75" customHeight="1" x14ac:dyDescent="0.4">
      <c r="A506" s="55"/>
      <c r="B506" s="56"/>
      <c r="C506" s="56"/>
      <c r="D506" s="73"/>
      <c r="E506" s="77"/>
      <c r="F506" s="75"/>
      <c r="G506" s="99" t="s">
        <v>201</v>
      </c>
      <c r="H506" s="60" t="s">
        <v>103</v>
      </c>
      <c r="I506" s="67">
        <v>0</v>
      </c>
      <c r="J506" s="68">
        <v>0</v>
      </c>
      <c r="K506" s="49">
        <f t="shared" ca="1" si="113"/>
        <v>0</v>
      </c>
      <c r="L506" s="61"/>
      <c r="M506" s="61"/>
      <c r="N506" s="61"/>
    </row>
    <row r="507" spans="1:14" ht="21.75" customHeight="1" x14ac:dyDescent="0.4">
      <c r="A507" s="55"/>
      <c r="B507" s="56"/>
      <c r="C507" s="56"/>
      <c r="D507" s="73"/>
      <c r="E507" s="77"/>
      <c r="F507" s="75"/>
      <c r="G507" s="99" t="s">
        <v>202</v>
      </c>
      <c r="H507" s="60" t="s">
        <v>103</v>
      </c>
      <c r="I507" s="67">
        <v>0</v>
      </c>
      <c r="J507" s="68">
        <v>0</v>
      </c>
      <c r="K507" s="49">
        <f t="shared" ca="1" si="113"/>
        <v>0</v>
      </c>
      <c r="L507" s="61"/>
      <c r="M507" s="61"/>
      <c r="N507" s="61"/>
    </row>
    <row r="508" spans="1:14" ht="21.75" customHeight="1" x14ac:dyDescent="0.4">
      <c r="A508" s="55"/>
      <c r="B508" s="56"/>
      <c r="C508" s="56"/>
      <c r="D508" s="73"/>
      <c r="E508" s="77"/>
      <c r="F508" s="75"/>
      <c r="G508" s="99" t="s">
        <v>203</v>
      </c>
      <c r="H508" s="60" t="s">
        <v>103</v>
      </c>
      <c r="I508" s="67">
        <v>0</v>
      </c>
      <c r="J508" s="68">
        <v>0</v>
      </c>
      <c r="K508" s="49">
        <f t="shared" ca="1" si="113"/>
        <v>0</v>
      </c>
      <c r="L508" s="61"/>
      <c r="M508" s="61"/>
      <c r="N508" s="61"/>
    </row>
    <row r="509" spans="1:14" ht="21.75" customHeight="1" x14ac:dyDescent="0.4">
      <c r="A509" s="55"/>
      <c r="B509" s="56"/>
      <c r="C509" s="56"/>
      <c r="D509" s="73"/>
      <c r="E509" s="77"/>
      <c r="F509" s="75"/>
      <c r="G509" s="74" t="s">
        <v>204</v>
      </c>
      <c r="H509" s="60" t="s">
        <v>103</v>
      </c>
      <c r="I509" s="67">
        <v>0</v>
      </c>
      <c r="J509" s="68">
        <v>0</v>
      </c>
      <c r="K509" s="49">
        <f t="shared" ca="1" si="113"/>
        <v>0</v>
      </c>
      <c r="L509" s="61"/>
      <c r="M509" s="61"/>
      <c r="N509" s="61"/>
    </row>
    <row r="510" spans="1:14" ht="21.75" customHeight="1" x14ac:dyDescent="0.4">
      <c r="A510" s="55"/>
      <c r="B510" s="56"/>
      <c r="C510" s="56"/>
      <c r="D510" s="73"/>
      <c r="E510" s="77"/>
      <c r="F510" s="75"/>
      <c r="G510" s="74" t="s">
        <v>205</v>
      </c>
      <c r="H510" s="60" t="s">
        <v>103</v>
      </c>
      <c r="I510" s="67">
        <f t="shared" ref="I510:J510" si="114">I511+I512</f>
        <v>0</v>
      </c>
      <c r="J510" s="67">
        <f t="shared" si="114"/>
        <v>0</v>
      </c>
      <c r="K510" s="49">
        <f t="shared" ca="1" si="113"/>
        <v>0</v>
      </c>
      <c r="L510" s="61"/>
      <c r="M510" s="61"/>
      <c r="N510" s="61"/>
    </row>
    <row r="511" spans="1:14" ht="21.75" customHeight="1" x14ac:dyDescent="0.4">
      <c r="A511" s="55"/>
      <c r="B511" s="56"/>
      <c r="C511" s="56"/>
      <c r="D511" s="73"/>
      <c r="E511" s="77"/>
      <c r="F511" s="75"/>
      <c r="G511" s="334" t="s">
        <v>206</v>
      </c>
      <c r="H511" s="60" t="s">
        <v>103</v>
      </c>
      <c r="I511" s="67">
        <v>0</v>
      </c>
      <c r="J511" s="68">
        <v>0</v>
      </c>
      <c r="K511" s="49">
        <f t="shared" ca="1" si="113"/>
        <v>0</v>
      </c>
      <c r="L511" s="61"/>
      <c r="M511" s="61"/>
      <c r="N511" s="61"/>
    </row>
    <row r="512" spans="1:14" ht="21.75" customHeight="1" x14ac:dyDescent="0.4">
      <c r="A512" s="55"/>
      <c r="B512" s="56"/>
      <c r="C512" s="56"/>
      <c r="D512" s="73"/>
      <c r="E512" s="77"/>
      <c r="F512" s="75"/>
      <c r="G512" s="334" t="s">
        <v>207</v>
      </c>
      <c r="H512" s="60" t="s">
        <v>103</v>
      </c>
      <c r="I512" s="67">
        <v>0</v>
      </c>
      <c r="J512" s="68">
        <v>0</v>
      </c>
      <c r="K512" s="49">
        <f t="shared" ca="1" si="113"/>
        <v>0</v>
      </c>
      <c r="L512" s="61"/>
      <c r="M512" s="61"/>
      <c r="N512" s="61"/>
    </row>
    <row r="513" spans="1:14" ht="21.75" customHeight="1" x14ac:dyDescent="0.4">
      <c r="A513" s="55"/>
      <c r="B513" s="56"/>
      <c r="C513" s="56"/>
      <c r="D513" s="73"/>
      <c r="E513" s="75"/>
      <c r="F513" s="74" t="s">
        <v>208</v>
      </c>
      <c r="G513" s="76"/>
      <c r="H513" s="60" t="s">
        <v>103</v>
      </c>
      <c r="I513" s="67">
        <f ca="1">IFERROR(__xludf.DUMMYFUNCTION("IMPORTRANGE(""https://docs.google.com/spreadsheets/d/1C3CXT74ZlgGe6_JY_1olB1XN4rF0dxEuIIF-xsYjHgg/edit?usp=sharing"",""งบกองทุน!ff25"")"),0)</f>
        <v>0</v>
      </c>
      <c r="J513" s="48">
        <f>J514</f>
        <v>0</v>
      </c>
      <c r="K513" s="49">
        <f t="shared" ref="K513:K519" ca="1" si="115">IF(I$513&gt;0,J513*100/I$513,0)</f>
        <v>0</v>
      </c>
      <c r="L513" s="61"/>
      <c r="M513" s="61"/>
      <c r="N513" s="61"/>
    </row>
    <row r="514" spans="1:14" ht="21.75" customHeight="1" x14ac:dyDescent="0.4">
      <c r="A514" s="55"/>
      <c r="B514" s="56"/>
      <c r="C514" s="56"/>
      <c r="D514" s="73"/>
      <c r="E514" s="77"/>
      <c r="F514" s="75"/>
      <c r="G514" s="99" t="s">
        <v>205</v>
      </c>
      <c r="H514" s="60" t="s">
        <v>103</v>
      </c>
      <c r="I514" s="48">
        <f t="shared" ref="I514:J514" si="116">I515+I516</f>
        <v>0</v>
      </c>
      <c r="J514" s="48">
        <f t="shared" si="116"/>
        <v>0</v>
      </c>
      <c r="K514" s="49">
        <f t="shared" ca="1" si="115"/>
        <v>0</v>
      </c>
      <c r="L514" s="61"/>
      <c r="M514" s="61"/>
      <c r="N514" s="61"/>
    </row>
    <row r="515" spans="1:14" ht="21.75" customHeight="1" x14ac:dyDescent="0.4">
      <c r="A515" s="55"/>
      <c r="B515" s="56"/>
      <c r="C515" s="56"/>
      <c r="D515" s="73"/>
      <c r="E515" s="77"/>
      <c r="F515" s="75"/>
      <c r="G515" s="334" t="s">
        <v>206</v>
      </c>
      <c r="H515" s="60" t="s">
        <v>103</v>
      </c>
      <c r="I515" s="67">
        <v>0</v>
      </c>
      <c r="J515" s="68">
        <v>0</v>
      </c>
      <c r="K515" s="49">
        <f t="shared" ca="1" si="115"/>
        <v>0</v>
      </c>
      <c r="L515" s="61"/>
      <c r="M515" s="61"/>
      <c r="N515" s="61"/>
    </row>
    <row r="516" spans="1:14" ht="21.75" customHeight="1" x14ac:dyDescent="0.4">
      <c r="A516" s="55"/>
      <c r="B516" s="56"/>
      <c r="C516" s="56"/>
      <c r="D516" s="73"/>
      <c r="E516" s="77"/>
      <c r="F516" s="75"/>
      <c r="G516" s="334" t="s">
        <v>207</v>
      </c>
      <c r="H516" s="60" t="s">
        <v>103</v>
      </c>
      <c r="I516" s="67">
        <v>0</v>
      </c>
      <c r="J516" s="68">
        <v>0</v>
      </c>
      <c r="K516" s="49">
        <f t="shared" ca="1" si="115"/>
        <v>0</v>
      </c>
      <c r="L516" s="61"/>
      <c r="M516" s="61"/>
      <c r="N516" s="61"/>
    </row>
    <row r="517" spans="1:14" ht="21.75" customHeight="1" x14ac:dyDescent="0.4">
      <c r="A517" s="55"/>
      <c r="B517" s="56"/>
      <c r="C517" s="56"/>
      <c r="D517" s="73"/>
      <c r="E517" s="77"/>
      <c r="F517" s="75"/>
      <c r="G517" s="99" t="s">
        <v>209</v>
      </c>
      <c r="H517" s="60" t="s">
        <v>103</v>
      </c>
      <c r="I517" s="67">
        <f t="shared" ref="I517:J517" si="117">SUM(I518:I519)</f>
        <v>0</v>
      </c>
      <c r="J517" s="67">
        <f t="shared" si="117"/>
        <v>0</v>
      </c>
      <c r="K517" s="49">
        <f t="shared" ca="1" si="115"/>
        <v>0</v>
      </c>
      <c r="L517" s="61"/>
      <c r="M517" s="61"/>
      <c r="N517" s="61"/>
    </row>
    <row r="518" spans="1:14" ht="21.75" customHeight="1" x14ac:dyDescent="0.4">
      <c r="A518" s="55"/>
      <c r="B518" s="56"/>
      <c r="C518" s="56"/>
      <c r="D518" s="73"/>
      <c r="E518" s="77"/>
      <c r="F518" s="75"/>
      <c r="G518" s="334" t="s">
        <v>210</v>
      </c>
      <c r="H518" s="60" t="s">
        <v>103</v>
      </c>
      <c r="I518" s="67">
        <v>0</v>
      </c>
      <c r="J518" s="68">
        <v>0</v>
      </c>
      <c r="K518" s="49">
        <f t="shared" ca="1" si="115"/>
        <v>0</v>
      </c>
      <c r="L518" s="61"/>
      <c r="M518" s="61"/>
      <c r="N518" s="61"/>
    </row>
    <row r="519" spans="1:14" ht="21.75" customHeight="1" x14ac:dyDescent="0.4">
      <c r="A519" s="55"/>
      <c r="B519" s="56"/>
      <c r="C519" s="56"/>
      <c r="D519" s="73"/>
      <c r="E519" s="77"/>
      <c r="F519" s="75"/>
      <c r="G519" s="334" t="s">
        <v>211</v>
      </c>
      <c r="H519" s="60" t="s">
        <v>103</v>
      </c>
      <c r="I519" s="67">
        <v>0</v>
      </c>
      <c r="J519" s="68">
        <v>0</v>
      </c>
      <c r="K519" s="49">
        <f t="shared" ca="1" si="115"/>
        <v>0</v>
      </c>
      <c r="L519" s="61"/>
      <c r="M519" s="61"/>
      <c r="N519" s="61"/>
    </row>
    <row r="520" spans="1:14" ht="21.75" customHeight="1" x14ac:dyDescent="0.4">
      <c r="A520" s="335" t="s">
        <v>212</v>
      </c>
      <c r="B520" s="336"/>
      <c r="C520" s="336"/>
      <c r="D520" s="336"/>
      <c r="E520" s="336"/>
      <c r="F520" s="336"/>
      <c r="G520" s="337"/>
      <c r="H520" s="338"/>
      <c r="I520" s="339"/>
      <c r="J520" s="339"/>
      <c r="K520" s="340"/>
      <c r="L520" s="340"/>
      <c r="M520" s="340"/>
      <c r="N520" s="341"/>
    </row>
    <row r="521" spans="1:14" ht="21.75" customHeight="1" x14ac:dyDescent="0.4">
      <c r="A521" s="316"/>
      <c r="B521" s="45" t="s">
        <v>213</v>
      </c>
      <c r="C521" s="43"/>
      <c r="D521" s="51"/>
      <c r="E521" s="45"/>
      <c r="F521" s="45"/>
      <c r="G521" s="46"/>
      <c r="H521" s="342" t="s">
        <v>20</v>
      </c>
      <c r="I521" s="200">
        <f ca="1">IFERROR(__xludf.DUMMYFUNCTION("IMPORTRANGE(""https://docs.google.com/spreadsheets/d/1muirlRDkqiswvy_NRZ3Yh955hx-PF6_HhssUYiSJj8o/edit?usp=sharing"",""กองทุน!D25"")"),5152563.63)</f>
        <v>5152563.63</v>
      </c>
      <c r="J521" s="200">
        <f ca="1">IFERROR(__xludf.DUMMYFUNCTION("IMPORTRANGE(""https://docs.google.com/spreadsheets/d/1muirlRDkqiswvy_NRZ3Yh955hx-PF6_HhssUYiSJj8o/edit?usp=sharing"",""กองทุน!F25"")"),13179.73)</f>
        <v>13179.73</v>
      </c>
      <c r="K521" s="201">
        <f t="shared" ref="K521:K528" ca="1" si="118">IF(I521&gt;0,J521*100/I521,0)</f>
        <v>0.25578975722421116</v>
      </c>
      <c r="L521" s="201"/>
      <c r="M521" s="201"/>
      <c r="N521" s="53"/>
    </row>
    <row r="522" spans="1:14" ht="21.75" customHeight="1" x14ac:dyDescent="0.4">
      <c r="A522" s="316"/>
      <c r="B522" s="43"/>
      <c r="C522" s="43"/>
      <c r="D522" s="51"/>
      <c r="E522" s="45"/>
      <c r="F522" s="45"/>
      <c r="G522" s="46"/>
      <c r="H522" s="342" t="s">
        <v>16</v>
      </c>
      <c r="I522" s="200">
        <f ca="1">IFERROR(__xludf.DUMMYFUNCTION("IMPORTRANGE(""https://docs.google.com/spreadsheets/d/1muirlRDkqiswvy_NRZ3Yh955hx-PF6_HhssUYiSJj8o/edit?usp=sharing"",""กองทุน!C25"")"),327)</f>
        <v>327</v>
      </c>
      <c r="J522" s="200">
        <f ca="1">IFERROR(__xludf.DUMMYFUNCTION("IMPORTRANGE(""https://docs.google.com/spreadsheets/d/1muirlRDkqiswvy_NRZ3Yh955hx-PF6_HhssUYiSJj8o/edit?usp=sharing"",""กองทุน!E25"")"),1)</f>
        <v>1</v>
      </c>
      <c r="K522" s="201">
        <f t="shared" ca="1" si="118"/>
        <v>0.3058103975535168</v>
      </c>
      <c r="L522" s="201"/>
      <c r="M522" s="201"/>
      <c r="N522" s="53"/>
    </row>
    <row r="523" spans="1:14" ht="21.75" customHeight="1" x14ac:dyDescent="0.4">
      <c r="A523" s="316"/>
      <c r="B523" s="45" t="s">
        <v>214</v>
      </c>
      <c r="C523" s="43"/>
      <c r="D523" s="51"/>
      <c r="E523" s="45"/>
      <c r="F523" s="45"/>
      <c r="G523" s="46"/>
      <c r="H523" s="342" t="s">
        <v>20</v>
      </c>
      <c r="I523" s="200">
        <f ca="1">IFERROR(__xludf.DUMMYFUNCTION("IMPORTRANGE(""https://docs.google.com/spreadsheets/d/1muirlRDkqiswvy_NRZ3Yh955hx-PF6_HhssUYiSJj8o/edit?usp=sharing"",""กองทุน!I25"")"),1068977.23)</f>
        <v>1068977.23</v>
      </c>
      <c r="J523" s="200">
        <f ca="1">IFERROR(__xludf.DUMMYFUNCTION("IMPORTRANGE(""https://docs.google.com/spreadsheets/d/1muirlRDkqiswvy_NRZ3Yh955hx-PF6_HhssUYiSJj8o/edit?usp=sharing"",""กองทุน!K25"")"),55363.24)</f>
        <v>55363.24</v>
      </c>
      <c r="K523" s="201">
        <f t="shared" ca="1" si="118"/>
        <v>5.1790850587154225</v>
      </c>
      <c r="L523" s="201"/>
      <c r="M523" s="201"/>
      <c r="N523" s="53"/>
    </row>
    <row r="524" spans="1:14" ht="21.75" customHeight="1" x14ac:dyDescent="0.4">
      <c r="A524" s="316"/>
      <c r="B524" s="43"/>
      <c r="C524" s="43"/>
      <c r="D524" s="51"/>
      <c r="E524" s="45"/>
      <c r="F524" s="45"/>
      <c r="G524" s="46"/>
      <c r="H524" s="342" t="s">
        <v>16</v>
      </c>
      <c r="I524" s="200">
        <f ca="1">IFERROR(__xludf.DUMMYFUNCTION("IMPORTRANGE(""https://docs.google.com/spreadsheets/d/1muirlRDkqiswvy_NRZ3Yh955hx-PF6_HhssUYiSJj8o/edit?usp=sharing"",""กองทุน!H25"")"),68)</f>
        <v>68</v>
      </c>
      <c r="J524" s="200">
        <f ca="1">IFERROR(__xludf.DUMMYFUNCTION("IMPORTRANGE(""https://docs.google.com/spreadsheets/d/1muirlRDkqiswvy_NRZ3Yh955hx-PF6_HhssUYiSJj8o/edit?usp=sharing"",""กองทุน!J25"")"),19)</f>
        <v>19</v>
      </c>
      <c r="K524" s="201">
        <f t="shared" ca="1" si="118"/>
        <v>27.941176470588236</v>
      </c>
      <c r="L524" s="201"/>
      <c r="M524" s="201"/>
      <c r="N524" s="53"/>
    </row>
    <row r="525" spans="1:14" ht="21.75" customHeight="1" x14ac:dyDescent="0.4">
      <c r="A525" s="316"/>
      <c r="B525" s="45" t="s">
        <v>215</v>
      </c>
      <c r="C525" s="43"/>
      <c r="D525" s="51"/>
      <c r="E525" s="45"/>
      <c r="F525" s="45"/>
      <c r="G525" s="46"/>
      <c r="H525" s="342" t="s">
        <v>20</v>
      </c>
      <c r="I525" s="200">
        <f ca="1">IFERROR(__xludf.DUMMYFUNCTION("IMPORTRANGE(""https://docs.google.com/spreadsheets/d/1muirlRDkqiswvy_NRZ3Yh955hx-PF6_HhssUYiSJj8o/edit?usp=sharing"",""กองทุน!N25"")"),0)</f>
        <v>0</v>
      </c>
      <c r="J525" s="200">
        <f ca="1">IFERROR(__xludf.DUMMYFUNCTION("IMPORTRANGE(""https://docs.google.com/spreadsheets/d/1muirlRDkqiswvy_NRZ3Yh955hx-PF6_HhssUYiSJj8o/edit?usp=sharing"",""กองทุน!P25"")"),0)</f>
        <v>0</v>
      </c>
      <c r="K525" s="201">
        <f t="shared" ca="1" si="118"/>
        <v>0</v>
      </c>
      <c r="L525" s="201"/>
      <c r="M525" s="201"/>
      <c r="N525" s="53"/>
    </row>
    <row r="526" spans="1:14" ht="21.75" customHeight="1" x14ac:dyDescent="0.4">
      <c r="A526" s="316"/>
      <c r="B526" s="45"/>
      <c r="C526" s="43"/>
      <c r="D526" s="51"/>
      <c r="E526" s="45"/>
      <c r="F526" s="45"/>
      <c r="G526" s="46"/>
      <c r="H526" s="342" t="s">
        <v>16</v>
      </c>
      <c r="I526" s="200">
        <f ca="1">IFERROR(__xludf.DUMMYFUNCTION("IMPORTRANGE(""https://docs.google.com/spreadsheets/d/1muirlRDkqiswvy_NRZ3Yh955hx-PF6_HhssUYiSJj8o/edit?usp=sharing"",""กองทุน!M25"")"),0)</f>
        <v>0</v>
      </c>
      <c r="J526" s="200">
        <f ca="1">IFERROR(__xludf.DUMMYFUNCTION("IMPORTRANGE(""https://docs.google.com/spreadsheets/d/1muirlRDkqiswvy_NRZ3Yh955hx-PF6_HhssUYiSJj8o/edit?usp=sharing"",""กองทุน!O25"")"),0)</f>
        <v>0</v>
      </c>
      <c r="K526" s="201">
        <f t="shared" ca="1" si="118"/>
        <v>0</v>
      </c>
      <c r="L526" s="201"/>
      <c r="M526" s="201"/>
      <c r="N526" s="53"/>
    </row>
    <row r="527" spans="1:14" ht="21.75" customHeight="1" x14ac:dyDescent="0.4">
      <c r="A527" s="316"/>
      <c r="B527" s="45" t="s">
        <v>216</v>
      </c>
      <c r="C527" s="43"/>
      <c r="D527" s="51"/>
      <c r="E527" s="45"/>
      <c r="F527" s="45"/>
      <c r="G527" s="46"/>
      <c r="H527" s="342" t="s">
        <v>20</v>
      </c>
      <c r="I527" s="200">
        <f ca="1">IFERROR(__xludf.DUMMYFUNCTION("IMPORTRANGE(""https://docs.google.com/spreadsheets/d/1muirlRDkqiswvy_NRZ3Yh955hx-PF6_HhssUYiSJj8o/edit?usp=sharing"",""กองทุน!S25"")"),6000000)</f>
        <v>6000000</v>
      </c>
      <c r="J527" s="200">
        <f ca="1">IFERROR(__xludf.DUMMYFUNCTION("IMPORTRANGE(""https://docs.google.com/spreadsheets/d/1muirlRDkqiswvy_NRZ3Yh955hx-PF6_HhssUYiSJj8o/edit?usp=sharing"",""กองทุน!U25"")"),0)</f>
        <v>0</v>
      </c>
      <c r="K527" s="201">
        <f t="shared" ca="1" si="118"/>
        <v>0</v>
      </c>
      <c r="L527" s="201"/>
      <c r="M527" s="201"/>
      <c r="N527" s="53"/>
    </row>
    <row r="528" spans="1:14" ht="21.75" customHeight="1" x14ac:dyDescent="0.4">
      <c r="A528" s="317"/>
      <c r="B528" s="319"/>
      <c r="C528" s="319"/>
      <c r="D528" s="318"/>
      <c r="E528" s="343"/>
      <c r="F528" s="343"/>
      <c r="G528" s="344"/>
      <c r="H528" s="345" t="s">
        <v>16</v>
      </c>
      <c r="I528" s="322">
        <f ca="1">IFERROR(__xludf.DUMMYFUNCTION("IMPORTRANGE(""https://docs.google.com/spreadsheets/d/1muirlRDkqiswvy_NRZ3Yh955hx-PF6_HhssUYiSJj8o/edit?usp=sharing"",""กองทุน!R25"")"),223)</f>
        <v>223</v>
      </c>
      <c r="J528" s="322">
        <f ca="1">IFERROR(__xludf.DUMMYFUNCTION("IMPORTRANGE(""https://docs.google.com/spreadsheets/d/1muirlRDkqiswvy_NRZ3Yh955hx-PF6_HhssUYiSJj8o/edit?usp=sharing"",""กองทุน!T25"")"),0)</f>
        <v>0</v>
      </c>
      <c r="K528" s="323">
        <f t="shared" ca="1" si="118"/>
        <v>0</v>
      </c>
      <c r="L528" s="323"/>
      <c r="M528" s="323"/>
      <c r="N528" s="346"/>
    </row>
    <row r="529" spans="1:14" ht="21.75" customHeight="1" x14ac:dyDescent="0.4">
      <c r="A529" s="347"/>
      <c r="B529" s="347"/>
      <c r="C529" s="347"/>
      <c r="D529" s="347"/>
      <c r="E529" s="348" t="s">
        <v>217</v>
      </c>
      <c r="F529" s="348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&amp;P/&amp;N&amp;R&amp;F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  <pageSetUpPr fitToPage="1"/>
  </sheetPr>
  <dimension ref="A1:N1036"/>
  <sheetViews>
    <sheetView view="pageBreakPreview" zoomScale="60" zoomScaleNormal="100" workbookViewId="0">
      <selection activeCell="L18" sqref="L18"/>
    </sheetView>
  </sheetViews>
  <sheetFormatPr defaultColWidth="12.625" defaultRowHeight="15" customHeight="1" x14ac:dyDescent="0.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4">
      <c r="A1" s="403" t="s">
        <v>0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</row>
    <row r="2" spans="1:14" ht="18" customHeight="1" x14ac:dyDescent="0.4">
      <c r="A2" s="403" t="s">
        <v>234</v>
      </c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404"/>
    </row>
    <row r="3" spans="1:14" ht="18" customHeight="1" x14ac:dyDescent="0.4">
      <c r="A3" s="403" t="s">
        <v>249</v>
      </c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04"/>
    </row>
    <row r="4" spans="1:14" ht="33.75" customHeight="1" x14ac:dyDescent="0.4">
      <c r="A4" s="2"/>
      <c r="B4" s="2"/>
      <c r="C4" s="2"/>
      <c r="D4" s="2"/>
      <c r="E4" s="2"/>
      <c r="F4" s="2"/>
      <c r="G4" s="2"/>
      <c r="H4" s="2"/>
      <c r="I4" s="2"/>
      <c r="J4" s="354" t="s">
        <v>2</v>
      </c>
      <c r="K4" s="4"/>
      <c r="L4" s="5"/>
      <c r="M4" s="355" t="s">
        <v>3</v>
      </c>
      <c r="N4" s="2"/>
    </row>
    <row r="5" spans="1:14" ht="21.75" customHeight="1" x14ac:dyDescent="0.55000000000000004">
      <c r="A5" s="405" t="s">
        <v>4</v>
      </c>
      <c r="B5" s="406"/>
      <c r="C5" s="406"/>
      <c r="D5" s="406"/>
      <c r="E5" s="406"/>
      <c r="F5" s="406"/>
      <c r="G5" s="407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2301375</v>
      </c>
      <c r="M6" s="16">
        <f t="shared" si="0"/>
        <v>101587.7</v>
      </c>
      <c r="N6" s="17">
        <f ca="1">IF(L6&gt;0,M6*100/L6,0)</f>
        <v>4.4142175873119331</v>
      </c>
    </row>
    <row r="7" spans="1:14" ht="21.75" customHeight="1" x14ac:dyDescent="0.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1</v>
      </c>
      <c r="J9" s="38">
        <f t="shared" si="1"/>
        <v>0</v>
      </c>
      <c r="K9" s="41">
        <f t="shared" ref="K9:K10" ca="1" si="2">IF(I9&gt;0,J9*100/I9,0)</f>
        <v>0</v>
      </c>
      <c r="L9" s="40">
        <f ca="1">L11+L12</f>
        <v>382000</v>
      </c>
      <c r="M9" s="40">
        <f>SUM(M11:M12)</f>
        <v>0</v>
      </c>
      <c r="N9" s="41">
        <f ca="1">IF(L9&gt;0,M9*100/L9,0)</f>
        <v>0</v>
      </c>
    </row>
    <row r="10" spans="1:14" ht="21.75" customHeight="1" x14ac:dyDescent="0.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30</v>
      </c>
      <c r="J10" s="38">
        <f t="shared" si="3"/>
        <v>0</v>
      </c>
      <c r="K10" s="41">
        <f t="shared" ca="1" si="2"/>
        <v>0</v>
      </c>
      <c r="L10" s="40"/>
      <c r="M10" s="40"/>
      <c r="N10" s="41"/>
    </row>
    <row r="11" spans="1:14" ht="21.75" customHeight="1" x14ac:dyDescent="0.4">
      <c r="A11" s="42"/>
      <c r="B11" s="43"/>
      <c r="C11" s="43" t="s">
        <v>17</v>
      </c>
      <c r="D11" s="44" t="s">
        <v>18</v>
      </c>
      <c r="E11" s="45"/>
      <c r="F11" s="45"/>
      <c r="G11" s="46" t="s">
        <v>19</v>
      </c>
      <c r="H11" s="47" t="s">
        <v>20</v>
      </c>
      <c r="I11" s="48" t="s">
        <v>21</v>
      </c>
      <c r="J11" s="48"/>
      <c r="K11" s="49"/>
      <c r="L11" s="50">
        <v>0</v>
      </c>
      <c r="M11" s="50">
        <v>0</v>
      </c>
      <c r="N11" s="50">
        <f t="shared" ref="N11:N14" si="4">+IF(L11&gt;0,M11*100/L11,0)</f>
        <v>0</v>
      </c>
    </row>
    <row r="12" spans="1:14" ht="21.75" customHeight="1" x14ac:dyDescent="0.4">
      <c r="A12" s="42"/>
      <c r="B12" s="43"/>
      <c r="C12" s="43"/>
      <c r="D12" s="51"/>
      <c r="E12" s="45"/>
      <c r="F12" s="45" t="s">
        <v>21</v>
      </c>
      <c r="G12" s="46" t="s">
        <v>22</v>
      </c>
      <c r="H12" s="47" t="s">
        <v>20</v>
      </c>
      <c r="I12" s="48"/>
      <c r="J12" s="48"/>
      <c r="K12" s="49"/>
      <c r="L12" s="53">
        <f ca="1">IFERROR(__xludf.DUMMYFUNCTION("IMPORTRANGE(""https://docs.google.com/spreadsheets/d/1C3CXT74ZlgGe6_JY_1olB1XN4rF0dxEuIIF-xsYjHgg/edit?usp=sharing"",""พรบ!C26"")"),382000)</f>
        <v>382000</v>
      </c>
      <c r="M12" s="50">
        <f>SUM(M13:M14)</f>
        <v>0</v>
      </c>
      <c r="N12" s="50">
        <f t="shared" ca="1" si="4"/>
        <v>0</v>
      </c>
    </row>
    <row r="13" spans="1:14" ht="21.75" customHeight="1" x14ac:dyDescent="0.4">
      <c r="A13" s="42"/>
      <c r="B13" s="43"/>
      <c r="C13" s="43"/>
      <c r="D13" s="51"/>
      <c r="E13" s="45"/>
      <c r="F13" s="45"/>
      <c r="G13" s="52" t="s">
        <v>23</v>
      </c>
      <c r="H13" s="47" t="s">
        <v>20</v>
      </c>
      <c r="I13" s="48"/>
      <c r="J13" s="48"/>
      <c r="K13" s="49"/>
      <c r="L13" s="53">
        <f ca="1">IFERROR(__xludf.DUMMYFUNCTION("IMPORTRANGE(""https://docs.google.com/spreadsheets/d/1C3CXT74ZlgGe6_JY_1olB1XN4rF0dxEuIIF-xsYjHgg/edit?usp=sharing"",""พรบ!D26"")"),0)</f>
        <v>0</v>
      </c>
      <c r="M13" s="53">
        <v>0</v>
      </c>
      <c r="N13" s="53">
        <f t="shared" ca="1" si="4"/>
        <v>0</v>
      </c>
    </row>
    <row r="14" spans="1:14" ht="21.75" customHeight="1" x14ac:dyDescent="0.4">
      <c r="A14" s="42"/>
      <c r="B14" s="43"/>
      <c r="C14" s="43"/>
      <c r="D14" s="51"/>
      <c r="E14" s="45"/>
      <c r="F14" s="45"/>
      <c r="G14" s="52" t="s">
        <v>24</v>
      </c>
      <c r="H14" s="47" t="s">
        <v>20</v>
      </c>
      <c r="I14" s="48"/>
      <c r="J14" s="48"/>
      <c r="K14" s="49"/>
      <c r="L14" s="53">
        <f ca="1">IFERROR(__xludf.DUMMYFUNCTION("IMPORTRANGE(""https://docs.google.com/spreadsheets/d/1C3CXT74ZlgGe6_JY_1olB1XN4rF0dxEuIIF-xsYjHgg/edit?usp=sharing"",""พรบ!E26"")"),382000)</f>
        <v>382000</v>
      </c>
      <c r="M14" s="54">
        <v>0</v>
      </c>
      <c r="N14" s="53">
        <f t="shared" ca="1" si="4"/>
        <v>0</v>
      </c>
    </row>
    <row r="15" spans="1:14" ht="21.75" customHeight="1" x14ac:dyDescent="0.4">
      <c r="A15" s="55"/>
      <c r="B15" s="56"/>
      <c r="C15" s="43" t="s">
        <v>17</v>
      </c>
      <c r="D15" s="57" t="s">
        <v>25</v>
      </c>
      <c r="E15" s="58"/>
      <c r="F15" s="58"/>
      <c r="G15" s="59"/>
      <c r="H15" s="60"/>
      <c r="I15" s="48"/>
      <c r="J15" s="48"/>
      <c r="K15" s="49"/>
      <c r="L15" s="61"/>
      <c r="M15" s="61"/>
      <c r="N15" s="61"/>
    </row>
    <row r="16" spans="1:14" ht="21.75" customHeight="1" x14ac:dyDescent="0.4">
      <c r="A16" s="55"/>
      <c r="B16" s="56"/>
      <c r="C16" s="56"/>
      <c r="D16" s="62">
        <v>1</v>
      </c>
      <c r="E16" s="63" t="s">
        <v>26</v>
      </c>
      <c r="F16" s="64"/>
      <c r="G16" s="65"/>
      <c r="H16" s="66"/>
      <c r="I16" s="67"/>
      <c r="J16" s="68">
        <v>0</v>
      </c>
      <c r="K16" s="49"/>
      <c r="L16" s="61"/>
      <c r="M16" s="61"/>
      <c r="N16" s="61"/>
    </row>
    <row r="17" spans="1:14" ht="21.75" customHeight="1" x14ac:dyDescent="0.4">
      <c r="A17" s="55"/>
      <c r="B17" s="56"/>
      <c r="C17" s="56"/>
      <c r="D17" s="69">
        <v>2</v>
      </c>
      <c r="E17" s="70" t="s">
        <v>27</v>
      </c>
      <c r="F17" s="71"/>
      <c r="G17" s="72"/>
      <c r="H17" s="66"/>
      <c r="I17" s="67"/>
      <c r="J17" s="68">
        <v>1</v>
      </c>
      <c r="K17" s="49"/>
      <c r="L17" s="61" t="s">
        <v>21</v>
      </c>
      <c r="M17" s="61" t="s">
        <v>21</v>
      </c>
      <c r="N17" s="61"/>
    </row>
    <row r="18" spans="1:14" ht="21.75" customHeight="1" x14ac:dyDescent="0.4">
      <c r="A18" s="55"/>
      <c r="B18" s="56"/>
      <c r="C18" s="56"/>
      <c r="D18" s="73"/>
      <c r="E18" s="74" t="s">
        <v>28</v>
      </c>
      <c r="F18" s="75"/>
      <c r="G18" s="76"/>
      <c r="H18" s="66"/>
      <c r="I18" s="67"/>
      <c r="J18" s="68">
        <v>1</v>
      </c>
      <c r="K18" s="49"/>
      <c r="L18" s="61"/>
      <c r="M18" s="61"/>
      <c r="N18" s="61"/>
    </row>
    <row r="19" spans="1:14" ht="21.75" customHeight="1" x14ac:dyDescent="0.4">
      <c r="A19" s="55"/>
      <c r="B19" s="56"/>
      <c r="C19" s="56"/>
      <c r="D19" s="73"/>
      <c r="E19" s="74" t="s">
        <v>29</v>
      </c>
      <c r="F19" s="75"/>
      <c r="G19" s="76"/>
      <c r="H19" s="66"/>
      <c r="I19" s="67"/>
      <c r="J19" s="68">
        <v>1</v>
      </c>
      <c r="K19" s="49"/>
      <c r="L19" s="61"/>
      <c r="M19" s="61"/>
      <c r="N19" s="61"/>
    </row>
    <row r="20" spans="1:14" ht="21.75" customHeight="1" x14ac:dyDescent="0.4">
      <c r="A20" s="55"/>
      <c r="B20" s="56"/>
      <c r="C20" s="56"/>
      <c r="D20" s="73"/>
      <c r="E20" s="77"/>
      <c r="F20" s="74" t="s">
        <v>30</v>
      </c>
      <c r="G20" s="75"/>
      <c r="H20" s="78" t="s">
        <v>15</v>
      </c>
      <c r="I20" s="79">
        <f t="shared" ref="I20:J20" ca="1" si="5">+I22+I24+I26</f>
        <v>1</v>
      </c>
      <c r="J20" s="79">
        <f t="shared" si="5"/>
        <v>0</v>
      </c>
      <c r="K20" s="80">
        <f t="shared" ref="K20:K28" ca="1" si="6">IF(I20&gt;0,J20*100/I20,0)</f>
        <v>0</v>
      </c>
      <c r="L20" s="61"/>
      <c r="M20" s="61"/>
      <c r="N20" s="61"/>
    </row>
    <row r="21" spans="1:14" ht="21.75" customHeight="1" x14ac:dyDescent="0.4">
      <c r="A21" s="55"/>
      <c r="B21" s="56"/>
      <c r="C21" s="56"/>
      <c r="D21" s="73"/>
      <c r="E21" s="77"/>
      <c r="F21" s="75"/>
      <c r="G21" s="76"/>
      <c r="H21" s="78" t="s">
        <v>16</v>
      </c>
      <c r="I21" s="79">
        <f t="shared" ref="I21:J21" ca="1" si="7">+I23+I25+I27</f>
        <v>30</v>
      </c>
      <c r="J21" s="79">
        <f t="shared" si="7"/>
        <v>0</v>
      </c>
      <c r="K21" s="80">
        <f t="shared" ca="1" si="6"/>
        <v>0</v>
      </c>
      <c r="L21" s="61"/>
      <c r="M21" s="61"/>
      <c r="N21" s="61"/>
    </row>
    <row r="22" spans="1:14" ht="21.75" customHeight="1" x14ac:dyDescent="0.4">
      <c r="A22" s="55"/>
      <c r="B22" s="56"/>
      <c r="C22" s="56"/>
      <c r="D22" s="73"/>
      <c r="E22" s="77"/>
      <c r="F22" s="75"/>
      <c r="G22" s="75" t="s">
        <v>31</v>
      </c>
      <c r="H22" s="60" t="s">
        <v>15</v>
      </c>
      <c r="I22" s="48">
        <f ca="1">IFERROR(__xludf.DUMMYFUNCTION("IMPORTRANGE(""https://docs.google.com/spreadsheets/d/1C3CXT74ZlgGe6_JY_1olB1XN4rF0dxEuIIF-xsYjHgg/edit?usp=sharing"",""พรบ!H26"")"),1)</f>
        <v>1</v>
      </c>
      <c r="J22" s="68">
        <v>0</v>
      </c>
      <c r="K22" s="49">
        <f t="shared" ca="1" si="6"/>
        <v>0</v>
      </c>
      <c r="L22" s="61"/>
      <c r="M22" s="61"/>
      <c r="N22" s="61"/>
    </row>
    <row r="23" spans="1:14" ht="21.75" customHeight="1" x14ac:dyDescent="0.4">
      <c r="A23" s="55"/>
      <c r="B23" s="56"/>
      <c r="C23" s="56"/>
      <c r="D23" s="73"/>
      <c r="E23" s="77"/>
      <c r="F23" s="75"/>
      <c r="G23" s="76"/>
      <c r="H23" s="60" t="s">
        <v>16</v>
      </c>
      <c r="I23" s="48">
        <f ca="1">IFERROR(__xludf.DUMMYFUNCTION("IMPORTRANGE(""https://docs.google.com/spreadsheets/d/1C3CXT74ZlgGe6_JY_1olB1XN4rF0dxEuIIF-xsYjHgg/edit?usp=sharing"",""พรบ!I26"")"),30)</f>
        <v>30</v>
      </c>
      <c r="J23" s="68">
        <v>0</v>
      </c>
      <c r="K23" s="49">
        <f t="shared" ca="1" si="6"/>
        <v>0</v>
      </c>
      <c r="L23" s="61"/>
      <c r="M23" s="61"/>
      <c r="N23" s="61"/>
    </row>
    <row r="24" spans="1:14" ht="21.75" customHeight="1" x14ac:dyDescent="0.4">
      <c r="A24" s="55"/>
      <c r="B24" s="56"/>
      <c r="C24" s="56"/>
      <c r="D24" s="73"/>
      <c r="E24" s="77"/>
      <c r="F24" s="75"/>
      <c r="G24" s="75" t="s">
        <v>32</v>
      </c>
      <c r="H24" s="60" t="s">
        <v>15</v>
      </c>
      <c r="I24" s="48">
        <f ca="1">IFERROR(__xludf.DUMMYFUNCTION("IMPORTRANGE(""https://docs.google.com/spreadsheets/d/1C3CXT74ZlgGe6_JY_1olB1XN4rF0dxEuIIF-xsYjHgg/edit?usp=sharing"",""พรบ!J26"")"),0)</f>
        <v>0</v>
      </c>
      <c r="J24" s="67">
        <v>0</v>
      </c>
      <c r="K24" s="49">
        <f t="shared" ca="1" si="6"/>
        <v>0</v>
      </c>
      <c r="L24" s="61"/>
      <c r="M24" s="61"/>
      <c r="N24" s="61"/>
    </row>
    <row r="25" spans="1:14" ht="21.75" customHeight="1" x14ac:dyDescent="0.4">
      <c r="A25" s="55"/>
      <c r="B25" s="56"/>
      <c r="C25" s="56"/>
      <c r="D25" s="73"/>
      <c r="E25" s="77"/>
      <c r="F25" s="75"/>
      <c r="G25" s="76"/>
      <c r="H25" s="60" t="s">
        <v>16</v>
      </c>
      <c r="I25" s="48">
        <f ca="1">IFERROR(__xludf.DUMMYFUNCTION("IMPORTRANGE(""https://docs.google.com/spreadsheets/d/1C3CXT74ZlgGe6_JY_1olB1XN4rF0dxEuIIF-xsYjHgg/edit?usp=sharing"",""พรบ!K26"")"),0)</f>
        <v>0</v>
      </c>
      <c r="J25" s="67">
        <v>0</v>
      </c>
      <c r="K25" s="49">
        <f t="shared" ca="1" si="6"/>
        <v>0</v>
      </c>
      <c r="L25" s="61"/>
      <c r="M25" s="61"/>
      <c r="N25" s="61"/>
    </row>
    <row r="26" spans="1:14" ht="21.75" customHeight="1" x14ac:dyDescent="0.4">
      <c r="A26" s="55"/>
      <c r="B26" s="56"/>
      <c r="C26" s="56"/>
      <c r="D26" s="73"/>
      <c r="E26" s="77"/>
      <c r="F26" s="75"/>
      <c r="G26" s="75" t="s">
        <v>33</v>
      </c>
      <c r="H26" s="60" t="s">
        <v>15</v>
      </c>
      <c r="I26" s="48">
        <f ca="1">IFERROR(__xludf.DUMMYFUNCTION("IMPORTRANGE(""https://docs.google.com/spreadsheets/d/1C3CXT74ZlgGe6_JY_1olB1XN4rF0dxEuIIF-xsYjHgg/edit?usp=sharing"",""พรบ!L26"")"),0)</f>
        <v>0</v>
      </c>
      <c r="J26" s="67">
        <v>0</v>
      </c>
      <c r="K26" s="49">
        <f t="shared" ca="1" si="6"/>
        <v>0</v>
      </c>
      <c r="L26" s="61"/>
      <c r="M26" s="61"/>
      <c r="N26" s="61"/>
    </row>
    <row r="27" spans="1:14" ht="21.75" customHeight="1" x14ac:dyDescent="0.4">
      <c r="A27" s="55"/>
      <c r="B27" s="56"/>
      <c r="C27" s="56"/>
      <c r="D27" s="73"/>
      <c r="E27" s="77"/>
      <c r="F27" s="75"/>
      <c r="G27" s="76"/>
      <c r="H27" s="60" t="s">
        <v>16</v>
      </c>
      <c r="I27" s="48">
        <f ca="1">IFERROR(__xludf.DUMMYFUNCTION("IMPORTRANGE(""https://docs.google.com/spreadsheets/d/1C3CXT74ZlgGe6_JY_1olB1XN4rF0dxEuIIF-xsYjHgg/edit?usp=sharing"",""พรบ!M26"")"),0)</f>
        <v>0</v>
      </c>
      <c r="J27" s="67">
        <v>0</v>
      </c>
      <c r="K27" s="49">
        <f t="shared" ca="1" si="6"/>
        <v>0</v>
      </c>
      <c r="L27" s="61"/>
      <c r="M27" s="61"/>
      <c r="N27" s="61"/>
    </row>
    <row r="28" spans="1:14" ht="21.75" customHeight="1" x14ac:dyDescent="0.4">
      <c r="A28" s="55"/>
      <c r="B28" s="56"/>
      <c r="C28" s="56"/>
      <c r="D28" s="73"/>
      <c r="E28" s="77"/>
      <c r="F28" s="74" t="s">
        <v>34</v>
      </c>
      <c r="G28" s="75"/>
      <c r="H28" s="60" t="s">
        <v>16</v>
      </c>
      <c r="I28" s="48">
        <v>0</v>
      </c>
      <c r="J28" s="68">
        <v>0</v>
      </c>
      <c r="K28" s="49">
        <f t="shared" si="6"/>
        <v>0</v>
      </c>
      <c r="L28" s="61"/>
      <c r="M28" s="61"/>
      <c r="N28" s="61"/>
    </row>
    <row r="29" spans="1:14" ht="21.75" customHeight="1" x14ac:dyDescent="0.4">
      <c r="A29" s="55"/>
      <c r="B29" s="56"/>
      <c r="C29" s="56"/>
      <c r="D29" s="73"/>
      <c r="E29" s="74" t="s">
        <v>35</v>
      </c>
      <c r="F29" s="75"/>
      <c r="G29" s="76"/>
      <c r="H29" s="66"/>
      <c r="I29" s="67"/>
      <c r="J29" s="68">
        <v>0</v>
      </c>
      <c r="K29" s="49"/>
      <c r="L29" s="61"/>
      <c r="M29" s="61"/>
      <c r="N29" s="61"/>
    </row>
    <row r="30" spans="1:14" ht="21.75" customHeight="1" x14ac:dyDescent="0.4">
      <c r="A30" s="55"/>
      <c r="B30" s="56"/>
      <c r="C30" s="56"/>
      <c r="D30" s="81">
        <v>3</v>
      </c>
      <c r="E30" s="82" t="s">
        <v>36</v>
      </c>
      <c r="F30" s="83"/>
      <c r="G30" s="84"/>
      <c r="H30" s="66"/>
      <c r="I30" s="67"/>
      <c r="J30" s="85">
        <v>0</v>
      </c>
      <c r="K30" s="49"/>
      <c r="L30" s="61"/>
      <c r="M30" s="61"/>
      <c r="N30" s="61"/>
    </row>
    <row r="31" spans="1:14" ht="21.75" customHeight="1" x14ac:dyDescent="0.4">
      <c r="A31" s="86" t="s">
        <v>37</v>
      </c>
      <c r="B31" s="87"/>
      <c r="C31" s="88"/>
      <c r="D31" s="87"/>
      <c r="E31" s="89"/>
      <c r="F31" s="89"/>
      <c r="G31" s="90"/>
      <c r="H31" s="91"/>
      <c r="I31" s="92"/>
      <c r="J31" s="92"/>
      <c r="K31" s="93"/>
      <c r="L31" s="94"/>
      <c r="M31" s="94"/>
      <c r="N31" s="95"/>
    </row>
    <row r="32" spans="1:14" ht="21.75" customHeight="1" x14ac:dyDescent="0.4">
      <c r="A32" s="34"/>
      <c r="B32" s="35" t="s">
        <v>38</v>
      </c>
      <c r="C32" s="35"/>
      <c r="D32" s="36"/>
      <c r="E32" s="35"/>
      <c r="F32" s="35"/>
      <c r="G32" s="96"/>
      <c r="H32" s="37" t="s">
        <v>16</v>
      </c>
      <c r="I32" s="38">
        <f t="shared" ref="I32:J32" ca="1" si="8">+I44</f>
        <v>7</v>
      </c>
      <c r="J32" s="38">
        <f t="shared" si="8"/>
        <v>0</v>
      </c>
      <c r="K32" s="41">
        <f t="shared" ref="K32:K33" ca="1" si="9">IF(I32&gt;0,J32*100/I32,0)</f>
        <v>0</v>
      </c>
      <c r="L32" s="97">
        <f ca="1">L34+L35</f>
        <v>134160</v>
      </c>
      <c r="M32" s="97">
        <f>SUM(M34:M35)</f>
        <v>0</v>
      </c>
      <c r="N32" s="41">
        <f ca="1">IF(L32&gt;0,M32*100/L32,0)</f>
        <v>0</v>
      </c>
    </row>
    <row r="33" spans="1:14" ht="21.75" customHeight="1" x14ac:dyDescent="0.4">
      <c r="A33" s="34"/>
      <c r="B33" s="35"/>
      <c r="C33" s="35"/>
      <c r="D33" s="36" t="s">
        <v>39</v>
      </c>
      <c r="E33" s="35"/>
      <c r="F33" s="35"/>
      <c r="G33" s="96"/>
      <c r="H33" s="37" t="s">
        <v>40</v>
      </c>
      <c r="I33" s="38">
        <f ca="1">I48</f>
        <v>2</v>
      </c>
      <c r="J33" s="38">
        <f>+J48</f>
        <v>0</v>
      </c>
      <c r="K33" s="41">
        <f t="shared" ca="1" si="9"/>
        <v>0</v>
      </c>
      <c r="L33" s="97"/>
      <c r="M33" s="97"/>
      <c r="N33" s="41"/>
    </row>
    <row r="34" spans="1:14" ht="21.75" customHeight="1" x14ac:dyDescent="0.4">
      <c r="A34" s="42"/>
      <c r="B34" s="43"/>
      <c r="C34" s="43" t="s">
        <v>17</v>
      </c>
      <c r="D34" s="44" t="s">
        <v>18</v>
      </c>
      <c r="E34" s="45"/>
      <c r="F34" s="45"/>
      <c r="G34" s="46" t="s">
        <v>19</v>
      </c>
      <c r="H34" s="47" t="s">
        <v>20</v>
      </c>
      <c r="I34" s="48" t="s">
        <v>21</v>
      </c>
      <c r="J34" s="48"/>
      <c r="K34" s="49"/>
      <c r="L34" s="53">
        <v>0</v>
      </c>
      <c r="M34" s="50">
        <v>0</v>
      </c>
      <c r="N34" s="50">
        <f t="shared" ref="N34:N37" si="10">+IF(L34&gt;0,M34*100/L34,0)</f>
        <v>0</v>
      </c>
    </row>
    <row r="35" spans="1:14" ht="21.75" customHeight="1" x14ac:dyDescent="0.4">
      <c r="A35" s="42"/>
      <c r="B35" s="43"/>
      <c r="C35" s="43"/>
      <c r="D35" s="51"/>
      <c r="E35" s="45"/>
      <c r="F35" s="45" t="s">
        <v>21</v>
      </c>
      <c r="G35" s="46" t="s">
        <v>22</v>
      </c>
      <c r="H35" s="47" t="s">
        <v>20</v>
      </c>
      <c r="I35" s="48"/>
      <c r="J35" s="48"/>
      <c r="K35" s="49"/>
      <c r="L35" s="53">
        <f ca="1">IFERROR(__xludf.DUMMYFUNCTION("IMPORTRANGE(""https://docs.google.com/spreadsheets/d/1C3CXT74ZlgGe6_JY_1olB1XN4rF0dxEuIIF-xsYjHgg/edit?usp=sharing"",""พรบ!O26"")"),134160)</f>
        <v>134160</v>
      </c>
      <c r="M35" s="50">
        <f>SUM(M36:M37)</f>
        <v>0</v>
      </c>
      <c r="N35" s="50">
        <f t="shared" ca="1" si="10"/>
        <v>0</v>
      </c>
    </row>
    <row r="36" spans="1:14" ht="21.75" customHeight="1" x14ac:dyDescent="0.4">
      <c r="A36" s="42"/>
      <c r="B36" s="43"/>
      <c r="C36" s="43"/>
      <c r="D36" s="51"/>
      <c r="E36" s="45"/>
      <c r="F36" s="45"/>
      <c r="G36" s="52" t="s">
        <v>23</v>
      </c>
      <c r="H36" s="47" t="s">
        <v>20</v>
      </c>
      <c r="I36" s="48"/>
      <c r="J36" s="48"/>
      <c r="K36" s="49"/>
      <c r="L36" s="53">
        <f ca="1">IFERROR(__xludf.DUMMYFUNCTION("IMPORTRANGE(""https://docs.google.com/spreadsheets/d/1C3CXT74ZlgGe6_JY_1olB1XN4rF0dxEuIIF-xsYjHgg/edit?usp=sharing"",""พรบ!P26"")"),0)</f>
        <v>0</v>
      </c>
      <c r="M36" s="53">
        <v>0</v>
      </c>
      <c r="N36" s="53">
        <f t="shared" ca="1" si="10"/>
        <v>0</v>
      </c>
    </row>
    <row r="37" spans="1:14" ht="21.75" customHeight="1" x14ac:dyDescent="0.4">
      <c r="A37" s="42"/>
      <c r="B37" s="43"/>
      <c r="C37" s="43"/>
      <c r="D37" s="51"/>
      <c r="E37" s="45"/>
      <c r="F37" s="45"/>
      <c r="G37" s="52" t="s">
        <v>24</v>
      </c>
      <c r="H37" s="47" t="s">
        <v>20</v>
      </c>
      <c r="I37" s="48"/>
      <c r="J37" s="48"/>
      <c r="K37" s="49"/>
      <c r="L37" s="53">
        <f ca="1">IFERROR(__xludf.DUMMYFUNCTION("IMPORTRANGE(""https://docs.google.com/spreadsheets/d/1C3CXT74ZlgGe6_JY_1olB1XN4rF0dxEuIIF-xsYjHgg/edit?usp=sharing"",""พรบ!Q26"")"),134160)</f>
        <v>134160</v>
      </c>
      <c r="M37" s="54">
        <v>0</v>
      </c>
      <c r="N37" s="53">
        <f t="shared" ca="1" si="10"/>
        <v>0</v>
      </c>
    </row>
    <row r="38" spans="1:14" ht="21.75" customHeight="1" x14ac:dyDescent="0.4">
      <c r="A38" s="55"/>
      <c r="B38" s="56"/>
      <c r="C38" s="43" t="s">
        <v>17</v>
      </c>
      <c r="D38" s="57" t="s">
        <v>25</v>
      </c>
      <c r="E38" s="58"/>
      <c r="F38" s="58"/>
      <c r="G38" s="59"/>
      <c r="H38" s="60"/>
      <c r="I38" s="48"/>
      <c r="J38" s="48"/>
      <c r="K38" s="49"/>
      <c r="L38" s="61"/>
      <c r="M38" s="61"/>
      <c r="N38" s="61"/>
    </row>
    <row r="39" spans="1:14" ht="21.75" customHeight="1" x14ac:dyDescent="0.4">
      <c r="A39" s="55"/>
      <c r="B39" s="56"/>
      <c r="C39" s="56"/>
      <c r="D39" s="62">
        <v>1</v>
      </c>
      <c r="E39" s="63" t="s">
        <v>26</v>
      </c>
      <c r="F39" s="64"/>
      <c r="G39" s="65"/>
      <c r="H39" s="66"/>
      <c r="I39" s="67"/>
      <c r="J39" s="68">
        <v>0</v>
      </c>
      <c r="K39" s="49"/>
      <c r="L39" s="61"/>
      <c r="M39" s="61"/>
      <c r="N39" s="61"/>
    </row>
    <row r="40" spans="1:14" ht="21.75" customHeight="1" x14ac:dyDescent="0.4">
      <c r="A40" s="55"/>
      <c r="B40" s="56"/>
      <c r="C40" s="56"/>
      <c r="D40" s="69">
        <v>2</v>
      </c>
      <c r="E40" s="70" t="s">
        <v>27</v>
      </c>
      <c r="F40" s="71"/>
      <c r="G40" s="72"/>
      <c r="H40" s="66"/>
      <c r="I40" s="67"/>
      <c r="J40" s="68">
        <v>1</v>
      </c>
      <c r="K40" s="49"/>
      <c r="L40" s="61" t="s">
        <v>21</v>
      </c>
      <c r="M40" s="61" t="s">
        <v>21</v>
      </c>
      <c r="N40" s="61"/>
    </row>
    <row r="41" spans="1:14" ht="21.75" customHeight="1" x14ac:dyDescent="0.4">
      <c r="A41" s="55"/>
      <c r="B41" s="56"/>
      <c r="C41" s="56"/>
      <c r="D41" s="73"/>
      <c r="E41" s="74" t="s">
        <v>28</v>
      </c>
      <c r="F41" s="75"/>
      <c r="G41" s="76"/>
      <c r="H41" s="66"/>
      <c r="I41" s="67"/>
      <c r="J41" s="68">
        <v>1</v>
      </c>
      <c r="K41" s="49"/>
      <c r="L41" s="61"/>
      <c r="M41" s="61"/>
      <c r="N41" s="61"/>
    </row>
    <row r="42" spans="1:14" ht="21.75" customHeight="1" x14ac:dyDescent="0.4">
      <c r="A42" s="55"/>
      <c r="B42" s="56"/>
      <c r="C42" s="56"/>
      <c r="D42" s="73"/>
      <c r="E42" s="74" t="s">
        <v>29</v>
      </c>
      <c r="F42" s="75"/>
      <c r="G42" s="76"/>
      <c r="H42" s="66"/>
      <c r="I42" s="67"/>
      <c r="J42" s="68">
        <v>1</v>
      </c>
      <c r="K42" s="49"/>
      <c r="L42" s="61"/>
      <c r="M42" s="61"/>
      <c r="N42" s="61"/>
    </row>
    <row r="43" spans="1:14" ht="21.75" customHeight="1" x14ac:dyDescent="0.4">
      <c r="A43" s="55"/>
      <c r="B43" s="56"/>
      <c r="C43" s="56"/>
      <c r="D43" s="73"/>
      <c r="E43" s="75"/>
      <c r="F43" s="75" t="s">
        <v>41</v>
      </c>
      <c r="G43" s="75"/>
      <c r="H43" s="60" t="s">
        <v>42</v>
      </c>
      <c r="I43" s="48">
        <f ca="1">IFERROR(__xludf.DUMMYFUNCTION("IMPORTRANGE(""https://docs.google.com/spreadsheets/d/1C3CXT74ZlgGe6_JY_1olB1XN4rF0dxEuIIF-xsYjHgg/edit?usp=sharing"",""พรบ!R26"")"),1)</f>
        <v>1</v>
      </c>
      <c r="J43" s="68">
        <v>1</v>
      </c>
      <c r="K43" s="49">
        <f t="shared" ref="K43:K48" ca="1" si="11">IF(I43&gt;0,J43*100/I43,0)</f>
        <v>100</v>
      </c>
      <c r="L43" s="61"/>
      <c r="M43" s="61"/>
      <c r="N43" s="61"/>
    </row>
    <row r="44" spans="1:14" ht="21.75" customHeight="1" x14ac:dyDescent="0.4">
      <c r="A44" s="55"/>
      <c r="B44" s="56"/>
      <c r="C44" s="56"/>
      <c r="D44" s="73"/>
      <c r="E44" s="77"/>
      <c r="F44" s="74" t="s">
        <v>43</v>
      </c>
      <c r="G44" s="75"/>
      <c r="H44" s="60" t="s">
        <v>16</v>
      </c>
      <c r="I44" s="48">
        <f ca="1">IFERROR(__xludf.DUMMYFUNCTION("IMPORTRANGE(""https://docs.google.com/spreadsheets/d/1C3CXT74ZlgGe6_JY_1olB1XN4rF0dxEuIIF-xsYjHgg/edit?usp=sharing"",""พรบ!S26"")"),7)</f>
        <v>7</v>
      </c>
      <c r="J44" s="68">
        <v>0</v>
      </c>
      <c r="K44" s="49">
        <f t="shared" ca="1" si="11"/>
        <v>0</v>
      </c>
      <c r="L44" s="61"/>
      <c r="M44" s="61"/>
      <c r="N44" s="61"/>
    </row>
    <row r="45" spans="1:14" ht="21.75" customHeight="1" x14ac:dyDescent="0.4">
      <c r="A45" s="55"/>
      <c r="B45" s="56"/>
      <c r="C45" s="56"/>
      <c r="D45" s="73"/>
      <c r="E45" s="77"/>
      <c r="F45" s="75"/>
      <c r="G45" s="98" t="s">
        <v>44</v>
      </c>
      <c r="H45" s="60" t="s">
        <v>16</v>
      </c>
      <c r="I45" s="48">
        <f ca="1">IFERROR(__xludf.DUMMYFUNCTION("IMPORTRANGE(""https://docs.google.com/spreadsheets/d/1C3CXT74ZlgGe6_JY_1olB1XN4rF0dxEuIIF-xsYjHgg/edit?usp=sharing"",""พรบ!T26"")"),7)</f>
        <v>7</v>
      </c>
      <c r="J45" s="68">
        <v>0</v>
      </c>
      <c r="K45" s="49">
        <f t="shared" ca="1" si="11"/>
        <v>0</v>
      </c>
      <c r="L45" s="61"/>
      <c r="M45" s="61"/>
      <c r="N45" s="61"/>
    </row>
    <row r="46" spans="1:14" ht="21.75" customHeight="1" x14ac:dyDescent="0.4">
      <c r="A46" s="55"/>
      <c r="B46" s="56"/>
      <c r="C46" s="56"/>
      <c r="D46" s="73"/>
      <c r="E46" s="77"/>
      <c r="F46" s="75"/>
      <c r="G46" s="98" t="s">
        <v>45</v>
      </c>
      <c r="H46" s="60" t="s">
        <v>16</v>
      </c>
      <c r="I46" s="48">
        <f ca="1">IFERROR(__xludf.DUMMYFUNCTION("IMPORTRANGE(""https://docs.google.com/spreadsheets/d/1C3CXT74ZlgGe6_JY_1olB1XN4rF0dxEuIIF-xsYjHgg/edit?usp=sharing"",""พรบ!U26"")"),7)</f>
        <v>7</v>
      </c>
      <c r="J46" s="68">
        <v>0</v>
      </c>
      <c r="K46" s="49">
        <f t="shared" ca="1" si="11"/>
        <v>0</v>
      </c>
      <c r="L46" s="61"/>
      <c r="M46" s="61"/>
      <c r="N46" s="61"/>
    </row>
    <row r="47" spans="1:14" ht="21.75" customHeight="1" x14ac:dyDescent="0.4">
      <c r="A47" s="55"/>
      <c r="B47" s="56"/>
      <c r="C47" s="56"/>
      <c r="D47" s="73"/>
      <c r="E47" s="77"/>
      <c r="F47" s="75"/>
      <c r="G47" s="99" t="s">
        <v>46</v>
      </c>
      <c r="H47" s="60" t="s">
        <v>16</v>
      </c>
      <c r="I47" s="48">
        <f ca="1">IFERROR(__xludf.DUMMYFUNCTION("IMPORTRANGE(""https://docs.google.com/spreadsheets/d/1C3CXT74ZlgGe6_JY_1olB1XN4rF0dxEuIIF-xsYjHgg/edit?usp=sharing"",""พรบ!V26"")"),7)</f>
        <v>7</v>
      </c>
      <c r="J47" s="68">
        <v>0</v>
      </c>
      <c r="K47" s="49">
        <f t="shared" ca="1" si="11"/>
        <v>0</v>
      </c>
      <c r="L47" s="61"/>
      <c r="M47" s="61"/>
      <c r="N47" s="61"/>
    </row>
    <row r="48" spans="1:14" ht="21.75" customHeight="1" x14ac:dyDescent="0.4">
      <c r="A48" s="55"/>
      <c r="B48" s="56"/>
      <c r="C48" s="56"/>
      <c r="D48" s="73"/>
      <c r="E48" s="77"/>
      <c r="F48" s="75" t="s">
        <v>47</v>
      </c>
      <c r="G48" s="75"/>
      <c r="H48" s="60" t="s">
        <v>40</v>
      </c>
      <c r="I48" s="48">
        <f ca="1">IFERROR(__xludf.DUMMYFUNCTION("IMPORTRANGE(""https://docs.google.com/spreadsheets/d/1C3CXT74ZlgGe6_JY_1olB1XN4rF0dxEuIIF-xsYjHgg/edit?usp=sharing"",""พรบ!W26"")"),2)</f>
        <v>2</v>
      </c>
      <c r="J48" s="68">
        <v>0</v>
      </c>
      <c r="K48" s="49">
        <f t="shared" ca="1" si="11"/>
        <v>0</v>
      </c>
      <c r="L48" s="61"/>
      <c r="M48" s="61"/>
      <c r="N48" s="61"/>
    </row>
    <row r="49" spans="1:14" ht="21.75" customHeight="1" x14ac:dyDescent="0.4">
      <c r="A49" s="55"/>
      <c r="B49" s="56"/>
      <c r="C49" s="56"/>
      <c r="D49" s="73"/>
      <c r="E49" s="74" t="s">
        <v>35</v>
      </c>
      <c r="F49" s="75"/>
      <c r="G49" s="76"/>
      <c r="H49" s="66"/>
      <c r="I49" s="67"/>
      <c r="J49" s="68">
        <v>0</v>
      </c>
      <c r="K49" s="49"/>
      <c r="L49" s="61"/>
      <c r="M49" s="61"/>
      <c r="N49" s="61"/>
    </row>
    <row r="50" spans="1:14" ht="21.75" customHeight="1" x14ac:dyDescent="0.4">
      <c r="A50" s="55"/>
      <c r="B50" s="56"/>
      <c r="C50" s="56"/>
      <c r="D50" s="81">
        <v>3</v>
      </c>
      <c r="E50" s="82" t="s">
        <v>36</v>
      </c>
      <c r="F50" s="83"/>
      <c r="G50" s="84"/>
      <c r="H50" s="66"/>
      <c r="I50" s="67"/>
      <c r="J50" s="85">
        <v>0</v>
      </c>
      <c r="K50" s="49"/>
      <c r="L50" s="61"/>
      <c r="M50" s="61"/>
      <c r="N50" s="61"/>
    </row>
    <row r="51" spans="1:14" ht="21.75" customHeight="1" x14ac:dyDescent="0.4">
      <c r="A51" s="86" t="s">
        <v>48</v>
      </c>
      <c r="B51" s="100"/>
      <c r="C51" s="101"/>
      <c r="D51" s="100"/>
      <c r="E51" s="102"/>
      <c r="F51" s="102"/>
      <c r="G51" s="103"/>
      <c r="H51" s="91"/>
      <c r="I51" s="92"/>
      <c r="J51" s="92"/>
      <c r="K51" s="93"/>
      <c r="L51" s="94"/>
      <c r="M51" s="94"/>
      <c r="N51" s="95"/>
    </row>
    <row r="52" spans="1:14" ht="21.75" customHeight="1" x14ac:dyDescent="0.4">
      <c r="A52" s="34"/>
      <c r="B52" s="35" t="s">
        <v>49</v>
      </c>
      <c r="C52" s="104"/>
      <c r="D52" s="36"/>
      <c r="E52" s="35"/>
      <c r="F52" s="35"/>
      <c r="G52" s="96"/>
      <c r="H52" s="37" t="s">
        <v>16</v>
      </c>
      <c r="I52" s="38">
        <f ca="1">I62</f>
        <v>20</v>
      </c>
      <c r="J52" s="38">
        <f>+J62</f>
        <v>0</v>
      </c>
      <c r="K52" s="41">
        <f ca="1">IF(I52&gt;0,J52*100/I52,0)</f>
        <v>0</v>
      </c>
      <c r="L52" s="40">
        <f ca="1">L53+L54</f>
        <v>82440</v>
      </c>
      <c r="M52" s="40">
        <f>SUM(M53:M54)</f>
        <v>0</v>
      </c>
      <c r="N52" s="41">
        <f ca="1">IF(L52&gt;0,M52*100/L52,0)</f>
        <v>0</v>
      </c>
    </row>
    <row r="53" spans="1:14" ht="21.75" customHeight="1" x14ac:dyDescent="0.4">
      <c r="A53" s="42"/>
      <c r="B53" s="43"/>
      <c r="C53" s="43" t="s">
        <v>17</v>
      </c>
      <c r="D53" s="44" t="s">
        <v>18</v>
      </c>
      <c r="E53" s="45"/>
      <c r="F53" s="45"/>
      <c r="G53" s="46" t="s">
        <v>19</v>
      </c>
      <c r="H53" s="47" t="s">
        <v>20</v>
      </c>
      <c r="I53" s="48" t="s">
        <v>21</v>
      </c>
      <c r="J53" s="48"/>
      <c r="K53" s="49"/>
      <c r="L53" s="50">
        <v>0</v>
      </c>
      <c r="M53" s="50">
        <v>0</v>
      </c>
      <c r="N53" s="50">
        <f t="shared" ref="N53:N56" si="12">+IF(L53&gt;0,M53*100/L53,0)</f>
        <v>0</v>
      </c>
    </row>
    <row r="54" spans="1:14" ht="21.75" customHeight="1" x14ac:dyDescent="0.4">
      <c r="A54" s="42"/>
      <c r="B54" s="43"/>
      <c r="C54" s="43"/>
      <c r="D54" s="51"/>
      <c r="E54" s="45"/>
      <c r="F54" s="45" t="s">
        <v>21</v>
      </c>
      <c r="G54" s="46" t="s">
        <v>22</v>
      </c>
      <c r="H54" s="47" t="s">
        <v>20</v>
      </c>
      <c r="I54" s="48"/>
      <c r="J54" s="48"/>
      <c r="K54" s="49"/>
      <c r="L54" s="50">
        <f t="shared" ref="L54:M54" ca="1" si="13">SUM(L55:L56)</f>
        <v>82440</v>
      </c>
      <c r="M54" s="50">
        <f t="shared" si="13"/>
        <v>0</v>
      </c>
      <c r="N54" s="50">
        <f t="shared" ca="1" si="12"/>
        <v>0</v>
      </c>
    </row>
    <row r="55" spans="1:14" ht="21.75" customHeight="1" x14ac:dyDescent="0.4">
      <c r="A55" s="42"/>
      <c r="B55" s="43"/>
      <c r="C55" s="43"/>
      <c r="D55" s="51"/>
      <c r="E55" s="45"/>
      <c r="F55" s="45"/>
      <c r="G55" s="52" t="s">
        <v>23</v>
      </c>
      <c r="H55" s="47" t="s">
        <v>20</v>
      </c>
      <c r="I55" s="48"/>
      <c r="J55" s="48"/>
      <c r="K55" s="49"/>
      <c r="L55" s="53">
        <f ca="1">IFERROR(__xludf.DUMMYFUNCTION("IMPORTRANGE(""https://docs.google.com/spreadsheets/d/1C3CXT74ZlgGe6_JY_1olB1XN4rF0dxEuIIF-xsYjHgg/edit?usp=sharing"",""พรบ!Y26"")"),0)</f>
        <v>0</v>
      </c>
      <c r="M55" s="53">
        <v>0</v>
      </c>
      <c r="N55" s="53">
        <f t="shared" ca="1" si="12"/>
        <v>0</v>
      </c>
    </row>
    <row r="56" spans="1:14" ht="21.75" customHeight="1" x14ac:dyDescent="0.4">
      <c r="A56" s="42"/>
      <c r="B56" s="43"/>
      <c r="C56" s="43"/>
      <c r="D56" s="51"/>
      <c r="E56" s="45"/>
      <c r="F56" s="45"/>
      <c r="G56" s="52" t="s">
        <v>24</v>
      </c>
      <c r="H56" s="47" t="s">
        <v>20</v>
      </c>
      <c r="I56" s="48"/>
      <c r="J56" s="48"/>
      <c r="K56" s="49"/>
      <c r="L56" s="53">
        <f ca="1">IFERROR(__xludf.DUMMYFUNCTION("IMPORTRANGE(""https://docs.google.com/spreadsheets/d/1C3CXT74ZlgGe6_JY_1olB1XN4rF0dxEuIIF-xsYjHgg/edit?usp=sharing"",""พรบ!Z26"")"),82440)</f>
        <v>82440</v>
      </c>
      <c r="M56" s="54">
        <v>0</v>
      </c>
      <c r="N56" s="53">
        <f t="shared" ca="1" si="12"/>
        <v>0</v>
      </c>
    </row>
    <row r="57" spans="1:14" ht="21.75" customHeight="1" x14ac:dyDescent="0.4">
      <c r="A57" s="55"/>
      <c r="B57" s="56"/>
      <c r="C57" s="43" t="s">
        <v>17</v>
      </c>
      <c r="D57" s="57" t="s">
        <v>250</v>
      </c>
      <c r="E57" s="58"/>
      <c r="F57" s="58"/>
      <c r="G57" s="59"/>
      <c r="H57" s="60"/>
      <c r="I57" s="48"/>
      <c r="J57" s="48"/>
      <c r="K57" s="49"/>
      <c r="L57" s="61"/>
      <c r="M57" s="61"/>
      <c r="N57" s="61"/>
    </row>
    <row r="58" spans="1:14" ht="21.75" customHeight="1" x14ac:dyDescent="0.4">
      <c r="A58" s="55"/>
      <c r="B58" s="56"/>
      <c r="C58" s="56"/>
      <c r="D58" s="62">
        <v>1</v>
      </c>
      <c r="E58" s="63" t="s">
        <v>26</v>
      </c>
      <c r="F58" s="64"/>
      <c r="G58" s="65"/>
      <c r="H58" s="66"/>
      <c r="I58" s="67"/>
      <c r="J58" s="68">
        <v>0</v>
      </c>
      <c r="K58" s="49"/>
      <c r="L58" s="61"/>
      <c r="M58" s="61"/>
      <c r="N58" s="61"/>
    </row>
    <row r="59" spans="1:14" ht="21.75" customHeight="1" x14ac:dyDescent="0.4">
      <c r="A59" s="55"/>
      <c r="B59" s="56"/>
      <c r="C59" s="56"/>
      <c r="D59" s="69">
        <v>2</v>
      </c>
      <c r="E59" s="70" t="s">
        <v>27</v>
      </c>
      <c r="F59" s="71"/>
      <c r="G59" s="72"/>
      <c r="H59" s="66"/>
      <c r="I59" s="67"/>
      <c r="J59" s="68">
        <v>1</v>
      </c>
      <c r="K59" s="49"/>
      <c r="L59" s="61" t="s">
        <v>21</v>
      </c>
      <c r="M59" s="61" t="s">
        <v>21</v>
      </c>
      <c r="N59" s="61"/>
    </row>
    <row r="60" spans="1:14" ht="21.75" customHeight="1" x14ac:dyDescent="0.4">
      <c r="A60" s="55"/>
      <c r="B60" s="56"/>
      <c r="C60" s="56"/>
      <c r="D60" s="73"/>
      <c r="E60" s="74" t="s">
        <v>28</v>
      </c>
      <c r="F60" s="75"/>
      <c r="G60" s="76"/>
      <c r="H60" s="66"/>
      <c r="I60" s="67"/>
      <c r="J60" s="68">
        <v>1</v>
      </c>
      <c r="K60" s="49"/>
      <c r="L60" s="61"/>
      <c r="M60" s="61"/>
      <c r="N60" s="61"/>
    </row>
    <row r="61" spans="1:14" ht="21.75" customHeight="1" x14ac:dyDescent="0.4">
      <c r="A61" s="55"/>
      <c r="B61" s="56"/>
      <c r="C61" s="56"/>
      <c r="D61" s="73"/>
      <c r="E61" s="74" t="s">
        <v>29</v>
      </c>
      <c r="F61" s="75"/>
      <c r="G61" s="76"/>
      <c r="H61" s="66"/>
      <c r="I61" s="67"/>
      <c r="J61" s="68">
        <v>1</v>
      </c>
      <c r="K61" s="49"/>
      <c r="L61" s="61"/>
      <c r="M61" s="61"/>
      <c r="N61" s="61"/>
    </row>
    <row r="62" spans="1:14" ht="21.75" customHeight="1" x14ac:dyDescent="0.4">
      <c r="A62" s="55"/>
      <c r="B62" s="56"/>
      <c r="C62" s="56"/>
      <c r="D62" s="73"/>
      <c r="E62" s="77"/>
      <c r="F62" s="74" t="s">
        <v>50</v>
      </c>
      <c r="G62" s="76"/>
      <c r="H62" s="60" t="s">
        <v>16</v>
      </c>
      <c r="I62" s="67">
        <f ca="1">IFERROR(__xludf.DUMMYFUNCTION("IMPORTRANGE(""https://docs.google.com/spreadsheets/d/1C3CXT74ZlgGe6_JY_1olB1XN4rF0dxEuIIF-xsYjHgg/edit?usp=sharing"",""พรบ!AA26"")"),20)</f>
        <v>20</v>
      </c>
      <c r="J62" s="68">
        <v>0</v>
      </c>
      <c r="K62" s="49">
        <f t="shared" ref="K62:K63" ca="1" si="14">IF(I62&gt;0,J62*100/I62,0)</f>
        <v>0</v>
      </c>
      <c r="L62" s="61"/>
      <c r="M62" s="61"/>
      <c r="N62" s="61"/>
    </row>
    <row r="63" spans="1:14" ht="21.75" customHeight="1" x14ac:dyDescent="0.4">
      <c r="A63" s="55"/>
      <c r="B63" s="56"/>
      <c r="C63" s="56"/>
      <c r="D63" s="73"/>
      <c r="E63" s="77"/>
      <c r="F63" s="74" t="s">
        <v>51</v>
      </c>
      <c r="G63" s="76"/>
      <c r="H63" s="60" t="s">
        <v>16</v>
      </c>
      <c r="I63" s="67">
        <f ca="1">I62</f>
        <v>20</v>
      </c>
      <c r="J63" s="68">
        <v>0</v>
      </c>
      <c r="K63" s="49">
        <f t="shared" ca="1" si="14"/>
        <v>0</v>
      </c>
      <c r="L63" s="61"/>
      <c r="M63" s="61"/>
      <c r="N63" s="61"/>
    </row>
    <row r="64" spans="1:14" ht="21.75" customHeight="1" x14ac:dyDescent="0.4">
      <c r="A64" s="55"/>
      <c r="B64" s="56"/>
      <c r="C64" s="56"/>
      <c r="D64" s="73"/>
      <c r="E64" s="74" t="s">
        <v>35</v>
      </c>
      <c r="F64" s="75"/>
      <c r="G64" s="76"/>
      <c r="H64" s="66"/>
      <c r="I64" s="67"/>
      <c r="J64" s="68">
        <v>0</v>
      </c>
      <c r="K64" s="49"/>
      <c r="L64" s="61"/>
      <c r="M64" s="61"/>
      <c r="N64" s="61"/>
    </row>
    <row r="65" spans="1:14" ht="21.75" customHeight="1" x14ac:dyDescent="0.4">
      <c r="A65" s="105"/>
      <c r="B65" s="106"/>
      <c r="C65" s="106"/>
      <c r="D65" s="107">
        <v>3</v>
      </c>
      <c r="E65" s="108" t="s">
        <v>36</v>
      </c>
      <c r="F65" s="109"/>
      <c r="G65" s="110"/>
      <c r="H65" s="111"/>
      <c r="I65" s="112"/>
      <c r="J65" s="113">
        <v>0</v>
      </c>
      <c r="K65" s="114"/>
      <c r="L65" s="115"/>
      <c r="M65" s="115"/>
      <c r="N65" s="115"/>
    </row>
    <row r="66" spans="1:14" ht="21.75" customHeight="1" x14ac:dyDescent="0.4">
      <c r="A66" s="116" t="s">
        <v>52</v>
      </c>
      <c r="B66" s="117"/>
      <c r="C66" s="117"/>
      <c r="D66" s="117"/>
      <c r="E66" s="118"/>
      <c r="F66" s="118"/>
      <c r="G66" s="119"/>
      <c r="H66" s="120"/>
      <c r="I66" s="121"/>
      <c r="J66" s="121"/>
      <c r="K66" s="122"/>
      <c r="L66" s="123"/>
      <c r="M66" s="123"/>
      <c r="N66" s="123"/>
    </row>
    <row r="67" spans="1:14" ht="21.75" customHeight="1" x14ac:dyDescent="0.4">
      <c r="A67" s="124" t="s">
        <v>53</v>
      </c>
      <c r="B67" s="125"/>
      <c r="C67" s="125"/>
      <c r="D67" s="126"/>
      <c r="E67" s="126"/>
      <c r="F67" s="126"/>
      <c r="G67" s="127"/>
      <c r="H67" s="128"/>
      <c r="I67" s="129"/>
      <c r="J67" s="129"/>
      <c r="K67" s="130"/>
      <c r="L67" s="130"/>
      <c r="M67" s="130"/>
      <c r="N67" s="131"/>
    </row>
    <row r="68" spans="1:14" ht="21.75" customHeight="1" x14ac:dyDescent="0.4">
      <c r="A68" s="132"/>
      <c r="B68" s="133" t="s">
        <v>54</v>
      </c>
      <c r="C68" s="134"/>
      <c r="D68" s="133"/>
      <c r="E68" s="133"/>
      <c r="F68" s="133"/>
      <c r="G68" s="135"/>
      <c r="H68" s="136" t="s">
        <v>16</v>
      </c>
      <c r="I68" s="137">
        <f t="shared" ref="I68:J68" ca="1" si="15">I126+I129</f>
        <v>55</v>
      </c>
      <c r="J68" s="137">
        <f t="shared" si="15"/>
        <v>0</v>
      </c>
      <c r="K68" s="138">
        <f ca="1">IF(I68&gt;0,J68*100/I68,0)</f>
        <v>0</v>
      </c>
      <c r="L68" s="139">
        <f t="shared" ref="L68:M68" ca="1" si="16">SUM(L70:L71)</f>
        <v>828600</v>
      </c>
      <c r="M68" s="139">
        <f t="shared" si="16"/>
        <v>74149</v>
      </c>
      <c r="N68" s="138">
        <f ca="1">IF(L68&gt;0,M68*100/L68,0)</f>
        <v>8.9487086652184402</v>
      </c>
    </row>
    <row r="69" spans="1:14" ht="21.75" customHeight="1" x14ac:dyDescent="0.4">
      <c r="A69" s="132"/>
      <c r="B69" s="133" t="s">
        <v>55</v>
      </c>
      <c r="C69" s="134"/>
      <c r="D69" s="133"/>
      <c r="E69" s="133"/>
      <c r="F69" s="133"/>
      <c r="G69" s="135"/>
      <c r="H69" s="136"/>
      <c r="I69" s="137"/>
      <c r="J69" s="137"/>
      <c r="K69" s="138"/>
      <c r="L69" s="139"/>
      <c r="M69" s="139"/>
      <c r="N69" s="138"/>
    </row>
    <row r="70" spans="1:14" ht="21.75" customHeight="1" x14ac:dyDescent="0.4">
      <c r="A70" s="42"/>
      <c r="B70" s="43"/>
      <c r="C70" s="43" t="s">
        <v>17</v>
      </c>
      <c r="D70" s="44" t="s">
        <v>18</v>
      </c>
      <c r="E70" s="45"/>
      <c r="F70" s="45"/>
      <c r="G70" s="46" t="s">
        <v>19</v>
      </c>
      <c r="H70" s="47" t="s">
        <v>20</v>
      </c>
      <c r="I70" s="48" t="s">
        <v>21</v>
      </c>
      <c r="J70" s="48"/>
      <c r="K70" s="49"/>
      <c r="L70" s="50">
        <v>0</v>
      </c>
      <c r="M70" s="50">
        <v>0</v>
      </c>
      <c r="N70" s="50">
        <f t="shared" ref="N70:N77" si="17">+IF(L70&gt;0,M70*100/L70,0)</f>
        <v>0</v>
      </c>
    </row>
    <row r="71" spans="1:14" ht="21.75" customHeight="1" x14ac:dyDescent="0.4">
      <c r="A71" s="42"/>
      <c r="B71" s="43"/>
      <c r="C71" s="43"/>
      <c r="D71" s="51"/>
      <c r="E71" s="45"/>
      <c r="F71" s="45" t="s">
        <v>21</v>
      </c>
      <c r="G71" s="46" t="s">
        <v>22</v>
      </c>
      <c r="H71" s="47" t="s">
        <v>20</v>
      </c>
      <c r="I71" s="48"/>
      <c r="J71" s="48"/>
      <c r="K71" s="49"/>
      <c r="L71" s="50">
        <f ca="1">L72+L73</f>
        <v>828600</v>
      </c>
      <c r="M71" s="140">
        <f>SUM(M72:M73)</f>
        <v>74149</v>
      </c>
      <c r="N71" s="50">
        <f t="shared" ca="1" si="17"/>
        <v>8.9487086652184402</v>
      </c>
    </row>
    <row r="72" spans="1:14" ht="21.75" customHeight="1" x14ac:dyDescent="0.4">
      <c r="A72" s="42"/>
      <c r="B72" s="43"/>
      <c r="C72" s="43"/>
      <c r="D72" s="51"/>
      <c r="E72" s="45"/>
      <c r="F72" s="45"/>
      <c r="G72" s="52" t="s">
        <v>23</v>
      </c>
      <c r="H72" s="47" t="s">
        <v>20</v>
      </c>
      <c r="I72" s="48"/>
      <c r="J72" s="48"/>
      <c r="K72" s="49"/>
      <c r="L72" s="53">
        <f ca="1">IFERROR(__xludf.DUMMYFUNCTION("IMPORTRANGE(""https://docs.google.com/spreadsheets/d/1C3CXT74ZlgGe6_JY_1olB1XN4rF0dxEuIIF-xsYjHgg/edit?usp=sharing"",""พรบ!AD26"")"),462100)</f>
        <v>462100</v>
      </c>
      <c r="M72" s="54">
        <v>50583</v>
      </c>
      <c r="N72" s="53">
        <f t="shared" ca="1" si="17"/>
        <v>10.94633196277862</v>
      </c>
    </row>
    <row r="73" spans="1:14" ht="21.75" customHeight="1" x14ac:dyDescent="0.4">
      <c r="A73" s="42"/>
      <c r="B73" s="43"/>
      <c r="C73" s="43"/>
      <c r="D73" s="51"/>
      <c r="E73" s="45"/>
      <c r="F73" s="45"/>
      <c r="G73" s="52" t="s">
        <v>24</v>
      </c>
      <c r="H73" s="47" t="s">
        <v>20</v>
      </c>
      <c r="I73" s="48"/>
      <c r="J73" s="48"/>
      <c r="K73" s="49"/>
      <c r="L73" s="53">
        <f t="shared" ref="L73:M73" ca="1" si="18">L77+L92+L104+L117+L132</f>
        <v>366500</v>
      </c>
      <c r="M73" s="53">
        <f t="shared" si="18"/>
        <v>23566</v>
      </c>
      <c r="N73" s="53">
        <f t="shared" ca="1" si="17"/>
        <v>6.430013642564802</v>
      </c>
    </row>
    <row r="74" spans="1:14" ht="21.75" customHeight="1" x14ac:dyDescent="0.4">
      <c r="A74" s="141"/>
      <c r="B74" s="142"/>
      <c r="C74" s="143" t="s">
        <v>56</v>
      </c>
      <c r="D74" s="143"/>
      <c r="E74" s="143"/>
      <c r="F74" s="143"/>
      <c r="G74" s="144"/>
      <c r="H74" s="145" t="s">
        <v>57</v>
      </c>
      <c r="I74" s="146">
        <f t="shared" ref="I74:J74" ca="1" si="19">I83</f>
        <v>4</v>
      </c>
      <c r="J74" s="146">
        <f t="shared" si="19"/>
        <v>0</v>
      </c>
      <c r="K74" s="147">
        <f ca="1">IF(I74&gt;0,J74*100/I74,0)</f>
        <v>0</v>
      </c>
      <c r="L74" s="148">
        <f ca="1">L75+L76</f>
        <v>7500</v>
      </c>
      <c r="M74" s="148">
        <f>SUM(M75:M76)</f>
        <v>0</v>
      </c>
      <c r="N74" s="148">
        <f t="shared" ca="1" si="17"/>
        <v>0</v>
      </c>
    </row>
    <row r="75" spans="1:14" ht="21.75" customHeight="1" x14ac:dyDescent="0.4">
      <c r="A75" s="42"/>
      <c r="B75" s="43"/>
      <c r="C75" s="43" t="s">
        <v>17</v>
      </c>
      <c r="D75" s="44" t="s">
        <v>18</v>
      </c>
      <c r="E75" s="45"/>
      <c r="F75" s="45"/>
      <c r="G75" s="46" t="s">
        <v>19</v>
      </c>
      <c r="H75" s="47" t="s">
        <v>20</v>
      </c>
      <c r="I75" s="48" t="s">
        <v>21</v>
      </c>
      <c r="J75" s="48"/>
      <c r="K75" s="49"/>
      <c r="L75" s="50">
        <v>0</v>
      </c>
      <c r="M75" s="50">
        <v>0</v>
      </c>
      <c r="N75" s="50">
        <f t="shared" si="17"/>
        <v>0</v>
      </c>
    </row>
    <row r="76" spans="1:14" ht="21.75" customHeight="1" x14ac:dyDescent="0.4">
      <c r="A76" s="42"/>
      <c r="B76" s="43"/>
      <c r="C76" s="43"/>
      <c r="D76" s="51"/>
      <c r="E76" s="45"/>
      <c r="F76" s="45" t="s">
        <v>21</v>
      </c>
      <c r="G76" s="46" t="s">
        <v>22</v>
      </c>
      <c r="H76" s="47" t="s">
        <v>20</v>
      </c>
      <c r="I76" s="48"/>
      <c r="J76" s="48"/>
      <c r="K76" s="49"/>
      <c r="L76" s="50">
        <f t="shared" ref="L76:M76" ca="1" si="20">L77</f>
        <v>7500</v>
      </c>
      <c r="M76" s="50">
        <f t="shared" si="20"/>
        <v>0</v>
      </c>
      <c r="N76" s="50">
        <f t="shared" ca="1" si="17"/>
        <v>0</v>
      </c>
    </row>
    <row r="77" spans="1:14" ht="21.75" customHeight="1" x14ac:dyDescent="0.4">
      <c r="A77" s="42"/>
      <c r="B77" s="43"/>
      <c r="C77" s="43"/>
      <c r="D77" s="51"/>
      <c r="E77" s="45"/>
      <c r="F77" s="45"/>
      <c r="G77" s="52" t="s">
        <v>24</v>
      </c>
      <c r="H77" s="47" t="s">
        <v>20</v>
      </c>
      <c r="I77" s="48"/>
      <c r="J77" s="48"/>
      <c r="K77" s="49"/>
      <c r="L77" s="53">
        <f ca="1">IFERROR(__xludf.DUMMYFUNCTION("IMPORTRANGE(""https://docs.google.com/spreadsheets/d/1C3CXT74ZlgGe6_JY_1olB1XN4rF0dxEuIIF-xsYjHgg/edit?usp=sharing"",""พรบ!AF26"")"),7500)</f>
        <v>7500</v>
      </c>
      <c r="M77" s="54">
        <v>0</v>
      </c>
      <c r="N77" s="53">
        <f t="shared" ca="1" si="17"/>
        <v>0</v>
      </c>
    </row>
    <row r="78" spans="1:14" ht="21.75" customHeight="1" x14ac:dyDescent="0.4">
      <c r="A78" s="55"/>
      <c r="B78" s="56"/>
      <c r="C78" s="43" t="s">
        <v>17</v>
      </c>
      <c r="D78" s="57" t="s">
        <v>25</v>
      </c>
      <c r="E78" s="58"/>
      <c r="F78" s="58"/>
      <c r="G78" s="59"/>
      <c r="H78" s="60"/>
      <c r="I78" s="48"/>
      <c r="J78" s="48"/>
      <c r="K78" s="49"/>
      <c r="L78" s="61"/>
      <c r="M78" s="61"/>
      <c r="N78" s="61"/>
    </row>
    <row r="79" spans="1:14" ht="21.75" customHeight="1" x14ac:dyDescent="0.4">
      <c r="A79" s="55"/>
      <c r="B79" s="56"/>
      <c r="C79" s="56"/>
      <c r="D79" s="62">
        <v>1</v>
      </c>
      <c r="E79" s="63" t="s">
        <v>26</v>
      </c>
      <c r="F79" s="64"/>
      <c r="G79" s="65"/>
      <c r="H79" s="66"/>
      <c r="I79" s="67"/>
      <c r="J79" s="68">
        <v>0</v>
      </c>
      <c r="K79" s="49"/>
      <c r="L79" s="61"/>
      <c r="M79" s="61"/>
      <c r="N79" s="61"/>
    </row>
    <row r="80" spans="1:14" ht="21.75" customHeight="1" x14ac:dyDescent="0.4">
      <c r="A80" s="55"/>
      <c r="B80" s="56"/>
      <c r="C80" s="56"/>
      <c r="D80" s="69">
        <v>2</v>
      </c>
      <c r="E80" s="70" t="s">
        <v>27</v>
      </c>
      <c r="F80" s="71"/>
      <c r="G80" s="72"/>
      <c r="H80" s="66"/>
      <c r="I80" s="67"/>
      <c r="J80" s="68">
        <v>1</v>
      </c>
      <c r="K80" s="49"/>
      <c r="L80" s="61" t="s">
        <v>21</v>
      </c>
      <c r="M80" s="61" t="s">
        <v>21</v>
      </c>
      <c r="N80" s="61"/>
    </row>
    <row r="81" spans="1:14" ht="21.75" customHeight="1" x14ac:dyDescent="0.4">
      <c r="A81" s="55"/>
      <c r="B81" s="56"/>
      <c r="C81" s="56"/>
      <c r="D81" s="73"/>
      <c r="E81" s="74" t="s">
        <v>28</v>
      </c>
      <c r="F81" s="75"/>
      <c r="G81" s="76"/>
      <c r="H81" s="66"/>
      <c r="I81" s="67"/>
      <c r="J81" s="68">
        <v>1</v>
      </c>
      <c r="K81" s="49"/>
      <c r="L81" s="61"/>
      <c r="M81" s="61"/>
      <c r="N81" s="61"/>
    </row>
    <row r="82" spans="1:14" ht="21.75" customHeight="1" x14ac:dyDescent="0.4">
      <c r="A82" s="55"/>
      <c r="B82" s="56"/>
      <c r="C82" s="56"/>
      <c r="D82" s="73"/>
      <c r="E82" s="74" t="s">
        <v>29</v>
      </c>
      <c r="F82" s="75"/>
      <c r="G82" s="76"/>
      <c r="H82" s="66"/>
      <c r="I82" s="67"/>
      <c r="J82" s="68">
        <v>1</v>
      </c>
      <c r="K82" s="49"/>
      <c r="L82" s="61"/>
      <c r="M82" s="61"/>
      <c r="N82" s="61"/>
    </row>
    <row r="83" spans="1:14" ht="21.75" customHeight="1" x14ac:dyDescent="0.4">
      <c r="A83" s="55"/>
      <c r="B83" s="56"/>
      <c r="C83" s="56"/>
      <c r="D83" s="73"/>
      <c r="E83" s="77"/>
      <c r="F83" s="74" t="s">
        <v>58</v>
      </c>
      <c r="G83" s="76"/>
      <c r="H83" s="60" t="s">
        <v>57</v>
      </c>
      <c r="I83" s="67">
        <f ca="1">IFERROR(__xludf.DUMMYFUNCTION("IMPORTRANGE(""https://docs.google.com/spreadsheets/d/1C3CXT74ZlgGe6_JY_1olB1XN4rF0dxEuIIF-xsYjHgg/edit?usp=sharing"",""พรบ!AG26"")"),4)</f>
        <v>4</v>
      </c>
      <c r="J83" s="68">
        <v>0</v>
      </c>
      <c r="K83" s="49">
        <f ca="1">IF(I83&gt;0,J83*100/I83,0)</f>
        <v>0</v>
      </c>
      <c r="L83" s="61"/>
      <c r="M83" s="61"/>
      <c r="N83" s="61"/>
    </row>
    <row r="84" spans="1:14" ht="21.75" customHeight="1" x14ac:dyDescent="0.4">
      <c r="A84" s="55"/>
      <c r="B84" s="56"/>
      <c r="C84" s="56"/>
      <c r="D84" s="73"/>
      <c r="E84" s="75"/>
      <c r="F84" s="75" t="s">
        <v>59</v>
      </c>
      <c r="G84" s="76"/>
      <c r="H84" s="66" t="s">
        <v>16</v>
      </c>
      <c r="I84" s="67"/>
      <c r="J84" s="67">
        <f>J85+J86</f>
        <v>0</v>
      </c>
      <c r="K84" s="49"/>
      <c r="L84" s="61"/>
      <c r="M84" s="61"/>
      <c r="N84" s="61"/>
    </row>
    <row r="85" spans="1:14" ht="21.75" customHeight="1" x14ac:dyDescent="0.4">
      <c r="A85" s="55"/>
      <c r="B85" s="56"/>
      <c r="C85" s="56"/>
      <c r="D85" s="73"/>
      <c r="E85" s="75"/>
      <c r="F85" s="75"/>
      <c r="G85" s="76" t="s">
        <v>60</v>
      </c>
      <c r="H85" s="66" t="s">
        <v>16</v>
      </c>
      <c r="I85" s="67"/>
      <c r="J85" s="68">
        <v>0</v>
      </c>
      <c r="K85" s="49"/>
      <c r="L85" s="61"/>
      <c r="M85" s="61"/>
      <c r="N85" s="61"/>
    </row>
    <row r="86" spans="1:14" ht="21.75" customHeight="1" x14ac:dyDescent="0.4">
      <c r="A86" s="55"/>
      <c r="B86" s="56"/>
      <c r="C86" s="56"/>
      <c r="D86" s="73"/>
      <c r="E86" s="75"/>
      <c r="F86" s="75"/>
      <c r="G86" s="76" t="s">
        <v>61</v>
      </c>
      <c r="H86" s="66" t="s">
        <v>16</v>
      </c>
      <c r="I86" s="67"/>
      <c r="J86" s="68">
        <v>0</v>
      </c>
      <c r="K86" s="49"/>
      <c r="L86" s="61"/>
      <c r="M86" s="61"/>
      <c r="N86" s="61"/>
    </row>
    <row r="87" spans="1:14" ht="21.75" customHeight="1" x14ac:dyDescent="0.4">
      <c r="A87" s="55"/>
      <c r="B87" s="56"/>
      <c r="C87" s="56"/>
      <c r="D87" s="73"/>
      <c r="E87" s="74" t="s">
        <v>35</v>
      </c>
      <c r="F87" s="75"/>
      <c r="G87" s="76"/>
      <c r="H87" s="66"/>
      <c r="I87" s="67"/>
      <c r="J87" s="68">
        <v>0</v>
      </c>
      <c r="K87" s="49"/>
      <c r="L87" s="61"/>
      <c r="M87" s="61"/>
      <c r="N87" s="61"/>
    </row>
    <row r="88" spans="1:14" ht="21.75" customHeight="1" x14ac:dyDescent="0.4">
      <c r="A88" s="55"/>
      <c r="B88" s="56"/>
      <c r="C88" s="56"/>
      <c r="D88" s="81">
        <v>3</v>
      </c>
      <c r="E88" s="82" t="s">
        <v>36</v>
      </c>
      <c r="F88" s="83"/>
      <c r="G88" s="84"/>
      <c r="H88" s="66"/>
      <c r="I88" s="67"/>
      <c r="J88" s="85">
        <v>0</v>
      </c>
      <c r="K88" s="49"/>
      <c r="L88" s="61"/>
      <c r="M88" s="61"/>
      <c r="N88" s="61"/>
    </row>
    <row r="89" spans="1:14" ht="21.75" customHeight="1" x14ac:dyDescent="0.4">
      <c r="A89" s="141"/>
      <c r="B89" s="142"/>
      <c r="C89" s="143" t="s">
        <v>62</v>
      </c>
      <c r="D89" s="143"/>
      <c r="E89" s="143"/>
      <c r="F89" s="143"/>
      <c r="G89" s="144"/>
      <c r="H89" s="149" t="s">
        <v>63</v>
      </c>
      <c r="I89" s="150">
        <f t="shared" ref="I89:J89" ca="1" si="21">I98</f>
        <v>2</v>
      </c>
      <c r="J89" s="150">
        <f t="shared" si="21"/>
        <v>0</v>
      </c>
      <c r="K89" s="151">
        <f ca="1">IF(I89&gt;0,J89*100/I89,0)</f>
        <v>0</v>
      </c>
      <c r="L89" s="148">
        <f ca="1">L90+L91</f>
        <v>28000</v>
      </c>
      <c r="M89" s="148">
        <f>SUM(M90:M91)</f>
        <v>0</v>
      </c>
      <c r="N89" s="148">
        <f t="shared" ref="N89:N92" ca="1" si="22">+IF(L89&gt;0,M89*100/L89,0)</f>
        <v>0</v>
      </c>
    </row>
    <row r="90" spans="1:14" ht="21.75" customHeight="1" x14ac:dyDescent="0.4">
      <c r="A90" s="42"/>
      <c r="B90" s="43"/>
      <c r="C90" s="43" t="s">
        <v>17</v>
      </c>
      <c r="D90" s="44" t="s">
        <v>18</v>
      </c>
      <c r="E90" s="45"/>
      <c r="F90" s="45"/>
      <c r="G90" s="46" t="s">
        <v>19</v>
      </c>
      <c r="H90" s="47" t="s">
        <v>20</v>
      </c>
      <c r="I90" s="48" t="s">
        <v>21</v>
      </c>
      <c r="J90" s="48"/>
      <c r="K90" s="49"/>
      <c r="L90" s="50">
        <v>0</v>
      </c>
      <c r="M90" s="50">
        <v>0</v>
      </c>
      <c r="N90" s="50">
        <f t="shared" si="22"/>
        <v>0</v>
      </c>
    </row>
    <row r="91" spans="1:14" ht="21.75" customHeight="1" x14ac:dyDescent="0.4">
      <c r="A91" s="42"/>
      <c r="B91" s="43"/>
      <c r="C91" s="43"/>
      <c r="D91" s="51"/>
      <c r="E91" s="45"/>
      <c r="F91" s="45" t="s">
        <v>21</v>
      </c>
      <c r="G91" s="46" t="s">
        <v>22</v>
      </c>
      <c r="H91" s="47" t="s">
        <v>20</v>
      </c>
      <c r="I91" s="48"/>
      <c r="J91" s="48"/>
      <c r="K91" s="49"/>
      <c r="L91" s="50">
        <f t="shared" ref="L91:M91" ca="1" si="23">L92</f>
        <v>28000</v>
      </c>
      <c r="M91" s="50">
        <f t="shared" si="23"/>
        <v>0</v>
      </c>
      <c r="N91" s="50">
        <f t="shared" ca="1" si="22"/>
        <v>0</v>
      </c>
    </row>
    <row r="92" spans="1:14" ht="21.75" customHeight="1" x14ac:dyDescent="0.4">
      <c r="A92" s="42"/>
      <c r="B92" s="43"/>
      <c r="C92" s="43"/>
      <c r="D92" s="51"/>
      <c r="E92" s="45"/>
      <c r="F92" s="45"/>
      <c r="G92" s="52" t="s">
        <v>24</v>
      </c>
      <c r="H92" s="47" t="s">
        <v>20</v>
      </c>
      <c r="I92" s="48"/>
      <c r="J92" s="48"/>
      <c r="K92" s="49"/>
      <c r="L92" s="53">
        <f ca="1">IFERROR(__xludf.DUMMYFUNCTION("IMPORTRANGE(""https://docs.google.com/spreadsheets/d/1C3CXT74ZlgGe6_JY_1olB1XN4rF0dxEuIIF-xsYjHgg/edit?usp=sharing"",""พรบ!AH26"")"),28000)</f>
        <v>28000</v>
      </c>
      <c r="M92" s="54">
        <v>0</v>
      </c>
      <c r="N92" s="53">
        <f t="shared" ca="1" si="22"/>
        <v>0</v>
      </c>
    </row>
    <row r="93" spans="1:14" ht="21.75" customHeight="1" x14ac:dyDescent="0.4">
      <c r="A93" s="55"/>
      <c r="B93" s="56"/>
      <c r="C93" s="43" t="s">
        <v>17</v>
      </c>
      <c r="D93" s="57" t="s">
        <v>25</v>
      </c>
      <c r="E93" s="58"/>
      <c r="F93" s="58"/>
      <c r="G93" s="59"/>
      <c r="H93" s="60"/>
      <c r="I93" s="48"/>
      <c r="J93" s="48"/>
      <c r="K93" s="49"/>
      <c r="L93" s="61"/>
      <c r="M93" s="61"/>
      <c r="N93" s="61"/>
    </row>
    <row r="94" spans="1:14" ht="21.75" customHeight="1" x14ac:dyDescent="0.4">
      <c r="A94" s="55"/>
      <c r="B94" s="56"/>
      <c r="C94" s="56"/>
      <c r="D94" s="62">
        <v>1</v>
      </c>
      <c r="E94" s="63" t="s">
        <v>26</v>
      </c>
      <c r="F94" s="64"/>
      <c r="G94" s="65"/>
      <c r="H94" s="66"/>
      <c r="I94" s="67"/>
      <c r="J94" s="68">
        <v>0</v>
      </c>
      <c r="K94" s="49"/>
      <c r="L94" s="61"/>
      <c r="M94" s="61"/>
      <c r="N94" s="61"/>
    </row>
    <row r="95" spans="1:14" ht="21.75" customHeight="1" x14ac:dyDescent="0.4">
      <c r="A95" s="55"/>
      <c r="B95" s="56"/>
      <c r="C95" s="56"/>
      <c r="D95" s="69">
        <v>2</v>
      </c>
      <c r="E95" s="70" t="s">
        <v>27</v>
      </c>
      <c r="F95" s="71"/>
      <c r="G95" s="72"/>
      <c r="H95" s="66"/>
      <c r="I95" s="67"/>
      <c r="J95" s="68">
        <v>1</v>
      </c>
      <c r="K95" s="49"/>
      <c r="L95" s="61" t="s">
        <v>21</v>
      </c>
      <c r="M95" s="61" t="s">
        <v>21</v>
      </c>
      <c r="N95" s="61"/>
    </row>
    <row r="96" spans="1:14" ht="21.75" customHeight="1" x14ac:dyDescent="0.4">
      <c r="A96" s="55"/>
      <c r="B96" s="56"/>
      <c r="C96" s="56"/>
      <c r="D96" s="73"/>
      <c r="E96" s="74" t="s">
        <v>28</v>
      </c>
      <c r="F96" s="75"/>
      <c r="G96" s="76"/>
      <c r="H96" s="66"/>
      <c r="I96" s="67"/>
      <c r="J96" s="68">
        <v>1</v>
      </c>
      <c r="K96" s="49"/>
      <c r="L96" s="61"/>
      <c r="M96" s="61"/>
      <c r="N96" s="61"/>
    </row>
    <row r="97" spans="1:14" ht="21.75" customHeight="1" x14ac:dyDescent="0.4">
      <c r="A97" s="55"/>
      <c r="B97" s="56"/>
      <c r="C97" s="56"/>
      <c r="D97" s="73"/>
      <c r="E97" s="74" t="s">
        <v>29</v>
      </c>
      <c r="F97" s="75"/>
      <c r="G97" s="76"/>
      <c r="H97" s="66"/>
      <c r="I97" s="67"/>
      <c r="J97" s="68">
        <v>1</v>
      </c>
      <c r="K97" s="49"/>
      <c r="L97" s="61"/>
      <c r="M97" s="61"/>
      <c r="N97" s="61"/>
    </row>
    <row r="98" spans="1:14" ht="21.75" customHeight="1" x14ac:dyDescent="0.4">
      <c r="A98" s="55"/>
      <c r="B98" s="56"/>
      <c r="C98" s="56"/>
      <c r="D98" s="73"/>
      <c r="E98" s="77"/>
      <c r="F98" s="74" t="s">
        <v>64</v>
      </c>
      <c r="G98" s="76"/>
      <c r="H98" s="60" t="s">
        <v>63</v>
      </c>
      <c r="I98" s="67">
        <f ca="1">IFERROR(__xludf.DUMMYFUNCTION("IMPORTRANGE(""https://docs.google.com/spreadsheets/d/1C3CXT74ZlgGe6_JY_1olB1XN4rF0dxEuIIF-xsYjHgg/edit?usp=sharing"",""พรบ!AI26"")"),2)</f>
        <v>2</v>
      </c>
      <c r="J98" s="68">
        <v>0</v>
      </c>
      <c r="K98" s="49">
        <f ca="1">IF(I98&gt;0,J98*100/I98,0)</f>
        <v>0</v>
      </c>
      <c r="L98" s="53">
        <f ca="1">IFERROR(__xludf.DUMMYFUNCTION("IMPORTRANGE(""https://docs.google.com/spreadsheets/d/1C3CXT74ZlgGe6_JY_1olB1XN4rF0dxEuIIF-xsYjHgg/edit?usp=sharing"",""กปร!C26"")"),24000)</f>
        <v>24000</v>
      </c>
      <c r="M98" s="359">
        <v>0</v>
      </c>
      <c r="N98" s="53">
        <f ca="1">+IF(L98&gt;0,M98*100/L98,0)</f>
        <v>0</v>
      </c>
    </row>
    <row r="99" spans="1:14" ht="21.75" customHeight="1" x14ac:dyDescent="0.4">
      <c r="A99" s="55"/>
      <c r="B99" s="56"/>
      <c r="C99" s="56"/>
      <c r="D99" s="73"/>
      <c r="E99" s="74" t="s">
        <v>35</v>
      </c>
      <c r="F99" s="75"/>
      <c r="G99" s="76"/>
      <c r="H99" s="66"/>
      <c r="I99" s="67"/>
      <c r="J99" s="68">
        <v>0</v>
      </c>
      <c r="K99" s="49"/>
      <c r="L99" s="61"/>
      <c r="M99" s="61"/>
      <c r="N99" s="61"/>
    </row>
    <row r="100" spans="1:14" ht="21.75" customHeight="1" x14ac:dyDescent="0.4">
      <c r="A100" s="55"/>
      <c r="B100" s="56"/>
      <c r="C100" s="56"/>
      <c r="D100" s="81">
        <v>3</v>
      </c>
      <c r="E100" s="82" t="s">
        <v>36</v>
      </c>
      <c r="F100" s="83"/>
      <c r="G100" s="84"/>
      <c r="H100" s="66"/>
      <c r="I100" s="67"/>
      <c r="J100" s="85">
        <v>0</v>
      </c>
      <c r="K100" s="49"/>
      <c r="L100" s="61"/>
      <c r="M100" s="61"/>
      <c r="N100" s="61"/>
    </row>
    <row r="101" spans="1:14" ht="21.75" customHeight="1" x14ac:dyDescent="0.4">
      <c r="A101" s="141"/>
      <c r="B101" s="142"/>
      <c r="C101" s="143" t="s">
        <v>65</v>
      </c>
      <c r="D101" s="143"/>
      <c r="E101" s="143"/>
      <c r="F101" s="143"/>
      <c r="G101" s="144"/>
      <c r="H101" s="149" t="s">
        <v>63</v>
      </c>
      <c r="I101" s="150">
        <f t="shared" ref="I101:J101" ca="1" si="24">I111</f>
        <v>0</v>
      </c>
      <c r="J101" s="150">
        <f t="shared" si="24"/>
        <v>0</v>
      </c>
      <c r="K101" s="151">
        <f ca="1">IF(I101&gt;0,J101*100/I101,0)</f>
        <v>0</v>
      </c>
      <c r="L101" s="148">
        <f ca="1">L102+L103</f>
        <v>0</v>
      </c>
      <c r="M101" s="148">
        <f>SUM(M102:M103)</f>
        <v>0</v>
      </c>
      <c r="N101" s="148">
        <f t="shared" ref="N101:N104" ca="1" si="25">+IF(L101&gt;0,M101*100/L101,0)</f>
        <v>0</v>
      </c>
    </row>
    <row r="102" spans="1:14" ht="21.75" customHeight="1" x14ac:dyDescent="0.4">
      <c r="A102" s="42"/>
      <c r="B102" s="43"/>
      <c r="C102" s="43" t="s">
        <v>17</v>
      </c>
      <c r="D102" s="44" t="s">
        <v>18</v>
      </c>
      <c r="E102" s="45"/>
      <c r="F102" s="45"/>
      <c r="G102" s="46" t="s">
        <v>19</v>
      </c>
      <c r="H102" s="47" t="s">
        <v>20</v>
      </c>
      <c r="I102" s="48" t="s">
        <v>21</v>
      </c>
      <c r="J102" s="48"/>
      <c r="K102" s="49"/>
      <c r="L102" s="50">
        <v>0</v>
      </c>
      <c r="M102" s="50">
        <v>0</v>
      </c>
      <c r="N102" s="50">
        <f t="shared" si="25"/>
        <v>0</v>
      </c>
    </row>
    <row r="103" spans="1:14" ht="21.75" customHeight="1" x14ac:dyDescent="0.4">
      <c r="A103" s="42"/>
      <c r="B103" s="43"/>
      <c r="C103" s="43"/>
      <c r="D103" s="51"/>
      <c r="E103" s="45"/>
      <c r="F103" s="45" t="s">
        <v>21</v>
      </c>
      <c r="G103" s="46" t="s">
        <v>22</v>
      </c>
      <c r="H103" s="47" t="s">
        <v>20</v>
      </c>
      <c r="I103" s="48"/>
      <c r="J103" s="48"/>
      <c r="K103" s="49"/>
      <c r="L103" s="50">
        <f ca="1">SUM(L104)</f>
        <v>0</v>
      </c>
      <c r="M103" s="50">
        <f>M104</f>
        <v>0</v>
      </c>
      <c r="N103" s="50">
        <f t="shared" ca="1" si="25"/>
        <v>0</v>
      </c>
    </row>
    <row r="104" spans="1:14" ht="21.75" customHeight="1" x14ac:dyDescent="0.4">
      <c r="A104" s="42"/>
      <c r="B104" s="43"/>
      <c r="C104" s="43"/>
      <c r="D104" s="51"/>
      <c r="E104" s="45"/>
      <c r="F104" s="45"/>
      <c r="G104" s="52" t="s">
        <v>24</v>
      </c>
      <c r="H104" s="47" t="s">
        <v>20</v>
      </c>
      <c r="I104" s="48"/>
      <c r="J104" s="67"/>
      <c r="K104" s="233"/>
      <c r="L104" s="53">
        <f ca="1">IFERROR(__xludf.DUMMYFUNCTION("IMPORTRANGE(""https://docs.google.com/spreadsheets/d/1C3CXT74ZlgGe6_JY_1olB1XN4rF0dxEuIIF-xsYjHgg/edit?usp=sharing"",""พรบ!AJ26"")"),0)</f>
        <v>0</v>
      </c>
      <c r="M104" s="53">
        <v>0</v>
      </c>
      <c r="N104" s="53">
        <f t="shared" ca="1" si="25"/>
        <v>0</v>
      </c>
    </row>
    <row r="105" spans="1:14" ht="21.75" customHeight="1" x14ac:dyDescent="0.4">
      <c r="A105" s="55"/>
      <c r="B105" s="56"/>
      <c r="C105" s="43" t="s">
        <v>17</v>
      </c>
      <c r="D105" s="57" t="s">
        <v>25</v>
      </c>
      <c r="E105" s="58"/>
      <c r="F105" s="58"/>
      <c r="G105" s="59"/>
      <c r="H105" s="60"/>
      <c r="I105" s="48"/>
      <c r="J105" s="67"/>
      <c r="K105" s="233"/>
      <c r="L105" s="53"/>
      <c r="M105" s="53"/>
      <c r="N105" s="61"/>
    </row>
    <row r="106" spans="1:14" ht="21.75" customHeight="1" x14ac:dyDescent="0.4">
      <c r="A106" s="55"/>
      <c r="B106" s="56"/>
      <c r="C106" s="56"/>
      <c r="D106" s="62">
        <v>1</v>
      </c>
      <c r="E106" s="63" t="s">
        <v>26</v>
      </c>
      <c r="F106" s="64"/>
      <c r="G106" s="65"/>
      <c r="H106" s="66"/>
      <c r="I106" s="67"/>
      <c r="J106" s="67">
        <v>0</v>
      </c>
      <c r="K106" s="233"/>
      <c r="L106" s="53"/>
      <c r="M106" s="53"/>
      <c r="N106" s="61"/>
    </row>
    <row r="107" spans="1:14" ht="21.75" customHeight="1" x14ac:dyDescent="0.4">
      <c r="A107" s="55"/>
      <c r="B107" s="56"/>
      <c r="C107" s="56"/>
      <c r="D107" s="69">
        <v>2</v>
      </c>
      <c r="E107" s="70" t="s">
        <v>27</v>
      </c>
      <c r="F107" s="71"/>
      <c r="G107" s="72"/>
      <c r="H107" s="66"/>
      <c r="I107" s="67"/>
      <c r="J107" s="67">
        <v>0</v>
      </c>
      <c r="K107" s="233"/>
      <c r="L107" s="53" t="s">
        <v>21</v>
      </c>
      <c r="M107" s="53" t="s">
        <v>21</v>
      </c>
      <c r="N107" s="61"/>
    </row>
    <row r="108" spans="1:14" ht="21.75" customHeight="1" x14ac:dyDescent="0.4">
      <c r="A108" s="55"/>
      <c r="B108" s="56"/>
      <c r="C108" s="56"/>
      <c r="D108" s="73"/>
      <c r="E108" s="74" t="s">
        <v>28</v>
      </c>
      <c r="F108" s="75"/>
      <c r="G108" s="76"/>
      <c r="H108" s="66"/>
      <c r="I108" s="67"/>
      <c r="J108" s="67">
        <v>0</v>
      </c>
      <c r="K108" s="233"/>
      <c r="L108" s="53"/>
      <c r="M108" s="53"/>
      <c r="N108" s="61"/>
    </row>
    <row r="109" spans="1:14" ht="21.75" customHeight="1" x14ac:dyDescent="0.4">
      <c r="A109" s="55"/>
      <c r="B109" s="56"/>
      <c r="C109" s="56"/>
      <c r="D109" s="73"/>
      <c r="E109" s="74" t="s">
        <v>29</v>
      </c>
      <c r="F109" s="75"/>
      <c r="G109" s="76"/>
      <c r="H109" s="66"/>
      <c r="I109" s="67"/>
      <c r="J109" s="67">
        <v>0</v>
      </c>
      <c r="K109" s="233"/>
      <c r="L109" s="53"/>
      <c r="M109" s="53"/>
      <c r="N109" s="61"/>
    </row>
    <row r="110" spans="1:14" ht="21.75" customHeight="1" x14ac:dyDescent="0.4">
      <c r="A110" s="55"/>
      <c r="B110" s="56"/>
      <c r="C110" s="56"/>
      <c r="D110" s="73"/>
      <c r="E110" s="77"/>
      <c r="F110" s="74" t="s">
        <v>66</v>
      </c>
      <c r="G110" s="76"/>
      <c r="H110" s="60" t="s">
        <v>63</v>
      </c>
      <c r="I110" s="67">
        <f ca="1">IFERROR(__xludf.DUMMYFUNCTION("IMPORTRANGE(""https://docs.google.com/spreadsheets/d/1C3CXT74ZlgGe6_JY_1olB1XN4rF0dxEuIIF-xsYjHgg/edit?usp=sharing"",""พรบ!AK26"")"),0)</f>
        <v>0</v>
      </c>
      <c r="J110" s="67">
        <v>0</v>
      </c>
      <c r="K110" s="233">
        <f t="shared" ref="K110:K111" ca="1" si="26">IF(I110&gt;0,J110*100/I110,0)</f>
        <v>0</v>
      </c>
      <c r="L110" s="53">
        <f ca="1">IFERROR(__xludf.DUMMYFUNCTION("IMPORTRANGE(""https://docs.google.com/spreadsheets/d/1C3CXT74ZlgGe6_JY_1olB1XN4rF0dxEuIIF-xsYjHgg/edit?usp=sharing"",""กปร!D26"")"),0)</f>
        <v>0</v>
      </c>
      <c r="M110" s="53">
        <v>0</v>
      </c>
      <c r="N110" s="53">
        <f t="shared" ref="N110:N111" ca="1" si="27">+IF(L110&gt;0,M110*100/L110,0)</f>
        <v>0</v>
      </c>
    </row>
    <row r="111" spans="1:14" ht="21.75" customHeight="1" x14ac:dyDescent="0.4">
      <c r="A111" s="55"/>
      <c r="B111" s="56"/>
      <c r="C111" s="56"/>
      <c r="D111" s="73"/>
      <c r="E111" s="77"/>
      <c r="F111" s="74" t="s">
        <v>67</v>
      </c>
      <c r="G111" s="76"/>
      <c r="H111" s="60" t="s">
        <v>63</v>
      </c>
      <c r="I111" s="67">
        <f ca="1">IFERROR(__xludf.DUMMYFUNCTION("IMPORTRANGE(""https://docs.google.com/spreadsheets/d/1C3CXT74ZlgGe6_JY_1olB1XN4rF0dxEuIIF-xsYjHgg/edit?usp=sharing"",""พรบ!AL26"")"),0)</f>
        <v>0</v>
      </c>
      <c r="J111" s="67">
        <v>0</v>
      </c>
      <c r="K111" s="233">
        <f t="shared" ca="1" si="26"/>
        <v>0</v>
      </c>
      <c r="L111" s="53">
        <f ca="1">IFERROR(__xludf.DUMMYFUNCTION("IMPORTRANGE(""https://docs.google.com/spreadsheets/d/1C3CXT74ZlgGe6_JY_1olB1XN4rF0dxEuIIF-xsYjHgg/edit?usp=sharing"",""กปร!E26"")"),0)</f>
        <v>0</v>
      </c>
      <c r="M111" s="53">
        <v>0</v>
      </c>
      <c r="N111" s="53">
        <f t="shared" ca="1" si="27"/>
        <v>0</v>
      </c>
    </row>
    <row r="112" spans="1:14" ht="21.75" customHeight="1" x14ac:dyDescent="0.4">
      <c r="A112" s="55"/>
      <c r="B112" s="56"/>
      <c r="C112" s="56"/>
      <c r="D112" s="73"/>
      <c r="E112" s="74" t="s">
        <v>35</v>
      </c>
      <c r="F112" s="75"/>
      <c r="G112" s="76"/>
      <c r="H112" s="66"/>
      <c r="I112" s="67"/>
      <c r="J112" s="67">
        <v>0</v>
      </c>
      <c r="K112" s="233"/>
      <c r="L112" s="53"/>
      <c r="M112" s="53"/>
      <c r="N112" s="61"/>
    </row>
    <row r="113" spans="1:14" ht="21.75" customHeight="1" x14ac:dyDescent="0.4">
      <c r="A113" s="55"/>
      <c r="B113" s="56"/>
      <c r="C113" s="56"/>
      <c r="D113" s="81">
        <v>3</v>
      </c>
      <c r="E113" s="82" t="s">
        <v>36</v>
      </c>
      <c r="F113" s="83"/>
      <c r="G113" s="84"/>
      <c r="H113" s="66"/>
      <c r="I113" s="67"/>
      <c r="J113" s="360">
        <v>0</v>
      </c>
      <c r="K113" s="233"/>
      <c r="L113" s="53"/>
      <c r="M113" s="53"/>
      <c r="N113" s="61"/>
    </row>
    <row r="114" spans="1:14" ht="21.75" customHeight="1" x14ac:dyDescent="0.4">
      <c r="A114" s="141"/>
      <c r="B114" s="142"/>
      <c r="C114" s="143" t="s">
        <v>68</v>
      </c>
      <c r="D114" s="143"/>
      <c r="E114" s="143"/>
      <c r="F114" s="143"/>
      <c r="G114" s="144"/>
      <c r="H114" s="152" t="s">
        <v>69</v>
      </c>
      <c r="I114" s="150">
        <f t="shared" ref="I114:J114" ca="1" si="28">I125</f>
        <v>20000</v>
      </c>
      <c r="J114" s="150">
        <f t="shared" si="28"/>
        <v>0</v>
      </c>
      <c r="K114" s="151">
        <f ca="1">IF(I114&gt;0,J114*100/I114,0)</f>
        <v>0</v>
      </c>
      <c r="L114" s="148">
        <f ca="1">L115+L116</f>
        <v>24000</v>
      </c>
      <c r="M114" s="148">
        <f>SUM(M115:M116)</f>
        <v>0</v>
      </c>
      <c r="N114" s="148">
        <f t="shared" ref="N114:N117" ca="1" si="29">+IF(L114&gt;0,M114*100/L114,0)</f>
        <v>0</v>
      </c>
    </row>
    <row r="115" spans="1:14" ht="21.75" customHeight="1" x14ac:dyDescent="0.4">
      <c r="A115" s="42"/>
      <c r="B115" s="43"/>
      <c r="C115" s="43" t="s">
        <v>17</v>
      </c>
      <c r="D115" s="44" t="s">
        <v>18</v>
      </c>
      <c r="E115" s="45"/>
      <c r="F115" s="45"/>
      <c r="G115" s="46" t="s">
        <v>19</v>
      </c>
      <c r="H115" s="47" t="s">
        <v>20</v>
      </c>
      <c r="I115" s="48" t="s">
        <v>21</v>
      </c>
      <c r="J115" s="48"/>
      <c r="K115" s="49"/>
      <c r="L115" s="50">
        <v>0</v>
      </c>
      <c r="M115" s="50">
        <v>0</v>
      </c>
      <c r="N115" s="50">
        <f t="shared" si="29"/>
        <v>0</v>
      </c>
    </row>
    <row r="116" spans="1:14" ht="21.75" customHeight="1" x14ac:dyDescent="0.4">
      <c r="A116" s="42"/>
      <c r="B116" s="43"/>
      <c r="C116" s="43"/>
      <c r="D116" s="51"/>
      <c r="E116" s="45"/>
      <c r="F116" s="45" t="s">
        <v>21</v>
      </c>
      <c r="G116" s="46" t="s">
        <v>22</v>
      </c>
      <c r="H116" s="47" t="s">
        <v>20</v>
      </c>
      <c r="I116" s="48"/>
      <c r="J116" s="48"/>
      <c r="K116" s="49"/>
      <c r="L116" s="50">
        <f ca="1">SUM(L117)</f>
        <v>24000</v>
      </c>
      <c r="M116" s="50">
        <f>M117</f>
        <v>0</v>
      </c>
      <c r="N116" s="50">
        <f t="shared" ca="1" si="29"/>
        <v>0</v>
      </c>
    </row>
    <row r="117" spans="1:14" ht="21.75" customHeight="1" x14ac:dyDescent="0.4">
      <c r="A117" s="42"/>
      <c r="B117" s="43"/>
      <c r="C117" s="43"/>
      <c r="D117" s="51"/>
      <c r="E117" s="45"/>
      <c r="F117" s="45"/>
      <c r="G117" s="52" t="s">
        <v>24</v>
      </c>
      <c r="H117" s="47" t="s">
        <v>20</v>
      </c>
      <c r="I117" s="48"/>
      <c r="J117" s="48"/>
      <c r="K117" s="49"/>
      <c r="L117" s="53">
        <f ca="1">IFERROR(__xludf.DUMMYFUNCTION("IMPORTRANGE(""https://docs.google.com/spreadsheets/d/1C3CXT74ZlgGe6_JY_1olB1XN4rF0dxEuIIF-xsYjHgg/edit?usp=sharing"",""พรบ!AM26"")"),24000)</f>
        <v>24000</v>
      </c>
      <c r="M117" s="54">
        <v>0</v>
      </c>
      <c r="N117" s="53">
        <f t="shared" ca="1" si="29"/>
        <v>0</v>
      </c>
    </row>
    <row r="118" spans="1:14" ht="21.75" customHeight="1" x14ac:dyDescent="0.4">
      <c r="A118" s="55"/>
      <c r="B118" s="56"/>
      <c r="C118" s="43" t="s">
        <v>17</v>
      </c>
      <c r="D118" s="57" t="s">
        <v>25</v>
      </c>
      <c r="E118" s="58"/>
      <c r="F118" s="58"/>
      <c r="G118" s="59"/>
      <c r="H118" s="60"/>
      <c r="I118" s="48"/>
      <c r="J118" s="48"/>
      <c r="K118" s="49"/>
      <c r="L118" s="61"/>
      <c r="M118" s="61"/>
      <c r="N118" s="61"/>
    </row>
    <row r="119" spans="1:14" ht="21.75" customHeight="1" x14ac:dyDescent="0.4">
      <c r="A119" s="55"/>
      <c r="B119" s="56"/>
      <c r="C119" s="56"/>
      <c r="D119" s="62">
        <v>1</v>
      </c>
      <c r="E119" s="63" t="s">
        <v>26</v>
      </c>
      <c r="F119" s="64"/>
      <c r="G119" s="65"/>
      <c r="H119" s="66"/>
      <c r="I119" s="67"/>
      <c r="J119" s="68">
        <v>0</v>
      </c>
      <c r="K119" s="49"/>
      <c r="L119" s="61"/>
      <c r="M119" s="61"/>
      <c r="N119" s="61"/>
    </row>
    <row r="120" spans="1:14" ht="21.75" customHeight="1" x14ac:dyDescent="0.4">
      <c r="A120" s="55"/>
      <c r="B120" s="56"/>
      <c r="C120" s="56"/>
      <c r="D120" s="69">
        <v>2</v>
      </c>
      <c r="E120" s="70" t="s">
        <v>27</v>
      </c>
      <c r="F120" s="71"/>
      <c r="G120" s="72"/>
      <c r="H120" s="66"/>
      <c r="I120" s="67"/>
      <c r="J120" s="68">
        <v>1</v>
      </c>
      <c r="K120" s="49"/>
      <c r="L120" s="61" t="s">
        <v>21</v>
      </c>
      <c r="M120" s="61" t="s">
        <v>21</v>
      </c>
      <c r="N120" s="61"/>
    </row>
    <row r="121" spans="1:14" ht="21.75" customHeight="1" x14ac:dyDescent="0.4">
      <c r="A121" s="55"/>
      <c r="B121" s="56"/>
      <c r="C121" s="56"/>
      <c r="D121" s="73"/>
      <c r="E121" s="74" t="s">
        <v>28</v>
      </c>
      <c r="F121" s="75"/>
      <c r="G121" s="76"/>
      <c r="H121" s="66"/>
      <c r="I121" s="67"/>
      <c r="J121" s="68">
        <v>1</v>
      </c>
      <c r="K121" s="49"/>
      <c r="L121" s="61"/>
      <c r="M121" s="61"/>
      <c r="N121" s="61"/>
    </row>
    <row r="122" spans="1:14" ht="21.75" customHeight="1" x14ac:dyDescent="0.4">
      <c r="A122" s="55"/>
      <c r="B122" s="56"/>
      <c r="C122" s="56"/>
      <c r="D122" s="73"/>
      <c r="E122" s="74" t="s">
        <v>29</v>
      </c>
      <c r="F122" s="75"/>
      <c r="G122" s="76"/>
      <c r="H122" s="66"/>
      <c r="I122" s="67"/>
      <c r="J122" s="68">
        <v>1</v>
      </c>
      <c r="K122" s="49"/>
      <c r="L122" s="61"/>
      <c r="M122" s="61"/>
      <c r="N122" s="61"/>
    </row>
    <row r="123" spans="1:14" ht="21.75" customHeight="1" x14ac:dyDescent="0.4">
      <c r="A123" s="55"/>
      <c r="B123" s="56"/>
      <c r="C123" s="56"/>
      <c r="D123" s="73"/>
      <c r="E123" s="75"/>
      <c r="F123" s="75" t="s">
        <v>70</v>
      </c>
      <c r="G123" s="76"/>
      <c r="H123" s="60"/>
      <c r="I123" s="67"/>
      <c r="J123" s="67"/>
      <c r="K123" s="49"/>
      <c r="L123" s="61"/>
      <c r="M123" s="61"/>
      <c r="N123" s="61"/>
    </row>
    <row r="124" spans="1:14" ht="21.75" customHeight="1" x14ac:dyDescent="0.4">
      <c r="A124" s="55"/>
      <c r="B124" s="56"/>
      <c r="C124" s="56"/>
      <c r="D124" s="73"/>
      <c r="E124" s="77"/>
      <c r="F124" s="75"/>
      <c r="G124" s="74" t="s">
        <v>71</v>
      </c>
      <c r="H124" s="60" t="s">
        <v>69</v>
      </c>
      <c r="I124" s="67">
        <f ca="1">IFERROR(__xludf.DUMMYFUNCTION("IMPORTRANGE(""https://docs.google.com/spreadsheets/d/1C3CXT74ZlgGe6_JY_1olB1XN4rF0dxEuIIF-xsYjHgg/edit?usp=sharing"",""พรบ!AO26"")"),20000)</f>
        <v>20000</v>
      </c>
      <c r="J124" s="68">
        <v>20000</v>
      </c>
      <c r="K124" s="49">
        <f t="shared" ref="K124:K126" ca="1" si="30">IF(I124&gt;0,J124*100/I124,0)</f>
        <v>100</v>
      </c>
      <c r="L124" s="61"/>
      <c r="M124" s="61"/>
      <c r="N124" s="61"/>
    </row>
    <row r="125" spans="1:14" ht="21.75" customHeight="1" x14ac:dyDescent="0.4">
      <c r="A125" s="55"/>
      <c r="B125" s="56"/>
      <c r="C125" s="56"/>
      <c r="D125" s="73"/>
      <c r="E125" s="77"/>
      <c r="F125" s="75"/>
      <c r="G125" s="74" t="s">
        <v>72</v>
      </c>
      <c r="H125" s="60" t="s">
        <v>69</v>
      </c>
      <c r="I125" s="67">
        <f ca="1">IFERROR(__xludf.DUMMYFUNCTION("IMPORTRANGE(""https://docs.google.com/spreadsheets/d/1C3CXT74ZlgGe6_JY_1olB1XN4rF0dxEuIIF-xsYjHgg/edit?usp=sharing"",""พรบ!AP26"")"),20000)</f>
        <v>20000</v>
      </c>
      <c r="J125" s="68">
        <v>0</v>
      </c>
      <c r="K125" s="49">
        <f t="shared" ca="1" si="30"/>
        <v>0</v>
      </c>
      <c r="L125" s="53">
        <f ca="1">IFERROR(__xludf.DUMMYFUNCTION("IMPORTRANGE(""https://docs.google.com/spreadsheets/d/1C3CXT74ZlgGe6_JY_1olB1XN4rF0dxEuIIF-xsYjHgg/edit?usp=sharing"",""กปร!F26"")"),5000)</f>
        <v>5000</v>
      </c>
      <c r="M125" s="359">
        <v>0</v>
      </c>
      <c r="N125" s="53">
        <f t="shared" ref="N125:N126" ca="1" si="31">+IF(L125&gt;0,M125*100/L125,0)</f>
        <v>0</v>
      </c>
    </row>
    <row r="126" spans="1:14" ht="21.75" customHeight="1" x14ac:dyDescent="0.4">
      <c r="A126" s="55"/>
      <c r="B126" s="56"/>
      <c r="C126" s="56"/>
      <c r="D126" s="73"/>
      <c r="E126" s="77"/>
      <c r="F126" s="75" t="s">
        <v>73</v>
      </c>
      <c r="G126" s="76"/>
      <c r="H126" s="60" t="s">
        <v>16</v>
      </c>
      <c r="I126" s="67">
        <f ca="1">IFERROR(__xludf.DUMMYFUNCTION("IMPORTRANGE(""https://docs.google.com/spreadsheets/d/1C3CXT74ZlgGe6_JY_1olB1XN4rF0dxEuIIF-xsYjHgg/edit?usp=sharing"",""พรบ!AQ26"")"),15)</f>
        <v>15</v>
      </c>
      <c r="J126" s="68">
        <v>0</v>
      </c>
      <c r="K126" s="49">
        <f t="shared" ca="1" si="30"/>
        <v>0</v>
      </c>
      <c r="L126" s="53">
        <f ca="1">IFERROR(__xludf.DUMMYFUNCTION("IMPORTRANGE(""https://docs.google.com/spreadsheets/d/1C3CXT74ZlgGe6_JY_1olB1XN4rF0dxEuIIF-xsYjHgg/edit?usp=sharing"",""กปร!G26"")"),15000)</f>
        <v>15000</v>
      </c>
      <c r="M126" s="359">
        <v>0</v>
      </c>
      <c r="N126" s="53">
        <f t="shared" ca="1" si="31"/>
        <v>0</v>
      </c>
    </row>
    <row r="127" spans="1:14" ht="21.75" customHeight="1" x14ac:dyDescent="0.4">
      <c r="A127" s="55"/>
      <c r="B127" s="56"/>
      <c r="C127" s="56"/>
      <c r="D127" s="73"/>
      <c r="E127" s="74" t="s">
        <v>35</v>
      </c>
      <c r="F127" s="75"/>
      <c r="G127" s="76"/>
      <c r="H127" s="66"/>
      <c r="I127" s="67"/>
      <c r="J127" s="68">
        <v>0</v>
      </c>
      <c r="K127" s="49"/>
      <c r="L127" s="61"/>
      <c r="M127" s="61"/>
      <c r="N127" s="61"/>
    </row>
    <row r="128" spans="1:14" ht="21.75" customHeight="1" x14ac:dyDescent="0.4">
      <c r="A128" s="105"/>
      <c r="B128" s="106"/>
      <c r="C128" s="106"/>
      <c r="D128" s="107">
        <v>3</v>
      </c>
      <c r="E128" s="108" t="s">
        <v>36</v>
      </c>
      <c r="F128" s="109"/>
      <c r="G128" s="110"/>
      <c r="H128" s="111"/>
      <c r="I128" s="112"/>
      <c r="J128" s="113">
        <v>0</v>
      </c>
      <c r="K128" s="114"/>
      <c r="L128" s="115"/>
      <c r="M128" s="115"/>
      <c r="N128" s="115"/>
    </row>
    <row r="129" spans="1:14" ht="21.75" customHeight="1" x14ac:dyDescent="0.4">
      <c r="A129" s="141"/>
      <c r="B129" s="142"/>
      <c r="C129" s="153" t="s">
        <v>235</v>
      </c>
      <c r="D129" s="143"/>
      <c r="E129" s="143"/>
      <c r="F129" s="143"/>
      <c r="G129" s="144"/>
      <c r="H129" s="152" t="s">
        <v>16</v>
      </c>
      <c r="I129" s="150">
        <f t="shared" ref="I129:J129" ca="1" si="32">I138</f>
        <v>40</v>
      </c>
      <c r="J129" s="150">
        <f t="shared" si="32"/>
        <v>0</v>
      </c>
      <c r="K129" s="151">
        <f ca="1">IF(I129&gt;0,J129*100/I129,0)</f>
        <v>0</v>
      </c>
      <c r="L129" s="148">
        <f ca="1">L130+L131</f>
        <v>307000</v>
      </c>
      <c r="M129" s="148">
        <f>SUM(M130:M131)</f>
        <v>23566</v>
      </c>
      <c r="N129" s="148">
        <f t="shared" ref="N129:N132" ca="1" si="33">+IF(L129&gt;0,M129*100/L129,0)</f>
        <v>7.6762214983713353</v>
      </c>
    </row>
    <row r="130" spans="1:14" ht="21.75" customHeight="1" x14ac:dyDescent="0.4">
      <c r="A130" s="42"/>
      <c r="B130" s="43"/>
      <c r="C130" s="43" t="s">
        <v>17</v>
      </c>
      <c r="D130" s="44" t="s">
        <v>18</v>
      </c>
      <c r="E130" s="45"/>
      <c r="F130" s="45"/>
      <c r="G130" s="46" t="s">
        <v>19</v>
      </c>
      <c r="H130" s="47" t="s">
        <v>20</v>
      </c>
      <c r="I130" s="48" t="s">
        <v>21</v>
      </c>
      <c r="J130" s="48"/>
      <c r="K130" s="49"/>
      <c r="L130" s="50">
        <v>0</v>
      </c>
      <c r="M130" s="50">
        <v>0</v>
      </c>
      <c r="N130" s="50">
        <f t="shared" si="33"/>
        <v>0</v>
      </c>
    </row>
    <row r="131" spans="1:14" ht="21.75" customHeight="1" x14ac:dyDescent="0.4">
      <c r="A131" s="42"/>
      <c r="B131" s="43"/>
      <c r="C131" s="43"/>
      <c r="D131" s="51"/>
      <c r="E131" s="45"/>
      <c r="F131" s="45" t="s">
        <v>21</v>
      </c>
      <c r="G131" s="46" t="s">
        <v>22</v>
      </c>
      <c r="H131" s="47" t="s">
        <v>20</v>
      </c>
      <c r="I131" s="48"/>
      <c r="J131" s="48"/>
      <c r="K131" s="49"/>
      <c r="L131" s="50">
        <f ca="1">SUM(L132)</f>
        <v>307000</v>
      </c>
      <c r="M131" s="50">
        <f>M132</f>
        <v>23566</v>
      </c>
      <c r="N131" s="50">
        <f t="shared" ca="1" si="33"/>
        <v>7.6762214983713353</v>
      </c>
    </row>
    <row r="132" spans="1:14" ht="21.75" customHeight="1" x14ac:dyDescent="0.4">
      <c r="A132" s="42"/>
      <c r="B132" s="43"/>
      <c r="C132" s="43"/>
      <c r="D132" s="51"/>
      <c r="E132" s="45"/>
      <c r="F132" s="45"/>
      <c r="G132" s="52" t="s">
        <v>24</v>
      </c>
      <c r="H132" s="47" t="s">
        <v>20</v>
      </c>
      <c r="I132" s="48"/>
      <c r="J132" s="48"/>
      <c r="K132" s="49"/>
      <c r="L132" s="53">
        <f ca="1">IFERROR(__xludf.DUMMYFUNCTION("IMPORTRANGE(""https://docs.google.com/spreadsheets/d/1C3CXT74ZlgGe6_JY_1olB1XN4rF0dxEuIIF-xsYjHgg/edit?usp=sharing"",""พรบ!AR26"")"),307000)</f>
        <v>307000</v>
      </c>
      <c r="M132" s="54">
        <v>23566</v>
      </c>
      <c r="N132" s="53">
        <f t="shared" ca="1" si="33"/>
        <v>7.6762214983713353</v>
      </c>
    </row>
    <row r="133" spans="1:14" ht="21.75" customHeight="1" x14ac:dyDescent="0.4">
      <c r="A133" s="55"/>
      <c r="B133" s="56"/>
      <c r="C133" s="43" t="s">
        <v>17</v>
      </c>
      <c r="D133" s="57" t="s">
        <v>25</v>
      </c>
      <c r="E133" s="58"/>
      <c r="F133" s="58"/>
      <c r="G133" s="59"/>
      <c r="H133" s="60"/>
      <c r="I133" s="48"/>
      <c r="J133" s="48"/>
      <c r="K133" s="49"/>
      <c r="L133" s="61"/>
      <c r="M133" s="61"/>
      <c r="N133" s="61"/>
    </row>
    <row r="134" spans="1:14" ht="21.75" customHeight="1" x14ac:dyDescent="0.4">
      <c r="A134" s="55"/>
      <c r="B134" s="56"/>
      <c r="C134" s="56"/>
      <c r="D134" s="62">
        <v>1</v>
      </c>
      <c r="E134" s="63" t="s">
        <v>26</v>
      </c>
      <c r="F134" s="64"/>
      <c r="G134" s="65"/>
      <c r="H134" s="66"/>
      <c r="I134" s="67"/>
      <c r="J134" s="68">
        <v>0</v>
      </c>
      <c r="K134" s="49"/>
      <c r="L134" s="61"/>
      <c r="M134" s="61"/>
      <c r="N134" s="61"/>
    </row>
    <row r="135" spans="1:14" ht="21.75" customHeight="1" x14ac:dyDescent="0.4">
      <c r="A135" s="55"/>
      <c r="B135" s="56"/>
      <c r="C135" s="56"/>
      <c r="D135" s="69">
        <v>2</v>
      </c>
      <c r="E135" s="70" t="s">
        <v>27</v>
      </c>
      <c r="F135" s="71"/>
      <c r="G135" s="72"/>
      <c r="H135" s="66"/>
      <c r="I135" s="67"/>
      <c r="J135" s="68">
        <v>1</v>
      </c>
      <c r="K135" s="49"/>
      <c r="L135" s="61" t="s">
        <v>21</v>
      </c>
      <c r="M135" s="61" t="s">
        <v>21</v>
      </c>
      <c r="N135" s="61"/>
    </row>
    <row r="136" spans="1:14" ht="21.75" customHeight="1" x14ac:dyDescent="0.4">
      <c r="A136" s="55"/>
      <c r="B136" s="56"/>
      <c r="C136" s="56"/>
      <c r="D136" s="73"/>
      <c r="E136" s="74" t="s">
        <v>28</v>
      </c>
      <c r="F136" s="75"/>
      <c r="G136" s="76"/>
      <c r="H136" s="66"/>
      <c r="I136" s="67"/>
      <c r="J136" s="68">
        <v>1</v>
      </c>
      <c r="K136" s="49"/>
      <c r="L136" s="61"/>
      <c r="M136" s="61"/>
      <c r="N136" s="61"/>
    </row>
    <row r="137" spans="1:14" ht="21.75" customHeight="1" x14ac:dyDescent="0.4">
      <c r="A137" s="55"/>
      <c r="B137" s="56"/>
      <c r="C137" s="56"/>
      <c r="D137" s="73"/>
      <c r="E137" s="74" t="s">
        <v>29</v>
      </c>
      <c r="F137" s="75"/>
      <c r="G137" s="76"/>
      <c r="H137" s="66"/>
      <c r="I137" s="67"/>
      <c r="J137" s="68">
        <v>1</v>
      </c>
      <c r="K137" s="49"/>
      <c r="L137" s="61"/>
      <c r="M137" s="61"/>
      <c r="N137" s="61"/>
    </row>
    <row r="138" spans="1:14" ht="21.75" customHeight="1" x14ac:dyDescent="0.4">
      <c r="A138" s="55"/>
      <c r="B138" s="56"/>
      <c r="C138" s="56"/>
      <c r="D138" s="73"/>
      <c r="E138" s="77"/>
      <c r="F138" s="75" t="s">
        <v>75</v>
      </c>
      <c r="G138" s="76"/>
      <c r="H138" s="60" t="s">
        <v>16</v>
      </c>
      <c r="I138" s="67">
        <f ca="1">IFERROR(__xludf.DUMMYFUNCTION("IMPORTRANGE(""https://docs.google.com/spreadsheets/d/1C3CXT74ZlgGe6_JY_1olB1XN4rF0dxEuIIF-xsYjHgg/edit?usp=sharing"",""พรบ!AS26"")"),40)</f>
        <v>40</v>
      </c>
      <c r="J138" s="68">
        <v>0</v>
      </c>
      <c r="K138" s="49">
        <f ca="1">IF(I138&gt;0,J138*100/I138,0)</f>
        <v>0</v>
      </c>
      <c r="L138" s="53">
        <f ca="1">IFERROR(__xludf.DUMMYFUNCTION("IMPORTRANGE(""https://docs.google.com/spreadsheets/d/1C3CXT74ZlgGe6_JY_1olB1XN4rF0dxEuIIF-xsYjHgg/edit?usp=sharing"",""กปร!H26"")"),98000)</f>
        <v>98000</v>
      </c>
      <c r="M138" s="359">
        <v>0</v>
      </c>
      <c r="N138" s="53">
        <f ca="1">+IF(L138&gt;0,M138*100/L138,0)</f>
        <v>0</v>
      </c>
    </row>
    <row r="139" spans="1:14" ht="21.75" customHeight="1" x14ac:dyDescent="0.4">
      <c r="A139" s="55"/>
      <c r="B139" s="56"/>
      <c r="C139" s="56"/>
      <c r="D139" s="73"/>
      <c r="E139" s="77"/>
      <c r="F139" s="74" t="s">
        <v>34</v>
      </c>
      <c r="G139" s="76"/>
      <c r="H139" s="60"/>
      <c r="I139" s="67"/>
      <c r="J139" s="67"/>
      <c r="K139" s="49"/>
      <c r="L139" s="61"/>
      <c r="M139" s="61"/>
      <c r="N139" s="61"/>
    </row>
    <row r="140" spans="1:14" ht="21.75" customHeight="1" x14ac:dyDescent="0.4">
      <c r="A140" s="55"/>
      <c r="B140" s="56"/>
      <c r="C140" s="56"/>
      <c r="D140" s="73"/>
      <c r="E140" s="77"/>
      <c r="F140" s="75"/>
      <c r="G140" s="99" t="s">
        <v>76</v>
      </c>
      <c r="H140" s="60" t="s">
        <v>16</v>
      </c>
      <c r="I140" s="67">
        <f ca="1">IFERROR(__xludf.DUMMYFUNCTION("IMPORTRANGE(""https://docs.google.com/spreadsheets/d/1C3CXT74ZlgGe6_JY_1olB1XN4rF0dxEuIIF-xsYjHgg/edit?usp=sharing"",""พรบ!AT26"")"),40)</f>
        <v>40</v>
      </c>
      <c r="J140" s="68">
        <v>0</v>
      </c>
      <c r="K140" s="49">
        <f t="shared" ref="K140:K141" ca="1" si="34">IF(I140&gt;0,J140*100/I140,0)</f>
        <v>0</v>
      </c>
      <c r="L140" s="53">
        <f ca="1">IFERROR(__xludf.DUMMYFUNCTION("IMPORTRANGE(""https://docs.google.com/spreadsheets/d/1C3CXT74ZlgGe6_JY_1olB1XN4rF0dxEuIIF-xsYjHgg/edit?usp=sharing"",""กปร!I26"")"),0)</f>
        <v>0</v>
      </c>
      <c r="M140" s="53">
        <v>0</v>
      </c>
      <c r="N140" s="53">
        <f t="shared" ref="N140:N141" ca="1" si="35">+IF(L140&gt;0,M140*100/L140,0)</f>
        <v>0</v>
      </c>
    </row>
    <row r="141" spans="1:14" ht="21.75" customHeight="1" x14ac:dyDescent="0.4">
      <c r="A141" s="55"/>
      <c r="B141" s="56"/>
      <c r="C141" s="56"/>
      <c r="D141" s="73"/>
      <c r="E141" s="77"/>
      <c r="F141" s="75"/>
      <c r="G141" s="99" t="s">
        <v>77</v>
      </c>
      <c r="H141" s="60" t="s">
        <v>40</v>
      </c>
      <c r="I141" s="67">
        <f ca="1">IFERROR(__xludf.DUMMYFUNCTION("IMPORTRANGE(""https://docs.google.com/spreadsheets/d/1C3CXT74ZlgGe6_JY_1olB1XN4rF0dxEuIIF-xsYjHgg/edit?usp=sharing"",""พรบ!AU26"")"),0)</f>
        <v>0</v>
      </c>
      <c r="J141" s="68">
        <v>0</v>
      </c>
      <c r="K141" s="49">
        <f t="shared" ca="1" si="34"/>
        <v>0</v>
      </c>
      <c r="L141" s="53">
        <f ca="1">IFERROR(__xludf.DUMMYFUNCTION("IMPORTRANGE(""https://docs.google.com/spreadsheets/d/1C3CXT74ZlgGe6_JY_1olB1XN4rF0dxEuIIF-xsYjHgg/edit?usp=sharing"",""กปร!J26"")"),40000)</f>
        <v>40000</v>
      </c>
      <c r="M141" s="359">
        <v>0</v>
      </c>
      <c r="N141" s="53">
        <f t="shared" ca="1" si="35"/>
        <v>0</v>
      </c>
    </row>
    <row r="142" spans="1:14" ht="21.75" customHeight="1" x14ac:dyDescent="0.4">
      <c r="A142" s="55"/>
      <c r="B142" s="56"/>
      <c r="C142" s="56"/>
      <c r="D142" s="73"/>
      <c r="E142" s="74" t="s">
        <v>35</v>
      </c>
      <c r="F142" s="75"/>
      <c r="G142" s="76"/>
      <c r="H142" s="66"/>
      <c r="I142" s="67"/>
      <c r="J142" s="68">
        <v>0</v>
      </c>
      <c r="K142" s="49"/>
      <c r="L142" s="61"/>
      <c r="M142" s="61"/>
      <c r="N142" s="61"/>
    </row>
    <row r="143" spans="1:14" ht="21.75" customHeight="1" x14ac:dyDescent="0.4">
      <c r="A143" s="105"/>
      <c r="B143" s="106"/>
      <c r="C143" s="106"/>
      <c r="D143" s="107">
        <v>3</v>
      </c>
      <c r="E143" s="108" t="s">
        <v>36</v>
      </c>
      <c r="F143" s="109"/>
      <c r="G143" s="110"/>
      <c r="H143" s="111"/>
      <c r="I143" s="112"/>
      <c r="J143" s="113">
        <v>0</v>
      </c>
      <c r="K143" s="114"/>
      <c r="L143" s="115"/>
      <c r="M143" s="115"/>
      <c r="N143" s="115"/>
    </row>
    <row r="144" spans="1:14" ht="21.75" customHeight="1" x14ac:dyDescent="0.4">
      <c r="A144" s="132"/>
      <c r="B144" s="133" t="s">
        <v>78</v>
      </c>
      <c r="C144" s="134"/>
      <c r="D144" s="133"/>
      <c r="E144" s="133"/>
      <c r="F144" s="133"/>
      <c r="G144" s="135"/>
      <c r="H144" s="136" t="s">
        <v>16</v>
      </c>
      <c r="I144" s="137">
        <f t="shared" ref="I144:J144" ca="1" si="36">+I149+I158</f>
        <v>15</v>
      </c>
      <c r="J144" s="137">
        <f t="shared" si="36"/>
        <v>0</v>
      </c>
      <c r="K144" s="138">
        <f ca="1">IF(I144&gt;0,J144*100/I144,0)</f>
        <v>0</v>
      </c>
      <c r="L144" s="139">
        <f ca="1">L145+L146</f>
        <v>21125</v>
      </c>
      <c r="M144" s="139">
        <f>SUM(M145:M146)</f>
        <v>0</v>
      </c>
      <c r="N144" s="138">
        <f ca="1">IF(L144&gt;0,M144*100/L144,0)</f>
        <v>0</v>
      </c>
    </row>
    <row r="145" spans="1:14" ht="21.75" customHeight="1" x14ac:dyDescent="0.4">
      <c r="A145" s="42"/>
      <c r="B145" s="43"/>
      <c r="C145" s="43" t="s">
        <v>17</v>
      </c>
      <c r="D145" s="44" t="s">
        <v>18</v>
      </c>
      <c r="E145" s="45"/>
      <c r="F145" s="45"/>
      <c r="G145" s="46" t="s">
        <v>19</v>
      </c>
      <c r="H145" s="47" t="s">
        <v>20</v>
      </c>
      <c r="I145" s="48" t="s">
        <v>21</v>
      </c>
      <c r="J145" s="48"/>
      <c r="K145" s="49"/>
      <c r="L145" s="50">
        <v>0</v>
      </c>
      <c r="M145" s="50">
        <v>0</v>
      </c>
      <c r="N145" s="50">
        <f t="shared" ref="N145:N148" si="37">+IF(L145&gt;0,M145*100/L145,0)</f>
        <v>0</v>
      </c>
    </row>
    <row r="146" spans="1:14" ht="21.75" customHeight="1" x14ac:dyDescent="0.4">
      <c r="A146" s="42"/>
      <c r="B146" s="43"/>
      <c r="C146" s="43"/>
      <c r="D146" s="51"/>
      <c r="E146" s="45"/>
      <c r="F146" s="45" t="s">
        <v>21</v>
      </c>
      <c r="G146" s="46" t="s">
        <v>22</v>
      </c>
      <c r="H146" s="47" t="s">
        <v>20</v>
      </c>
      <c r="I146" s="48"/>
      <c r="J146" s="48"/>
      <c r="K146" s="49"/>
      <c r="L146" s="50">
        <f t="shared" ref="L146:M146" ca="1" si="38">SUM(L147:L148)</f>
        <v>21125</v>
      </c>
      <c r="M146" s="50">
        <f t="shared" si="38"/>
        <v>0</v>
      </c>
      <c r="N146" s="50">
        <f t="shared" ca="1" si="37"/>
        <v>0</v>
      </c>
    </row>
    <row r="147" spans="1:14" ht="21.75" customHeight="1" x14ac:dyDescent="0.4">
      <c r="A147" s="42"/>
      <c r="B147" s="43"/>
      <c r="C147" s="43"/>
      <c r="D147" s="51"/>
      <c r="E147" s="45"/>
      <c r="F147" s="45"/>
      <c r="G147" s="52" t="s">
        <v>23</v>
      </c>
      <c r="H147" s="47" t="s">
        <v>20</v>
      </c>
      <c r="I147" s="48"/>
      <c r="J147" s="48"/>
      <c r="K147" s="49"/>
      <c r="L147" s="53">
        <v>0</v>
      </c>
      <c r="M147" s="53">
        <v>0</v>
      </c>
      <c r="N147" s="53">
        <f t="shared" si="37"/>
        <v>0</v>
      </c>
    </row>
    <row r="148" spans="1:14" ht="21.75" customHeight="1" x14ac:dyDescent="0.4">
      <c r="A148" s="42"/>
      <c r="B148" s="43"/>
      <c r="C148" s="43"/>
      <c r="D148" s="51"/>
      <c r="E148" s="45"/>
      <c r="F148" s="45"/>
      <c r="G148" s="52" t="s">
        <v>24</v>
      </c>
      <c r="H148" s="47" t="s">
        <v>20</v>
      </c>
      <c r="I148" s="48"/>
      <c r="J148" s="48"/>
      <c r="K148" s="49"/>
      <c r="L148" s="53">
        <f ca="1">IFERROR(__xludf.DUMMYFUNCTION("IMPORTRANGE(""https://docs.google.com/spreadsheets/d/1C3CXT74ZlgGe6_JY_1olB1XN4rF0dxEuIIF-xsYjHgg/edit?usp=sharing"",""พรบ!AY26"")"),21125)</f>
        <v>21125</v>
      </c>
      <c r="M148" s="54">
        <v>0</v>
      </c>
      <c r="N148" s="53">
        <f t="shared" ca="1" si="37"/>
        <v>0</v>
      </c>
    </row>
    <row r="149" spans="1:14" ht="21.75" customHeight="1" x14ac:dyDescent="0.4">
      <c r="A149" s="55"/>
      <c r="B149" s="155"/>
      <c r="C149" s="134" t="s">
        <v>79</v>
      </c>
      <c r="D149" s="133"/>
      <c r="E149" s="133"/>
      <c r="F149" s="133"/>
      <c r="G149" s="135"/>
      <c r="H149" s="136" t="s">
        <v>16</v>
      </c>
      <c r="I149" s="137">
        <f ca="1">I155</f>
        <v>15</v>
      </c>
      <c r="J149" s="137">
        <f>+J155</f>
        <v>0</v>
      </c>
      <c r="K149" s="138">
        <f ca="1">IF(I149&gt;0,J149*100/I149,0)</f>
        <v>0</v>
      </c>
      <c r="L149" s="140"/>
      <c r="M149" s="140"/>
      <c r="N149" s="140"/>
    </row>
    <row r="150" spans="1:14" ht="21.75" customHeight="1" x14ac:dyDescent="0.4">
      <c r="A150" s="55"/>
      <c r="B150" s="56"/>
      <c r="C150" s="43" t="s">
        <v>17</v>
      </c>
      <c r="D150" s="57" t="s">
        <v>25</v>
      </c>
      <c r="E150" s="58"/>
      <c r="F150" s="58"/>
      <c r="G150" s="59"/>
      <c r="H150" s="60"/>
      <c r="I150" s="48"/>
      <c r="J150" s="48"/>
      <c r="K150" s="49"/>
      <c r="L150" s="61"/>
      <c r="M150" s="61"/>
      <c r="N150" s="61"/>
    </row>
    <row r="151" spans="1:14" ht="21.75" customHeight="1" x14ac:dyDescent="0.4">
      <c r="A151" s="55"/>
      <c r="B151" s="56"/>
      <c r="C151" s="56"/>
      <c r="D151" s="62">
        <v>1</v>
      </c>
      <c r="E151" s="63" t="s">
        <v>26</v>
      </c>
      <c r="F151" s="64"/>
      <c r="G151" s="65"/>
      <c r="H151" s="66"/>
      <c r="I151" s="67"/>
      <c r="J151" s="68">
        <v>0</v>
      </c>
      <c r="K151" s="49"/>
      <c r="L151" s="61"/>
      <c r="M151" s="61"/>
      <c r="N151" s="61"/>
    </row>
    <row r="152" spans="1:14" ht="21.75" customHeight="1" x14ac:dyDescent="0.4">
      <c r="A152" s="55"/>
      <c r="B152" s="56"/>
      <c r="C152" s="56"/>
      <c r="D152" s="69">
        <v>2</v>
      </c>
      <c r="E152" s="70" t="s">
        <v>27</v>
      </c>
      <c r="F152" s="71"/>
      <c r="G152" s="72"/>
      <c r="H152" s="66"/>
      <c r="I152" s="67"/>
      <c r="J152" s="68">
        <v>1</v>
      </c>
      <c r="K152" s="49"/>
      <c r="L152" s="61" t="s">
        <v>21</v>
      </c>
      <c r="M152" s="61" t="s">
        <v>21</v>
      </c>
      <c r="N152" s="61"/>
    </row>
    <row r="153" spans="1:14" ht="21.75" customHeight="1" x14ac:dyDescent="0.4">
      <c r="A153" s="55"/>
      <c r="B153" s="56"/>
      <c r="C153" s="56"/>
      <c r="D153" s="73"/>
      <c r="E153" s="74" t="s">
        <v>28</v>
      </c>
      <c r="F153" s="75"/>
      <c r="G153" s="76"/>
      <c r="H153" s="66"/>
      <c r="I153" s="67"/>
      <c r="J153" s="68">
        <v>1</v>
      </c>
      <c r="K153" s="49"/>
      <c r="L153" s="61"/>
      <c r="M153" s="61"/>
      <c r="N153" s="61"/>
    </row>
    <row r="154" spans="1:14" ht="21.75" customHeight="1" x14ac:dyDescent="0.4">
      <c r="A154" s="55"/>
      <c r="B154" s="56"/>
      <c r="C154" s="56"/>
      <c r="D154" s="73"/>
      <c r="E154" s="74" t="s">
        <v>29</v>
      </c>
      <c r="F154" s="75"/>
      <c r="G154" s="76"/>
      <c r="H154" s="66"/>
      <c r="I154" s="67"/>
      <c r="J154" s="68">
        <v>1</v>
      </c>
      <c r="K154" s="49"/>
      <c r="L154" s="61"/>
      <c r="M154" s="61"/>
      <c r="N154" s="61"/>
    </row>
    <row r="155" spans="1:14" ht="21.75" customHeight="1" x14ac:dyDescent="0.4">
      <c r="A155" s="55"/>
      <c r="B155" s="56"/>
      <c r="C155" s="56"/>
      <c r="D155" s="73"/>
      <c r="E155" s="77"/>
      <c r="F155" s="75"/>
      <c r="G155" s="99" t="s">
        <v>50</v>
      </c>
      <c r="H155" s="66" t="s">
        <v>16</v>
      </c>
      <c r="I155" s="67">
        <f ca="1">IFERROR(__xludf.DUMMYFUNCTION("IMPORTRANGE(""https://docs.google.com/spreadsheets/d/1C3CXT74ZlgGe6_JY_1olB1XN4rF0dxEuIIF-xsYjHgg/edit?usp=sharing"",""พรบ!BA26"")"),15)</f>
        <v>15</v>
      </c>
      <c r="J155" s="68">
        <v>0</v>
      </c>
      <c r="K155" s="49">
        <f ca="1">IF(I155&gt;0,J155*100/I155,0)</f>
        <v>0</v>
      </c>
      <c r="L155" s="61"/>
      <c r="M155" s="61"/>
      <c r="N155" s="61"/>
    </row>
    <row r="156" spans="1:14" ht="21.75" customHeight="1" x14ac:dyDescent="0.4">
      <c r="A156" s="55"/>
      <c r="B156" s="56"/>
      <c r="C156" s="56"/>
      <c r="D156" s="73"/>
      <c r="E156" s="74" t="s">
        <v>35</v>
      </c>
      <c r="F156" s="75"/>
      <c r="G156" s="76"/>
      <c r="H156" s="66"/>
      <c r="I156" s="67"/>
      <c r="J156" s="68">
        <v>0</v>
      </c>
      <c r="K156" s="49"/>
      <c r="L156" s="61"/>
      <c r="M156" s="61"/>
      <c r="N156" s="61"/>
    </row>
    <row r="157" spans="1:14" ht="21.75" customHeight="1" x14ac:dyDescent="0.4">
      <c r="A157" s="55"/>
      <c r="B157" s="56"/>
      <c r="C157" s="56"/>
      <c r="D157" s="81">
        <v>3</v>
      </c>
      <c r="E157" s="82" t="s">
        <v>36</v>
      </c>
      <c r="F157" s="83"/>
      <c r="G157" s="84"/>
      <c r="H157" s="66"/>
      <c r="I157" s="67"/>
      <c r="J157" s="85">
        <v>0</v>
      </c>
      <c r="K157" s="49"/>
      <c r="L157" s="61"/>
      <c r="M157" s="61"/>
      <c r="N157" s="61"/>
    </row>
    <row r="158" spans="1:14" ht="21.75" customHeight="1" x14ac:dyDescent="0.4">
      <c r="A158" s="55"/>
      <c r="B158" s="56"/>
      <c r="C158" s="134" t="s">
        <v>81</v>
      </c>
      <c r="D158" s="156"/>
      <c r="E158" s="133"/>
      <c r="F158" s="133"/>
      <c r="G158" s="135"/>
      <c r="H158" s="136" t="s">
        <v>16</v>
      </c>
      <c r="I158" s="137">
        <f>I164</f>
        <v>0</v>
      </c>
      <c r="J158" s="137">
        <f>+J164</f>
        <v>0</v>
      </c>
      <c r="K158" s="138">
        <f>IF(I158&gt;0,J158*100/I158,0)</f>
        <v>0</v>
      </c>
      <c r="L158" s="61"/>
      <c r="M158" s="61"/>
      <c r="N158" s="61"/>
    </row>
    <row r="159" spans="1:14" ht="21.75" customHeight="1" x14ac:dyDescent="0.4">
      <c r="A159" s="55"/>
      <c r="B159" s="56"/>
      <c r="C159" s="43" t="s">
        <v>17</v>
      </c>
      <c r="D159" s="57" t="s">
        <v>25</v>
      </c>
      <c r="E159" s="58"/>
      <c r="F159" s="58"/>
      <c r="G159" s="59"/>
      <c r="H159" s="60"/>
      <c r="I159" s="48"/>
      <c r="J159" s="48"/>
      <c r="K159" s="49"/>
      <c r="L159" s="61"/>
      <c r="M159" s="61"/>
      <c r="N159" s="61"/>
    </row>
    <row r="160" spans="1:14" ht="21.75" customHeight="1" x14ac:dyDescent="0.4">
      <c r="A160" s="55"/>
      <c r="B160" s="56"/>
      <c r="C160" s="56"/>
      <c r="D160" s="62">
        <v>1</v>
      </c>
      <c r="E160" s="63" t="s">
        <v>26</v>
      </c>
      <c r="F160" s="64"/>
      <c r="G160" s="65"/>
      <c r="H160" s="66"/>
      <c r="I160" s="67"/>
      <c r="J160" s="67">
        <v>0</v>
      </c>
      <c r="K160" s="49"/>
      <c r="L160" s="61"/>
      <c r="M160" s="61"/>
      <c r="N160" s="61"/>
    </row>
    <row r="161" spans="1:14" ht="21.75" customHeight="1" x14ac:dyDescent="0.4">
      <c r="A161" s="55"/>
      <c r="B161" s="56"/>
      <c r="C161" s="56"/>
      <c r="D161" s="69">
        <v>2</v>
      </c>
      <c r="E161" s="70" t="s">
        <v>27</v>
      </c>
      <c r="F161" s="71"/>
      <c r="G161" s="72"/>
      <c r="H161" s="66"/>
      <c r="I161" s="67"/>
      <c r="J161" s="67">
        <v>0</v>
      </c>
      <c r="K161" s="49"/>
      <c r="L161" s="61" t="s">
        <v>21</v>
      </c>
      <c r="M161" s="61" t="s">
        <v>21</v>
      </c>
      <c r="N161" s="61"/>
    </row>
    <row r="162" spans="1:14" ht="21.75" customHeight="1" x14ac:dyDescent="0.4">
      <c r="A162" s="55"/>
      <c r="B162" s="56"/>
      <c r="C162" s="56"/>
      <c r="D162" s="73"/>
      <c r="E162" s="74" t="s">
        <v>28</v>
      </c>
      <c r="F162" s="75"/>
      <c r="G162" s="76"/>
      <c r="H162" s="66"/>
      <c r="I162" s="67"/>
      <c r="J162" s="67">
        <v>0</v>
      </c>
      <c r="K162" s="49"/>
      <c r="L162" s="61"/>
      <c r="M162" s="61"/>
      <c r="N162" s="61"/>
    </row>
    <row r="163" spans="1:14" ht="21.75" customHeight="1" x14ac:dyDescent="0.4">
      <c r="A163" s="55"/>
      <c r="B163" s="56"/>
      <c r="C163" s="56"/>
      <c r="D163" s="73"/>
      <c r="E163" s="74" t="s">
        <v>29</v>
      </c>
      <c r="F163" s="75"/>
      <c r="G163" s="76"/>
      <c r="H163" s="66"/>
      <c r="I163" s="67"/>
      <c r="J163" s="67">
        <v>0</v>
      </c>
      <c r="K163" s="49"/>
      <c r="L163" s="61"/>
      <c r="M163" s="61"/>
      <c r="N163" s="61"/>
    </row>
    <row r="164" spans="1:14" ht="21.75" customHeight="1" x14ac:dyDescent="0.4">
      <c r="A164" s="55"/>
      <c r="B164" s="56"/>
      <c r="C164" s="56"/>
      <c r="D164" s="73"/>
      <c r="E164" s="75"/>
      <c r="F164" s="74" t="s">
        <v>82</v>
      </c>
      <c r="G164" s="75"/>
      <c r="H164" s="66" t="s">
        <v>16</v>
      </c>
      <c r="I164" s="67">
        <v>0</v>
      </c>
      <c r="J164" s="67">
        <v>0</v>
      </c>
      <c r="K164" s="49">
        <f>IF(I164&gt;0,J164*100/I164,0)</f>
        <v>0</v>
      </c>
      <c r="L164" s="61"/>
      <c r="M164" s="61"/>
      <c r="N164" s="61"/>
    </row>
    <row r="165" spans="1:14" ht="21.75" customHeight="1" x14ac:dyDescent="0.4">
      <c r="A165" s="55"/>
      <c r="B165" s="56"/>
      <c r="C165" s="56"/>
      <c r="D165" s="73"/>
      <c r="E165" s="74" t="s">
        <v>35</v>
      </c>
      <c r="F165" s="75"/>
      <c r="G165" s="76"/>
      <c r="H165" s="66"/>
      <c r="I165" s="67"/>
      <c r="J165" s="67">
        <v>0</v>
      </c>
      <c r="K165" s="49"/>
      <c r="L165" s="61"/>
      <c r="M165" s="61"/>
      <c r="N165" s="61"/>
    </row>
    <row r="166" spans="1:14" ht="21.75" customHeight="1" x14ac:dyDescent="0.4">
      <c r="A166" s="105"/>
      <c r="B166" s="106"/>
      <c r="C166" s="106"/>
      <c r="D166" s="107">
        <v>3</v>
      </c>
      <c r="E166" s="108" t="s">
        <v>36</v>
      </c>
      <c r="F166" s="109"/>
      <c r="G166" s="110"/>
      <c r="H166" s="111"/>
      <c r="I166" s="112"/>
      <c r="J166" s="356">
        <v>0</v>
      </c>
      <c r="K166" s="114"/>
      <c r="L166" s="115"/>
      <c r="M166" s="115"/>
      <c r="N166" s="115"/>
    </row>
    <row r="167" spans="1:14" ht="21.75" customHeight="1" x14ac:dyDescent="0.4">
      <c r="A167" s="157" t="s">
        <v>83</v>
      </c>
      <c r="B167" s="158"/>
      <c r="C167" s="158"/>
      <c r="D167" s="158"/>
      <c r="E167" s="159"/>
      <c r="F167" s="159"/>
      <c r="G167" s="160"/>
      <c r="H167" s="161"/>
      <c r="I167" s="162"/>
      <c r="J167" s="162"/>
      <c r="K167" s="163"/>
      <c r="L167" s="164"/>
      <c r="M167" s="164"/>
      <c r="N167" s="165"/>
    </row>
    <row r="168" spans="1:14" ht="21.75" customHeight="1" x14ac:dyDescent="0.4">
      <c r="A168" s="166" t="s">
        <v>84</v>
      </c>
      <c r="B168" s="167"/>
      <c r="C168" s="167"/>
      <c r="D168" s="168"/>
      <c r="E168" s="168"/>
      <c r="F168" s="168"/>
      <c r="G168" s="169"/>
      <c r="H168" s="170"/>
      <c r="I168" s="171"/>
      <c r="J168" s="171"/>
      <c r="K168" s="172"/>
      <c r="L168" s="172"/>
      <c r="M168" s="172"/>
      <c r="N168" s="173"/>
    </row>
    <row r="169" spans="1:14" ht="21.75" customHeight="1" x14ac:dyDescent="0.4">
      <c r="A169" s="174"/>
      <c r="B169" s="175" t="s">
        <v>85</v>
      </c>
      <c r="C169" s="175"/>
      <c r="D169" s="175"/>
      <c r="E169" s="175"/>
      <c r="F169" s="175"/>
      <c r="G169" s="176"/>
      <c r="H169" s="177" t="s">
        <v>16</v>
      </c>
      <c r="I169" s="178">
        <f ca="1">I180</f>
        <v>20</v>
      </c>
      <c r="J169" s="178">
        <f>+J180</f>
        <v>0</v>
      </c>
      <c r="K169" s="179">
        <f ca="1">IF(I169&gt;0,J169*100/I169,0)</f>
        <v>0</v>
      </c>
      <c r="L169" s="180">
        <f ca="1">L170+L171</f>
        <v>71400</v>
      </c>
      <c r="M169" s="180">
        <f>SUM(M170:M171)</f>
        <v>0</v>
      </c>
      <c r="N169" s="179">
        <f ca="1">IF(L169&gt;0,M169*100/L169,0)</f>
        <v>0</v>
      </c>
    </row>
    <row r="170" spans="1:14" ht="21.75" customHeight="1" x14ac:dyDescent="0.4">
      <c r="A170" s="42"/>
      <c r="B170" s="43"/>
      <c r="C170" s="43" t="s">
        <v>17</v>
      </c>
      <c r="D170" s="44" t="s">
        <v>18</v>
      </c>
      <c r="E170" s="45"/>
      <c r="F170" s="45"/>
      <c r="G170" s="46" t="s">
        <v>19</v>
      </c>
      <c r="H170" s="47" t="s">
        <v>20</v>
      </c>
      <c r="I170" s="48" t="s">
        <v>21</v>
      </c>
      <c r="J170" s="48"/>
      <c r="K170" s="49"/>
      <c r="L170" s="50">
        <v>0</v>
      </c>
      <c r="M170" s="50">
        <v>0</v>
      </c>
      <c r="N170" s="50">
        <f t="shared" ref="N170:N173" si="39">+IF(L170&gt;0,M170*100/L170,0)</f>
        <v>0</v>
      </c>
    </row>
    <row r="171" spans="1:14" ht="21.75" customHeight="1" x14ac:dyDescent="0.4">
      <c r="A171" s="42"/>
      <c r="B171" s="43"/>
      <c r="C171" s="43"/>
      <c r="D171" s="51"/>
      <c r="E171" s="45"/>
      <c r="F171" s="45" t="s">
        <v>21</v>
      </c>
      <c r="G171" s="46" t="s">
        <v>22</v>
      </c>
      <c r="H171" s="47" t="s">
        <v>20</v>
      </c>
      <c r="I171" s="48"/>
      <c r="J171" s="48"/>
      <c r="K171" s="49"/>
      <c r="L171" s="50">
        <f t="shared" ref="L171:M171" ca="1" si="40">SUM(L172:L173)</f>
        <v>71400</v>
      </c>
      <c r="M171" s="50">
        <f t="shared" si="40"/>
        <v>0</v>
      </c>
      <c r="N171" s="50">
        <f t="shared" ca="1" si="39"/>
        <v>0</v>
      </c>
    </row>
    <row r="172" spans="1:14" ht="21.75" customHeight="1" x14ac:dyDescent="0.4">
      <c r="A172" s="42"/>
      <c r="B172" s="43"/>
      <c r="C172" s="43"/>
      <c r="D172" s="51"/>
      <c r="E172" s="45"/>
      <c r="F172" s="45"/>
      <c r="G172" s="52" t="s">
        <v>23</v>
      </c>
      <c r="H172" s="47" t="s">
        <v>20</v>
      </c>
      <c r="I172" s="48"/>
      <c r="J172" s="48"/>
      <c r="K172" s="49"/>
      <c r="L172" s="53">
        <f ca="1">IFERROR(__xludf.DUMMYFUNCTION("IMPORTRANGE(""https://docs.google.com/spreadsheets/d/1C3CXT74ZlgGe6_JY_1olB1XN4rF0dxEuIIF-xsYjHgg/edit?usp=sharing"",""พรบ!BD26"")"),0)</f>
        <v>0</v>
      </c>
      <c r="M172" s="53">
        <v>0</v>
      </c>
      <c r="N172" s="53">
        <f t="shared" ca="1" si="39"/>
        <v>0</v>
      </c>
    </row>
    <row r="173" spans="1:14" ht="21.75" customHeight="1" x14ac:dyDescent="0.4">
      <c r="A173" s="42"/>
      <c r="B173" s="43"/>
      <c r="C173" s="43"/>
      <c r="D173" s="51"/>
      <c r="E173" s="45"/>
      <c r="F173" s="45"/>
      <c r="G173" s="52" t="s">
        <v>24</v>
      </c>
      <c r="H173" s="47" t="s">
        <v>20</v>
      </c>
      <c r="I173" s="48"/>
      <c r="J173" s="48"/>
      <c r="K173" s="49"/>
      <c r="L173" s="53">
        <f ca="1">IFERROR(__xludf.DUMMYFUNCTION("IMPORTRANGE(""https://docs.google.com/spreadsheets/d/1C3CXT74ZlgGe6_JY_1olB1XN4rF0dxEuIIF-xsYjHgg/edit?usp=sharing"",""พรบ!BE26"")"),71400)</f>
        <v>71400</v>
      </c>
      <c r="M173" s="54">
        <v>0</v>
      </c>
      <c r="N173" s="53">
        <f t="shared" ca="1" si="39"/>
        <v>0</v>
      </c>
    </row>
    <row r="174" spans="1:14" ht="21.75" customHeight="1" x14ac:dyDescent="0.4">
      <c r="A174" s="55"/>
      <c r="B174" s="56"/>
      <c r="C174" s="43" t="s">
        <v>17</v>
      </c>
      <c r="D174" s="57" t="s">
        <v>25</v>
      </c>
      <c r="E174" s="58"/>
      <c r="F174" s="58"/>
      <c r="G174" s="59"/>
      <c r="H174" s="60"/>
      <c r="I174" s="48"/>
      <c r="J174" s="48"/>
      <c r="K174" s="49"/>
      <c r="L174" s="61"/>
      <c r="M174" s="61"/>
      <c r="N174" s="61"/>
    </row>
    <row r="175" spans="1:14" ht="21.75" customHeight="1" x14ac:dyDescent="0.4">
      <c r="A175" s="55"/>
      <c r="B175" s="56"/>
      <c r="C175" s="56"/>
      <c r="D175" s="62">
        <v>1</v>
      </c>
      <c r="E175" s="63" t="s">
        <v>26</v>
      </c>
      <c r="F175" s="64"/>
      <c r="G175" s="65"/>
      <c r="H175" s="66"/>
      <c r="I175" s="67"/>
      <c r="J175" s="68">
        <v>0</v>
      </c>
      <c r="K175" s="49"/>
      <c r="L175" s="61"/>
      <c r="M175" s="61"/>
      <c r="N175" s="61"/>
    </row>
    <row r="176" spans="1:14" ht="21.75" customHeight="1" x14ac:dyDescent="0.4">
      <c r="A176" s="55"/>
      <c r="B176" s="56"/>
      <c r="C176" s="56"/>
      <c r="D176" s="69">
        <v>2</v>
      </c>
      <c r="E176" s="70" t="s">
        <v>27</v>
      </c>
      <c r="F176" s="71"/>
      <c r="G176" s="72"/>
      <c r="H176" s="66"/>
      <c r="I176" s="67"/>
      <c r="J176" s="68">
        <v>1</v>
      </c>
      <c r="K176" s="49"/>
      <c r="L176" s="61" t="s">
        <v>21</v>
      </c>
      <c r="M176" s="61" t="s">
        <v>21</v>
      </c>
      <c r="N176" s="61"/>
    </row>
    <row r="177" spans="1:14" ht="21.75" customHeight="1" x14ac:dyDescent="0.4">
      <c r="A177" s="55"/>
      <c r="B177" s="56"/>
      <c r="C177" s="56"/>
      <c r="D177" s="73"/>
      <c r="E177" s="74" t="s">
        <v>28</v>
      </c>
      <c r="F177" s="75"/>
      <c r="G177" s="76"/>
      <c r="H177" s="66"/>
      <c r="I177" s="67"/>
      <c r="J177" s="68">
        <v>1</v>
      </c>
      <c r="K177" s="49"/>
      <c r="L177" s="61"/>
      <c r="M177" s="61"/>
      <c r="N177" s="61"/>
    </row>
    <row r="178" spans="1:14" ht="21.75" customHeight="1" x14ac:dyDescent="0.4">
      <c r="A178" s="55"/>
      <c r="B178" s="56"/>
      <c r="C178" s="56"/>
      <c r="D178" s="73"/>
      <c r="E178" s="74" t="s">
        <v>29</v>
      </c>
      <c r="F178" s="75"/>
      <c r="G178" s="76"/>
      <c r="H178" s="66"/>
      <c r="I178" s="67"/>
      <c r="J178" s="68">
        <v>1</v>
      </c>
      <c r="K178" s="49"/>
      <c r="L178" s="61"/>
      <c r="M178" s="61"/>
      <c r="N178" s="61"/>
    </row>
    <row r="179" spans="1:14" ht="21.75" customHeight="1" x14ac:dyDescent="0.4">
      <c r="A179" s="55"/>
      <c r="B179" s="56"/>
      <c r="C179" s="56"/>
      <c r="D179" s="73"/>
      <c r="E179" s="77"/>
      <c r="F179" s="74" t="s">
        <v>86</v>
      </c>
      <c r="G179" s="76"/>
      <c r="H179" s="60" t="s">
        <v>40</v>
      </c>
      <c r="I179" s="67">
        <f ca="1">IFERROR(__xludf.DUMMYFUNCTION("IMPORTRANGE(""https://docs.google.com/spreadsheets/d/1C3CXT74ZlgGe6_JY_1olB1XN4rF0dxEuIIF-xsYjHgg/edit?usp=sharing"",""พรบ!BF26"")"),1)</f>
        <v>1</v>
      </c>
      <c r="J179" s="68">
        <v>1</v>
      </c>
      <c r="K179" s="49">
        <f t="shared" ref="K179:K182" ca="1" si="41">IF(I179&gt;0,J179*100/I179,0)</f>
        <v>100</v>
      </c>
      <c r="L179" s="61"/>
      <c r="M179" s="61"/>
      <c r="N179" s="61"/>
    </row>
    <row r="180" spans="1:14" ht="21.75" customHeight="1" x14ac:dyDescent="0.4">
      <c r="A180" s="55"/>
      <c r="B180" s="56"/>
      <c r="C180" s="56"/>
      <c r="D180" s="73"/>
      <c r="E180" s="77"/>
      <c r="F180" s="74" t="s">
        <v>87</v>
      </c>
      <c r="G180" s="76"/>
      <c r="H180" s="60" t="s">
        <v>16</v>
      </c>
      <c r="I180" s="67">
        <f ca="1">IFERROR(__xludf.DUMMYFUNCTION("IMPORTRANGE(""https://docs.google.com/spreadsheets/d/1C3CXT74ZlgGe6_JY_1olB1XN4rF0dxEuIIF-xsYjHgg/edit?usp=sharing"",""พรบ!BG26"")"),20)</f>
        <v>20</v>
      </c>
      <c r="J180" s="68">
        <v>0</v>
      </c>
      <c r="K180" s="49">
        <f t="shared" ca="1" si="41"/>
        <v>0</v>
      </c>
      <c r="L180" s="61"/>
      <c r="M180" s="61"/>
      <c r="N180" s="61"/>
    </row>
    <row r="181" spans="1:14" ht="21.75" customHeight="1" x14ac:dyDescent="0.4">
      <c r="A181" s="55"/>
      <c r="B181" s="56"/>
      <c r="C181" s="56"/>
      <c r="D181" s="73"/>
      <c r="E181" s="77"/>
      <c r="F181" s="74" t="s">
        <v>88</v>
      </c>
      <c r="G181" s="76"/>
      <c r="H181" s="60" t="s">
        <v>16</v>
      </c>
      <c r="I181" s="67">
        <f ca="1">IFERROR(__xludf.DUMMYFUNCTION("IMPORTRANGE(""https://docs.google.com/spreadsheets/d/1C3CXT74ZlgGe6_JY_1olB1XN4rF0dxEuIIF-xsYjHgg/edit?usp=sharing"",""พรบ!BH26"")"),20)</f>
        <v>20</v>
      </c>
      <c r="J181" s="68">
        <v>0</v>
      </c>
      <c r="K181" s="49">
        <f t="shared" ca="1" si="41"/>
        <v>0</v>
      </c>
      <c r="L181" s="61"/>
      <c r="M181" s="61"/>
      <c r="N181" s="61"/>
    </row>
    <row r="182" spans="1:14" ht="21.75" customHeight="1" x14ac:dyDescent="0.4">
      <c r="A182" s="55"/>
      <c r="B182" s="56"/>
      <c r="C182" s="56"/>
      <c r="D182" s="73"/>
      <c r="E182" s="77"/>
      <c r="F182" s="74" t="s">
        <v>89</v>
      </c>
      <c r="G182" s="76"/>
      <c r="H182" s="60" t="s">
        <v>16</v>
      </c>
      <c r="I182" s="67">
        <f ca="1">IFERROR(__xludf.DUMMYFUNCTION("IMPORTRANGE(""https://docs.google.com/spreadsheets/d/1C3CXT74ZlgGe6_JY_1olB1XN4rF0dxEuIIF-xsYjHgg/edit?usp=sharing"",""พรบ!BI26"")"),1)</f>
        <v>1</v>
      </c>
      <c r="J182" s="68">
        <v>1</v>
      </c>
      <c r="K182" s="49">
        <f t="shared" ca="1" si="41"/>
        <v>100</v>
      </c>
      <c r="L182" s="61"/>
      <c r="M182" s="61"/>
      <c r="N182" s="61"/>
    </row>
    <row r="183" spans="1:14" ht="21.75" customHeight="1" x14ac:dyDescent="0.4">
      <c r="A183" s="55"/>
      <c r="B183" s="56"/>
      <c r="C183" s="56"/>
      <c r="D183" s="73"/>
      <c r="E183" s="74" t="s">
        <v>35</v>
      </c>
      <c r="F183" s="75"/>
      <c r="G183" s="76"/>
      <c r="H183" s="66"/>
      <c r="I183" s="67"/>
      <c r="J183" s="68">
        <v>0</v>
      </c>
      <c r="K183" s="49"/>
      <c r="L183" s="61"/>
      <c r="M183" s="61"/>
      <c r="N183" s="61"/>
    </row>
    <row r="184" spans="1:14" ht="21.75" customHeight="1" x14ac:dyDescent="0.4">
      <c r="A184" s="105"/>
      <c r="B184" s="106"/>
      <c r="C184" s="106"/>
      <c r="D184" s="107">
        <v>3</v>
      </c>
      <c r="E184" s="108" t="s">
        <v>36</v>
      </c>
      <c r="F184" s="109"/>
      <c r="G184" s="110"/>
      <c r="H184" s="111"/>
      <c r="I184" s="112"/>
      <c r="J184" s="113">
        <v>0</v>
      </c>
      <c r="K184" s="114"/>
      <c r="L184" s="115"/>
      <c r="M184" s="115"/>
      <c r="N184" s="115"/>
    </row>
    <row r="185" spans="1:14" ht="21.75" customHeight="1" x14ac:dyDescent="0.4">
      <c r="A185" s="174"/>
      <c r="B185" s="175" t="s">
        <v>90</v>
      </c>
      <c r="C185" s="175"/>
      <c r="D185" s="175"/>
      <c r="E185" s="175"/>
      <c r="F185" s="175"/>
      <c r="G185" s="176"/>
      <c r="H185" s="177" t="s">
        <v>16</v>
      </c>
      <c r="I185" s="178">
        <f ca="1">I195</f>
        <v>20</v>
      </c>
      <c r="J185" s="178">
        <f>+J195</f>
        <v>0</v>
      </c>
      <c r="K185" s="179">
        <f ca="1">IF(I185&gt;0,J185*100/I185,0)</f>
        <v>0</v>
      </c>
      <c r="L185" s="180">
        <f ca="1">L186+L187</f>
        <v>183600</v>
      </c>
      <c r="M185" s="180">
        <f>SUM(M186:M187)</f>
        <v>0</v>
      </c>
      <c r="N185" s="179">
        <f ca="1">IF(L185&gt;0,M185*100/L185,0)</f>
        <v>0</v>
      </c>
    </row>
    <row r="186" spans="1:14" ht="21.75" customHeight="1" x14ac:dyDescent="0.4">
      <c r="A186" s="42"/>
      <c r="B186" s="43"/>
      <c r="C186" s="43" t="s">
        <v>17</v>
      </c>
      <c r="D186" s="44" t="s">
        <v>18</v>
      </c>
      <c r="E186" s="45"/>
      <c r="F186" s="45"/>
      <c r="G186" s="46" t="s">
        <v>19</v>
      </c>
      <c r="H186" s="47" t="s">
        <v>20</v>
      </c>
      <c r="I186" s="48" t="s">
        <v>21</v>
      </c>
      <c r="J186" s="48"/>
      <c r="K186" s="49"/>
      <c r="L186" s="50">
        <v>0</v>
      </c>
      <c r="M186" s="50">
        <v>0</v>
      </c>
      <c r="N186" s="50">
        <f t="shared" ref="N186:N189" si="42">+IF(L186&gt;0,M186*100/L186,0)</f>
        <v>0</v>
      </c>
    </row>
    <row r="187" spans="1:14" ht="21.75" customHeight="1" x14ac:dyDescent="0.4">
      <c r="A187" s="42"/>
      <c r="B187" s="43"/>
      <c r="C187" s="43"/>
      <c r="D187" s="51"/>
      <c r="E187" s="45"/>
      <c r="F187" s="45" t="s">
        <v>21</v>
      </c>
      <c r="G187" s="46" t="s">
        <v>22</v>
      </c>
      <c r="H187" s="47" t="s">
        <v>20</v>
      </c>
      <c r="I187" s="48"/>
      <c r="J187" s="48"/>
      <c r="K187" s="49"/>
      <c r="L187" s="50">
        <f t="shared" ref="L187:M187" ca="1" si="43">SUM(L188:L189)</f>
        <v>183600</v>
      </c>
      <c r="M187" s="50">
        <f t="shared" si="43"/>
        <v>0</v>
      </c>
      <c r="N187" s="50">
        <f t="shared" ca="1" si="42"/>
        <v>0</v>
      </c>
    </row>
    <row r="188" spans="1:14" ht="21.75" customHeight="1" x14ac:dyDescent="0.4">
      <c r="A188" s="42"/>
      <c r="B188" s="43"/>
      <c r="C188" s="43"/>
      <c r="D188" s="51"/>
      <c r="E188" s="45"/>
      <c r="F188" s="45"/>
      <c r="G188" s="52" t="s">
        <v>23</v>
      </c>
      <c r="H188" s="47" t="s">
        <v>20</v>
      </c>
      <c r="I188" s="48"/>
      <c r="J188" s="48"/>
      <c r="K188" s="49"/>
      <c r="L188" s="53">
        <f ca="1">IFERROR(__xludf.DUMMYFUNCTION("IMPORTRANGE(""https://docs.google.com/spreadsheets/d/1C3CXT74ZlgGe6_JY_1olB1XN4rF0dxEuIIF-xsYjHgg/edit?usp=sharing"",""พรบ!BK26"")"),0)</f>
        <v>0</v>
      </c>
      <c r="M188" s="53">
        <v>0</v>
      </c>
      <c r="N188" s="53">
        <f t="shared" ca="1" si="42"/>
        <v>0</v>
      </c>
    </row>
    <row r="189" spans="1:14" ht="21.75" customHeight="1" x14ac:dyDescent="0.4">
      <c r="A189" s="42"/>
      <c r="B189" s="43"/>
      <c r="C189" s="43"/>
      <c r="D189" s="51"/>
      <c r="E189" s="45"/>
      <c r="F189" s="45"/>
      <c r="G189" s="52" t="s">
        <v>24</v>
      </c>
      <c r="H189" s="47" t="s">
        <v>20</v>
      </c>
      <c r="I189" s="48"/>
      <c r="J189" s="48"/>
      <c r="K189" s="49"/>
      <c r="L189" s="53">
        <f ca="1">IFERROR(__xludf.DUMMYFUNCTION("IMPORTRANGE(""https://docs.google.com/spreadsheets/d/1C3CXT74ZlgGe6_JY_1olB1XN4rF0dxEuIIF-xsYjHgg/edit?usp=sharing"",""พรบ!BL26"")"),183600)</f>
        <v>183600</v>
      </c>
      <c r="M189" s="54">
        <v>0</v>
      </c>
      <c r="N189" s="53">
        <f t="shared" ca="1" si="42"/>
        <v>0</v>
      </c>
    </row>
    <row r="190" spans="1:14" ht="21.75" customHeight="1" x14ac:dyDescent="0.4">
      <c r="A190" s="55"/>
      <c r="B190" s="56"/>
      <c r="C190" s="43" t="s">
        <v>17</v>
      </c>
      <c r="D190" s="57" t="s">
        <v>25</v>
      </c>
      <c r="E190" s="58"/>
      <c r="F190" s="58"/>
      <c r="G190" s="59"/>
      <c r="H190" s="60"/>
      <c r="I190" s="48"/>
      <c r="J190" s="48"/>
      <c r="K190" s="49"/>
      <c r="L190" s="61"/>
      <c r="M190" s="61"/>
      <c r="N190" s="61"/>
    </row>
    <row r="191" spans="1:14" ht="21.75" customHeight="1" x14ac:dyDescent="0.4">
      <c r="A191" s="55"/>
      <c r="B191" s="56"/>
      <c r="C191" s="56"/>
      <c r="D191" s="62">
        <v>1</v>
      </c>
      <c r="E191" s="63" t="s">
        <v>26</v>
      </c>
      <c r="F191" s="64"/>
      <c r="G191" s="65"/>
      <c r="H191" s="66"/>
      <c r="I191" s="67"/>
      <c r="J191" s="68">
        <v>0</v>
      </c>
      <c r="K191" s="49"/>
      <c r="L191" s="61"/>
      <c r="M191" s="61"/>
      <c r="N191" s="61"/>
    </row>
    <row r="192" spans="1:14" ht="21.75" customHeight="1" x14ac:dyDescent="0.4">
      <c r="A192" s="55"/>
      <c r="B192" s="56"/>
      <c r="C192" s="56"/>
      <c r="D192" s="69">
        <v>2</v>
      </c>
      <c r="E192" s="70" t="s">
        <v>27</v>
      </c>
      <c r="F192" s="71"/>
      <c r="G192" s="72"/>
      <c r="H192" s="66"/>
      <c r="I192" s="67"/>
      <c r="J192" s="68">
        <v>1</v>
      </c>
      <c r="K192" s="49"/>
      <c r="L192" s="61"/>
      <c r="M192" s="61"/>
      <c r="N192" s="61"/>
    </row>
    <row r="193" spans="1:14" ht="21.75" customHeight="1" x14ac:dyDescent="0.4">
      <c r="A193" s="55"/>
      <c r="B193" s="56"/>
      <c r="C193" s="56"/>
      <c r="D193" s="73"/>
      <c r="E193" s="74" t="s">
        <v>28</v>
      </c>
      <c r="F193" s="75"/>
      <c r="G193" s="76"/>
      <c r="H193" s="66"/>
      <c r="I193" s="67"/>
      <c r="J193" s="68">
        <v>1</v>
      </c>
      <c r="K193" s="49"/>
      <c r="L193" s="61"/>
      <c r="M193" s="61"/>
      <c r="N193" s="61"/>
    </row>
    <row r="194" spans="1:14" ht="21.75" customHeight="1" x14ac:dyDescent="0.4">
      <c r="A194" s="55"/>
      <c r="B194" s="56"/>
      <c r="C194" s="56"/>
      <c r="D194" s="73"/>
      <c r="E194" s="74" t="s">
        <v>29</v>
      </c>
      <c r="F194" s="75"/>
      <c r="G194" s="76"/>
      <c r="H194" s="66"/>
      <c r="I194" s="67"/>
      <c r="J194" s="68">
        <v>1</v>
      </c>
      <c r="K194" s="49"/>
      <c r="L194" s="61"/>
      <c r="M194" s="61"/>
      <c r="N194" s="61"/>
    </row>
    <row r="195" spans="1:14" ht="21.75" customHeight="1" x14ac:dyDescent="0.4">
      <c r="A195" s="55"/>
      <c r="B195" s="56"/>
      <c r="C195" s="56"/>
      <c r="D195" s="73"/>
      <c r="E195" s="75"/>
      <c r="F195" s="74" t="s">
        <v>91</v>
      </c>
      <c r="G195" s="76"/>
      <c r="H195" s="66" t="s">
        <v>16</v>
      </c>
      <c r="I195" s="67">
        <f ca="1">IFERROR(__xludf.DUMMYFUNCTION("IMPORTRANGE(""https://docs.google.com/spreadsheets/d/1C3CXT74ZlgGe6_JY_1olB1XN4rF0dxEuIIF-xsYjHgg/edit?usp=sharing"",""พรบ!BM26"")"),20)</f>
        <v>20</v>
      </c>
      <c r="J195" s="68">
        <v>0</v>
      </c>
      <c r="K195" s="49">
        <f ca="1">IF(I195&gt;0,J195*100/I195,0)</f>
        <v>0</v>
      </c>
      <c r="L195" s="61"/>
      <c r="M195" s="61"/>
      <c r="N195" s="61"/>
    </row>
    <row r="196" spans="1:14" ht="21.75" customHeight="1" x14ac:dyDescent="0.4">
      <c r="A196" s="55"/>
      <c r="B196" s="56"/>
      <c r="C196" s="56"/>
      <c r="D196" s="73"/>
      <c r="E196" s="74" t="s">
        <v>35</v>
      </c>
      <c r="F196" s="75"/>
      <c r="G196" s="76"/>
      <c r="H196" s="66"/>
      <c r="I196" s="67"/>
      <c r="J196" s="68">
        <v>0</v>
      </c>
      <c r="K196" s="49"/>
      <c r="L196" s="61"/>
      <c r="M196" s="61"/>
      <c r="N196" s="61"/>
    </row>
    <row r="197" spans="1:14" ht="21.75" customHeight="1" x14ac:dyDescent="0.4">
      <c r="A197" s="55"/>
      <c r="B197" s="56"/>
      <c r="C197" s="56"/>
      <c r="D197" s="81">
        <v>3</v>
      </c>
      <c r="E197" s="82" t="s">
        <v>36</v>
      </c>
      <c r="F197" s="83"/>
      <c r="G197" s="84"/>
      <c r="H197" s="66"/>
      <c r="I197" s="67"/>
      <c r="J197" s="85">
        <v>0</v>
      </c>
      <c r="K197" s="49"/>
      <c r="L197" s="61"/>
      <c r="M197" s="61"/>
      <c r="N197" s="61"/>
    </row>
    <row r="198" spans="1:14" ht="21.75" customHeight="1" x14ac:dyDescent="0.4">
      <c r="A198" s="166" t="s">
        <v>92</v>
      </c>
      <c r="B198" s="167"/>
      <c r="C198" s="167"/>
      <c r="D198" s="168"/>
      <c r="E198" s="167"/>
      <c r="F198" s="167"/>
      <c r="G198" s="181"/>
      <c r="H198" s="182"/>
      <c r="I198" s="183"/>
      <c r="J198" s="183"/>
      <c r="K198" s="184"/>
      <c r="L198" s="184"/>
      <c r="M198" s="184"/>
      <c r="N198" s="173"/>
    </row>
    <row r="199" spans="1:14" ht="21.75" customHeight="1" x14ac:dyDescent="0.4">
      <c r="A199" s="185"/>
      <c r="B199" s="175" t="s">
        <v>93</v>
      </c>
      <c r="C199" s="186"/>
      <c r="D199" s="187"/>
      <c r="E199" s="175"/>
      <c r="F199" s="175"/>
      <c r="G199" s="176"/>
      <c r="H199" s="177" t="s">
        <v>16</v>
      </c>
      <c r="I199" s="178">
        <f t="shared" ref="I199:J199" ca="1" si="44">I209</f>
        <v>0</v>
      </c>
      <c r="J199" s="178">
        <f t="shared" si="44"/>
        <v>0</v>
      </c>
      <c r="K199" s="179">
        <f ca="1">IF(I199&gt;0,J199*100/I199,0)</f>
        <v>0</v>
      </c>
      <c r="L199" s="180">
        <f ca="1">L200+L201</f>
        <v>0</v>
      </c>
      <c r="M199" s="180">
        <f>SUM(M200:M201)</f>
        <v>0</v>
      </c>
      <c r="N199" s="179">
        <f ca="1">IF(L199&gt;0,M199*100/L199,0)</f>
        <v>0</v>
      </c>
    </row>
    <row r="200" spans="1:14" ht="21.75" customHeight="1" x14ac:dyDescent="0.4">
      <c r="A200" s="42"/>
      <c r="B200" s="43"/>
      <c r="C200" s="43" t="s">
        <v>17</v>
      </c>
      <c r="D200" s="44" t="s">
        <v>18</v>
      </c>
      <c r="E200" s="45"/>
      <c r="F200" s="45"/>
      <c r="G200" s="46" t="s">
        <v>19</v>
      </c>
      <c r="H200" s="47" t="s">
        <v>20</v>
      </c>
      <c r="I200" s="48" t="s">
        <v>21</v>
      </c>
      <c r="J200" s="48"/>
      <c r="K200" s="49"/>
      <c r="L200" s="50">
        <v>0</v>
      </c>
      <c r="M200" s="50">
        <v>0</v>
      </c>
      <c r="N200" s="50">
        <f t="shared" ref="N200:N203" si="45">+IF(L200&gt;0,M200*100/L200,0)</f>
        <v>0</v>
      </c>
    </row>
    <row r="201" spans="1:14" ht="21.75" customHeight="1" x14ac:dyDescent="0.4">
      <c r="A201" s="42"/>
      <c r="B201" s="43"/>
      <c r="C201" s="43"/>
      <c r="D201" s="51"/>
      <c r="E201" s="45"/>
      <c r="F201" s="45" t="s">
        <v>21</v>
      </c>
      <c r="G201" s="46" t="s">
        <v>22</v>
      </c>
      <c r="H201" s="47" t="s">
        <v>20</v>
      </c>
      <c r="I201" s="48"/>
      <c r="J201" s="48"/>
      <c r="K201" s="49"/>
      <c r="L201" s="50">
        <f t="shared" ref="L201:M201" ca="1" si="46">SUM(L202:L203)</f>
        <v>0</v>
      </c>
      <c r="M201" s="50">
        <f t="shared" si="46"/>
        <v>0</v>
      </c>
      <c r="N201" s="50">
        <f t="shared" ca="1" si="45"/>
        <v>0</v>
      </c>
    </row>
    <row r="202" spans="1:14" ht="21.75" customHeight="1" x14ac:dyDescent="0.4">
      <c r="A202" s="42"/>
      <c r="B202" s="43"/>
      <c r="C202" s="43"/>
      <c r="D202" s="51"/>
      <c r="E202" s="45"/>
      <c r="F202" s="45"/>
      <c r="G202" s="52" t="s">
        <v>23</v>
      </c>
      <c r="H202" s="47" t="s">
        <v>20</v>
      </c>
      <c r="I202" s="48"/>
      <c r="J202" s="67"/>
      <c r="K202" s="233"/>
      <c r="L202" s="53">
        <v>0</v>
      </c>
      <c r="M202" s="53">
        <v>0</v>
      </c>
      <c r="N202" s="53">
        <f t="shared" si="45"/>
        <v>0</v>
      </c>
    </row>
    <row r="203" spans="1:14" ht="21.75" customHeight="1" x14ac:dyDescent="0.4">
      <c r="A203" s="42"/>
      <c r="B203" s="43"/>
      <c r="C203" s="43"/>
      <c r="D203" s="51"/>
      <c r="E203" s="45"/>
      <c r="F203" s="45"/>
      <c r="G203" s="52" t="s">
        <v>24</v>
      </c>
      <c r="H203" s="47" t="s">
        <v>20</v>
      </c>
      <c r="I203" s="48"/>
      <c r="J203" s="67"/>
      <c r="K203" s="233"/>
      <c r="L203" s="53">
        <f ca="1">IFERROR(__xludf.DUMMYFUNCTION("IMPORTRANGE(""https://docs.google.com/spreadsheets/d/1C3CXT74ZlgGe6_JY_1olB1XN4rF0dxEuIIF-xsYjHgg/edit?usp=sharing"",""พรบ!BP26"")"),0)</f>
        <v>0</v>
      </c>
      <c r="M203" s="53">
        <v>0</v>
      </c>
      <c r="N203" s="53">
        <f t="shared" ca="1" si="45"/>
        <v>0</v>
      </c>
    </row>
    <row r="204" spans="1:14" ht="21.75" customHeight="1" x14ac:dyDescent="0.4">
      <c r="A204" s="55"/>
      <c r="B204" s="56"/>
      <c r="C204" s="43" t="s">
        <v>17</v>
      </c>
      <c r="D204" s="57" t="s">
        <v>25</v>
      </c>
      <c r="E204" s="58"/>
      <c r="F204" s="58"/>
      <c r="G204" s="59"/>
      <c r="H204" s="60"/>
      <c r="I204" s="48"/>
      <c r="J204" s="67"/>
      <c r="K204" s="233"/>
      <c r="L204" s="53"/>
      <c r="M204" s="53"/>
      <c r="N204" s="61"/>
    </row>
    <row r="205" spans="1:14" ht="21.75" customHeight="1" x14ac:dyDescent="0.4">
      <c r="A205" s="55"/>
      <c r="B205" s="56"/>
      <c r="C205" s="56"/>
      <c r="D205" s="62">
        <v>1</v>
      </c>
      <c r="E205" s="63" t="s">
        <v>26</v>
      </c>
      <c r="F205" s="64"/>
      <c r="G205" s="65"/>
      <c r="H205" s="66"/>
      <c r="I205" s="67"/>
      <c r="J205" s="67">
        <v>0</v>
      </c>
      <c r="K205" s="233"/>
      <c r="L205" s="53"/>
      <c r="M205" s="53"/>
      <c r="N205" s="61"/>
    </row>
    <row r="206" spans="1:14" ht="21.75" customHeight="1" x14ac:dyDescent="0.4">
      <c r="A206" s="55"/>
      <c r="B206" s="56"/>
      <c r="C206" s="56"/>
      <c r="D206" s="69">
        <v>2</v>
      </c>
      <c r="E206" s="70" t="s">
        <v>27</v>
      </c>
      <c r="F206" s="71"/>
      <c r="G206" s="72"/>
      <c r="H206" s="66"/>
      <c r="I206" s="67"/>
      <c r="J206" s="67">
        <v>0</v>
      </c>
      <c r="K206" s="233"/>
      <c r="L206" s="53" t="s">
        <v>21</v>
      </c>
      <c r="M206" s="53" t="s">
        <v>21</v>
      </c>
      <c r="N206" s="61"/>
    </row>
    <row r="207" spans="1:14" ht="21.75" customHeight="1" x14ac:dyDescent="0.4">
      <c r="A207" s="55"/>
      <c r="B207" s="56"/>
      <c r="C207" s="56"/>
      <c r="D207" s="73"/>
      <c r="E207" s="74" t="s">
        <v>28</v>
      </c>
      <c r="F207" s="75"/>
      <c r="G207" s="76"/>
      <c r="H207" s="66"/>
      <c r="I207" s="67"/>
      <c r="J207" s="67">
        <v>0</v>
      </c>
      <c r="K207" s="233"/>
      <c r="L207" s="53"/>
      <c r="M207" s="53"/>
      <c r="N207" s="61"/>
    </row>
    <row r="208" spans="1:14" ht="21.75" customHeight="1" x14ac:dyDescent="0.4">
      <c r="A208" s="55"/>
      <c r="B208" s="56"/>
      <c r="C208" s="56"/>
      <c r="D208" s="73"/>
      <c r="E208" s="74" t="s">
        <v>29</v>
      </c>
      <c r="F208" s="75"/>
      <c r="G208" s="76"/>
      <c r="H208" s="66"/>
      <c r="I208" s="67"/>
      <c r="J208" s="67">
        <v>0</v>
      </c>
      <c r="K208" s="233"/>
      <c r="L208" s="53"/>
      <c r="M208" s="53"/>
      <c r="N208" s="61"/>
    </row>
    <row r="209" spans="1:14" ht="21.75" customHeight="1" x14ac:dyDescent="0.4">
      <c r="A209" s="55"/>
      <c r="B209" s="56"/>
      <c r="C209" s="56"/>
      <c r="D209" s="73"/>
      <c r="E209" s="77"/>
      <c r="F209" s="74" t="s">
        <v>94</v>
      </c>
      <c r="G209" s="76"/>
      <c r="H209" s="60" t="s">
        <v>16</v>
      </c>
      <c r="I209" s="67">
        <f ca="1">IFERROR(__xludf.DUMMYFUNCTION("IMPORTRANGE(""https://docs.google.com/spreadsheets/d/1C3CXT74ZlgGe6_JY_1olB1XN4rF0dxEuIIF-xsYjHgg/edit?usp=sharing"",""พรบ!BQ26"")"),0)</f>
        <v>0</v>
      </c>
      <c r="J209" s="67">
        <v>0</v>
      </c>
      <c r="K209" s="233">
        <f ca="1">IF(I209&gt;0,J209*100/I209,0)</f>
        <v>0</v>
      </c>
      <c r="L209" s="53"/>
      <c r="M209" s="53"/>
      <c r="N209" s="61"/>
    </row>
    <row r="210" spans="1:14" ht="21.75" customHeight="1" x14ac:dyDescent="0.4">
      <c r="A210" s="55"/>
      <c r="B210" s="56"/>
      <c r="C210" s="56"/>
      <c r="D210" s="73"/>
      <c r="E210" s="77"/>
      <c r="F210" s="74" t="s">
        <v>95</v>
      </c>
      <c r="G210" s="76"/>
      <c r="H210" s="60"/>
      <c r="I210" s="67"/>
      <c r="J210" s="67"/>
      <c r="K210" s="233"/>
      <c r="L210" s="53"/>
      <c r="M210" s="53"/>
      <c r="N210" s="61"/>
    </row>
    <row r="211" spans="1:14" ht="21.75" customHeight="1" x14ac:dyDescent="0.4">
      <c r="A211" s="55"/>
      <c r="B211" s="56"/>
      <c r="C211" s="56"/>
      <c r="D211" s="73"/>
      <c r="E211" s="77"/>
      <c r="F211" s="75" t="s">
        <v>34</v>
      </c>
      <c r="G211" s="76"/>
      <c r="H211" s="60" t="s">
        <v>16</v>
      </c>
      <c r="I211" s="67">
        <f ca="1">IFERROR(__xludf.DUMMYFUNCTION("IMPORTRANGE(""https://docs.google.com/spreadsheets/d/1C3CXT74ZlgGe6_JY_1olB1XN4rF0dxEuIIF-xsYjHgg/edit?usp=sharing"",""พรบ!BR26"")"),0)</f>
        <v>0</v>
      </c>
      <c r="J211" s="67">
        <v>0</v>
      </c>
      <c r="K211" s="233">
        <f ca="1">IF(I211&gt;0,J211*100/I211,0)</f>
        <v>0</v>
      </c>
      <c r="L211" s="53"/>
      <c r="M211" s="53"/>
      <c r="N211" s="61"/>
    </row>
    <row r="212" spans="1:14" ht="21.75" customHeight="1" x14ac:dyDescent="0.4">
      <c r="A212" s="55"/>
      <c r="B212" s="56"/>
      <c r="C212" s="56"/>
      <c r="D212" s="73"/>
      <c r="E212" s="74" t="s">
        <v>35</v>
      </c>
      <c r="F212" s="75"/>
      <c r="G212" s="76"/>
      <c r="H212" s="66"/>
      <c r="I212" s="67"/>
      <c r="J212" s="67">
        <v>0</v>
      </c>
      <c r="K212" s="233"/>
      <c r="L212" s="53"/>
      <c r="M212" s="53"/>
      <c r="N212" s="61"/>
    </row>
    <row r="213" spans="1:14" ht="21.75" customHeight="1" x14ac:dyDescent="0.4">
      <c r="A213" s="55"/>
      <c r="B213" s="56"/>
      <c r="C213" s="56"/>
      <c r="D213" s="81">
        <v>3</v>
      </c>
      <c r="E213" s="82" t="s">
        <v>36</v>
      </c>
      <c r="F213" s="83"/>
      <c r="G213" s="84"/>
      <c r="H213" s="66"/>
      <c r="I213" s="67"/>
      <c r="J213" s="385">
        <v>0</v>
      </c>
      <c r="K213" s="233"/>
      <c r="L213" s="53"/>
      <c r="M213" s="53"/>
      <c r="N213" s="61"/>
    </row>
    <row r="214" spans="1:14" ht="21.75" customHeight="1" x14ac:dyDescent="0.4">
      <c r="A214" s="189"/>
      <c r="B214" s="190" t="s">
        <v>96</v>
      </c>
      <c r="C214" s="191"/>
      <c r="D214" s="192"/>
      <c r="E214" s="190"/>
      <c r="F214" s="190"/>
      <c r="G214" s="193"/>
      <c r="H214" s="194" t="s">
        <v>97</v>
      </c>
      <c r="I214" s="195">
        <f t="shared" ref="I214:J214" ca="1" si="47">I224</f>
        <v>0</v>
      </c>
      <c r="J214" s="195">
        <f t="shared" si="47"/>
        <v>0</v>
      </c>
      <c r="K214" s="196">
        <f ca="1">IF(I214&gt;0,J214*100/I214,0)</f>
        <v>0</v>
      </c>
      <c r="L214" s="197">
        <f ca="1">L215+L216</f>
        <v>0</v>
      </c>
      <c r="M214" s="197">
        <f>SUM(M215:M216)</f>
        <v>0</v>
      </c>
      <c r="N214" s="196">
        <f ca="1">IF(L214&gt;0,M214*100/L214,0)</f>
        <v>0</v>
      </c>
    </row>
    <row r="215" spans="1:14" ht="21.75" customHeight="1" x14ac:dyDescent="0.4">
      <c r="A215" s="42"/>
      <c r="B215" s="43"/>
      <c r="C215" s="43" t="s">
        <v>17</v>
      </c>
      <c r="D215" s="44" t="s">
        <v>18</v>
      </c>
      <c r="E215" s="45"/>
      <c r="F215" s="45"/>
      <c r="G215" s="46" t="s">
        <v>19</v>
      </c>
      <c r="H215" s="47" t="s">
        <v>20</v>
      </c>
      <c r="I215" s="48" t="s">
        <v>21</v>
      </c>
      <c r="J215" s="48"/>
      <c r="K215" s="49"/>
      <c r="L215" s="50">
        <v>0</v>
      </c>
      <c r="M215" s="53">
        <v>0</v>
      </c>
      <c r="N215" s="53">
        <f t="shared" ref="N215:N218" si="48">+IF(L215&gt;0,M215*100/L215,0)</f>
        <v>0</v>
      </c>
    </row>
    <row r="216" spans="1:14" ht="21.75" customHeight="1" x14ac:dyDescent="0.4">
      <c r="A216" s="42"/>
      <c r="B216" s="43"/>
      <c r="C216" s="43"/>
      <c r="D216" s="51"/>
      <c r="E216" s="45"/>
      <c r="F216" s="45" t="s">
        <v>21</v>
      </c>
      <c r="G216" s="46" t="s">
        <v>22</v>
      </c>
      <c r="H216" s="47" t="s">
        <v>20</v>
      </c>
      <c r="I216" s="48"/>
      <c r="J216" s="48"/>
      <c r="K216" s="49"/>
      <c r="L216" s="50">
        <f t="shared" ref="L216:M216" ca="1" si="49">SUM(L217:L218)</f>
        <v>0</v>
      </c>
      <c r="M216" s="53">
        <f t="shared" si="49"/>
        <v>0</v>
      </c>
      <c r="N216" s="53">
        <f t="shared" ca="1" si="48"/>
        <v>0</v>
      </c>
    </row>
    <row r="217" spans="1:14" ht="21.75" customHeight="1" x14ac:dyDescent="0.4">
      <c r="A217" s="42"/>
      <c r="B217" s="43"/>
      <c r="C217" s="43"/>
      <c r="D217" s="51"/>
      <c r="E217" s="45"/>
      <c r="F217" s="45"/>
      <c r="G217" s="52" t="s">
        <v>23</v>
      </c>
      <c r="H217" s="47" t="s">
        <v>20</v>
      </c>
      <c r="I217" s="48"/>
      <c r="J217" s="48"/>
      <c r="K217" s="49"/>
      <c r="L217" s="53">
        <v>0</v>
      </c>
      <c r="M217" s="53">
        <v>0</v>
      </c>
      <c r="N217" s="53">
        <f t="shared" si="48"/>
        <v>0</v>
      </c>
    </row>
    <row r="218" spans="1:14" ht="21.75" customHeight="1" x14ac:dyDescent="0.4">
      <c r="A218" s="42"/>
      <c r="B218" s="43"/>
      <c r="C218" s="43"/>
      <c r="D218" s="51"/>
      <c r="E218" s="45"/>
      <c r="F218" s="45"/>
      <c r="G218" s="52" t="s">
        <v>24</v>
      </c>
      <c r="H218" s="47" t="s">
        <v>20</v>
      </c>
      <c r="I218" s="48"/>
      <c r="J218" s="67"/>
      <c r="K218" s="233"/>
      <c r="L218" s="53">
        <f ca="1">IFERROR(__xludf.DUMMYFUNCTION("IMPORTRANGE(""https://docs.google.com/spreadsheets/d/1C3CXT74ZlgGe6_JY_1olB1XN4rF0dxEuIIF-xsYjHgg/edit?usp=sharing"",""พรบ!BU26"")"),0)</f>
        <v>0</v>
      </c>
      <c r="M218" s="53">
        <v>0</v>
      </c>
      <c r="N218" s="53">
        <f t="shared" ca="1" si="48"/>
        <v>0</v>
      </c>
    </row>
    <row r="219" spans="1:14" ht="21.75" customHeight="1" x14ac:dyDescent="0.4">
      <c r="A219" s="55"/>
      <c r="B219" s="56"/>
      <c r="C219" s="43" t="s">
        <v>17</v>
      </c>
      <c r="D219" s="57" t="s">
        <v>25</v>
      </c>
      <c r="E219" s="58"/>
      <c r="F219" s="58"/>
      <c r="G219" s="59"/>
      <c r="H219" s="60"/>
      <c r="I219" s="48"/>
      <c r="J219" s="67"/>
      <c r="K219" s="233"/>
      <c r="L219" s="53"/>
      <c r="M219" s="53"/>
      <c r="N219" s="61"/>
    </row>
    <row r="220" spans="1:14" ht="21.75" customHeight="1" x14ac:dyDescent="0.4">
      <c r="A220" s="55"/>
      <c r="B220" s="56"/>
      <c r="C220" s="56"/>
      <c r="D220" s="62">
        <v>1</v>
      </c>
      <c r="E220" s="63" t="s">
        <v>26</v>
      </c>
      <c r="F220" s="64"/>
      <c r="G220" s="65"/>
      <c r="H220" s="66"/>
      <c r="I220" s="67"/>
      <c r="J220" s="67">
        <v>0</v>
      </c>
      <c r="K220" s="233"/>
      <c r="L220" s="53"/>
      <c r="M220" s="53"/>
      <c r="N220" s="61"/>
    </row>
    <row r="221" spans="1:14" ht="21.75" customHeight="1" x14ac:dyDescent="0.4">
      <c r="A221" s="55"/>
      <c r="B221" s="56"/>
      <c r="C221" s="56"/>
      <c r="D221" s="69">
        <v>2</v>
      </c>
      <c r="E221" s="70" t="s">
        <v>27</v>
      </c>
      <c r="F221" s="71"/>
      <c r="G221" s="72"/>
      <c r="H221" s="66"/>
      <c r="I221" s="67"/>
      <c r="J221" s="67">
        <v>0</v>
      </c>
      <c r="K221" s="233"/>
      <c r="L221" s="53" t="s">
        <v>21</v>
      </c>
      <c r="M221" s="53" t="s">
        <v>21</v>
      </c>
      <c r="N221" s="61"/>
    </row>
    <row r="222" spans="1:14" ht="21.75" customHeight="1" x14ac:dyDescent="0.4">
      <c r="A222" s="55"/>
      <c r="B222" s="56"/>
      <c r="C222" s="56"/>
      <c r="D222" s="73"/>
      <c r="E222" s="74" t="s">
        <v>28</v>
      </c>
      <c r="F222" s="75"/>
      <c r="G222" s="76"/>
      <c r="H222" s="66"/>
      <c r="I222" s="67"/>
      <c r="J222" s="67">
        <v>0</v>
      </c>
      <c r="K222" s="233"/>
      <c r="L222" s="53"/>
      <c r="M222" s="53"/>
      <c r="N222" s="61"/>
    </row>
    <row r="223" spans="1:14" ht="21.75" customHeight="1" x14ac:dyDescent="0.4">
      <c r="A223" s="55"/>
      <c r="B223" s="56"/>
      <c r="C223" s="56"/>
      <c r="D223" s="73"/>
      <c r="E223" s="74" t="s">
        <v>29</v>
      </c>
      <c r="F223" s="75"/>
      <c r="G223" s="76"/>
      <c r="H223" s="66"/>
      <c r="I223" s="67"/>
      <c r="J223" s="67">
        <v>0</v>
      </c>
      <c r="K223" s="233"/>
      <c r="L223" s="53"/>
      <c r="M223" s="53"/>
      <c r="N223" s="61"/>
    </row>
    <row r="224" spans="1:14" ht="21.75" customHeight="1" x14ac:dyDescent="0.4">
      <c r="A224" s="55"/>
      <c r="B224" s="56"/>
      <c r="C224" s="56"/>
      <c r="D224" s="73"/>
      <c r="E224" s="77"/>
      <c r="F224" s="74" t="s">
        <v>98</v>
      </c>
      <c r="G224" s="76"/>
      <c r="H224" s="66" t="s">
        <v>97</v>
      </c>
      <c r="I224" s="67">
        <f ca="1">IFERROR(__xludf.DUMMYFUNCTION("IMPORTRANGE(""https://docs.google.com/spreadsheets/d/1C3CXT74ZlgGe6_JY_1olB1XN4rF0dxEuIIF-xsYjHgg/edit?usp=sharing"",""พรบ!BV26"")"),0)</f>
        <v>0</v>
      </c>
      <c r="J224" s="67">
        <v>0</v>
      </c>
      <c r="K224" s="233">
        <f ca="1">IF(I224&gt;0,J224*100/I224,0)</f>
        <v>0</v>
      </c>
      <c r="L224" s="53"/>
      <c r="M224" s="53"/>
      <c r="N224" s="61"/>
    </row>
    <row r="225" spans="1:14" ht="21.75" customHeight="1" x14ac:dyDescent="0.4">
      <c r="A225" s="55"/>
      <c r="B225" s="56"/>
      <c r="C225" s="56"/>
      <c r="D225" s="73"/>
      <c r="E225" s="74" t="s">
        <v>35</v>
      </c>
      <c r="F225" s="75"/>
      <c r="G225" s="76"/>
      <c r="H225" s="66"/>
      <c r="I225" s="67"/>
      <c r="J225" s="67">
        <v>0</v>
      </c>
      <c r="K225" s="233"/>
      <c r="L225" s="53"/>
      <c r="M225" s="53"/>
      <c r="N225" s="61"/>
    </row>
    <row r="226" spans="1:14" ht="21.75" customHeight="1" x14ac:dyDescent="0.4">
      <c r="A226" s="55"/>
      <c r="B226" s="56"/>
      <c r="C226" s="56"/>
      <c r="D226" s="81">
        <v>3</v>
      </c>
      <c r="E226" s="82" t="s">
        <v>36</v>
      </c>
      <c r="F226" s="83"/>
      <c r="G226" s="84"/>
      <c r="H226" s="66"/>
      <c r="I226" s="67"/>
      <c r="J226" s="360">
        <v>0</v>
      </c>
      <c r="K226" s="233"/>
      <c r="L226" s="53"/>
      <c r="M226" s="53"/>
      <c r="N226" s="61"/>
    </row>
    <row r="227" spans="1:14" ht="21.75" customHeight="1" x14ac:dyDescent="0.4">
      <c r="A227" s="166" t="s">
        <v>99</v>
      </c>
      <c r="B227" s="167"/>
      <c r="C227" s="167"/>
      <c r="D227" s="168"/>
      <c r="E227" s="167"/>
      <c r="F227" s="167"/>
      <c r="G227" s="181"/>
      <c r="H227" s="170"/>
      <c r="I227" s="171"/>
      <c r="J227" s="171"/>
      <c r="K227" s="172"/>
      <c r="L227" s="172"/>
      <c r="M227" s="172"/>
      <c r="N227" s="173"/>
    </row>
    <row r="228" spans="1:14" ht="21.75" customHeight="1" x14ac:dyDescent="0.4">
      <c r="A228" s="174"/>
      <c r="B228" s="175" t="s">
        <v>100</v>
      </c>
      <c r="C228" s="187"/>
      <c r="D228" s="175"/>
      <c r="E228" s="175"/>
      <c r="F228" s="175"/>
      <c r="G228" s="176"/>
      <c r="H228" s="177" t="s">
        <v>16</v>
      </c>
      <c r="I228" s="198">
        <f ca="1">I236</f>
        <v>580</v>
      </c>
      <c r="J228" s="198">
        <f ca="1">J240</f>
        <v>0</v>
      </c>
      <c r="K228" s="179">
        <f ca="1">IF(I228&gt;0,J228*100/I228,0)</f>
        <v>0</v>
      </c>
      <c r="L228" s="180">
        <f ca="1">L229+L230</f>
        <v>598050</v>
      </c>
      <c r="M228" s="180">
        <f>SUM(M229:M230)</f>
        <v>27438.7</v>
      </c>
      <c r="N228" s="179">
        <f ca="1">IF(L228&gt;0,M228*100/L228,0)</f>
        <v>4.5880277568765155</v>
      </c>
    </row>
    <row r="229" spans="1:14" ht="21.75" customHeight="1" x14ac:dyDescent="0.4">
      <c r="A229" s="42"/>
      <c r="B229" s="43"/>
      <c r="C229" s="43" t="s">
        <v>17</v>
      </c>
      <c r="D229" s="44" t="s">
        <v>18</v>
      </c>
      <c r="E229" s="45"/>
      <c r="F229" s="45"/>
      <c r="G229" s="46" t="s">
        <v>19</v>
      </c>
      <c r="H229" s="47" t="s">
        <v>20</v>
      </c>
      <c r="I229" s="48" t="s">
        <v>21</v>
      </c>
      <c r="J229" s="48"/>
      <c r="K229" s="49"/>
      <c r="L229" s="50">
        <v>0</v>
      </c>
      <c r="M229" s="53">
        <v>0</v>
      </c>
      <c r="N229" s="53">
        <f t="shared" ref="N229:N232" si="50">+IF(L229&gt;0,M229*100/L229,0)</f>
        <v>0</v>
      </c>
    </row>
    <row r="230" spans="1:14" ht="21.75" customHeight="1" x14ac:dyDescent="0.4">
      <c r="A230" s="42"/>
      <c r="B230" s="43"/>
      <c r="C230" s="43"/>
      <c r="D230" s="51"/>
      <c r="E230" s="45"/>
      <c r="F230" s="45" t="s">
        <v>21</v>
      </c>
      <c r="G230" s="46" t="s">
        <v>22</v>
      </c>
      <c r="H230" s="47" t="s">
        <v>20</v>
      </c>
      <c r="I230" s="48"/>
      <c r="J230" s="48"/>
      <c r="K230" s="49"/>
      <c r="L230" s="50">
        <f t="shared" ref="L230:M230" ca="1" si="51">SUM(L231:L232)</f>
        <v>598050</v>
      </c>
      <c r="M230" s="53">
        <f t="shared" si="51"/>
        <v>27438.7</v>
      </c>
      <c r="N230" s="53">
        <f t="shared" ca="1" si="50"/>
        <v>4.5880277568765155</v>
      </c>
    </row>
    <row r="231" spans="1:14" ht="21.75" customHeight="1" x14ac:dyDescent="0.4">
      <c r="A231" s="42"/>
      <c r="B231" s="43"/>
      <c r="C231" s="43"/>
      <c r="D231" s="51"/>
      <c r="E231" s="45"/>
      <c r="F231" s="45"/>
      <c r="G231" s="52" t="s">
        <v>23</v>
      </c>
      <c r="H231" s="47" t="s">
        <v>20</v>
      </c>
      <c r="I231" s="48"/>
      <c r="J231" s="48"/>
      <c r="K231" s="49"/>
      <c r="L231" s="53">
        <f ca="1">IFERROR(__xludf.DUMMYFUNCTION("IMPORTRANGE(""https://docs.google.com/spreadsheets/d/1C3CXT74ZlgGe6_JY_1olB1XN4rF0dxEuIIF-xsYjHgg/edit?usp=sharing"",""พรบ!BX26"")"),194400)</f>
        <v>194400</v>
      </c>
      <c r="M231" s="54">
        <v>16600</v>
      </c>
      <c r="N231" s="53">
        <f t="shared" ca="1" si="50"/>
        <v>8.5390946502057616</v>
      </c>
    </row>
    <row r="232" spans="1:14" ht="21.75" customHeight="1" x14ac:dyDescent="0.4">
      <c r="A232" s="42"/>
      <c r="B232" s="43"/>
      <c r="C232" s="43"/>
      <c r="D232" s="51"/>
      <c r="E232" s="45"/>
      <c r="F232" s="45"/>
      <c r="G232" s="52" t="s">
        <v>24</v>
      </c>
      <c r="H232" s="47" t="s">
        <v>20</v>
      </c>
      <c r="I232" s="48"/>
      <c r="J232" s="48"/>
      <c r="K232" s="49"/>
      <c r="L232" s="53">
        <f ca="1">IFERROR(__xludf.DUMMYFUNCTION("IMPORTRANGE(""https://docs.google.com/spreadsheets/d/1C3CXT74ZlgGe6_JY_1olB1XN4rF0dxEuIIF-xsYjHgg/edit?usp=sharing"",""พรบ!BY26"")"),403650)</f>
        <v>403650</v>
      </c>
      <c r="M232" s="54">
        <v>10838.7</v>
      </c>
      <c r="N232" s="53">
        <f t="shared" ca="1" si="50"/>
        <v>2.6851727982162763</v>
      </c>
    </row>
    <row r="233" spans="1:14" ht="21.75" customHeight="1" x14ac:dyDescent="0.4">
      <c r="A233" s="55"/>
      <c r="B233" s="155"/>
      <c r="C233" s="199" t="s">
        <v>101</v>
      </c>
      <c r="D233" s="75"/>
      <c r="E233" s="75"/>
      <c r="F233" s="75"/>
      <c r="G233" s="76"/>
      <c r="H233" s="60"/>
      <c r="I233" s="200"/>
      <c r="J233" s="200"/>
      <c r="K233" s="201"/>
      <c r="L233" s="61"/>
      <c r="M233" s="61"/>
      <c r="N233" s="202"/>
    </row>
    <row r="234" spans="1:14" ht="21.75" customHeight="1" x14ac:dyDescent="0.4">
      <c r="A234" s="55"/>
      <c r="B234" s="155"/>
      <c r="C234" s="56"/>
      <c r="D234" s="75"/>
      <c r="E234" s="74" t="s">
        <v>102</v>
      </c>
      <c r="F234" s="75"/>
      <c r="G234" s="76"/>
      <c r="H234" s="60" t="s">
        <v>16</v>
      </c>
      <c r="I234" s="67">
        <v>0</v>
      </c>
      <c r="J234" s="67">
        <f ca="1">IFERROR(__xludf.DUMMYFUNCTION("IMPORTRANGE(""https://docs.google.com/spreadsheets/d/1AGHcLOeeYFL3K4b9R1dSzyJy00PE_ra89DNTVfnxSWM/edit?usp=sharing"",""รวมที่ทำกิน!J15"")"),0)</f>
        <v>0</v>
      </c>
      <c r="K234" s="201">
        <f t="shared" ref="K234:K241" si="52">IF(I234&gt;0,J234*100/I234,0)</f>
        <v>0</v>
      </c>
      <c r="L234" s="61"/>
      <c r="M234" s="61"/>
      <c r="N234" s="202"/>
    </row>
    <row r="235" spans="1:14" ht="21.75" customHeight="1" x14ac:dyDescent="0.4">
      <c r="A235" s="55"/>
      <c r="B235" s="155"/>
      <c r="C235" s="56"/>
      <c r="D235" s="75"/>
      <c r="E235" s="75"/>
      <c r="F235" s="75"/>
      <c r="G235" s="76"/>
      <c r="H235" s="60" t="s">
        <v>103</v>
      </c>
      <c r="I235" s="67">
        <f ca="1">IFERROR(__xludf.DUMMYFUNCTION("IMPORTRANGE(""https://docs.google.com/spreadsheets/d/1C3CXT74ZlgGe6_JY_1olB1XN4rF0dxEuIIF-xsYjHgg/edit?usp=sharing"",""พรบ!BZ26"")"),2000)</f>
        <v>2000</v>
      </c>
      <c r="J235" s="67">
        <f ca="1">IFERROR(__xludf.DUMMYFUNCTION("IMPORTRANGE(""https://docs.google.com/spreadsheets/d/1AGHcLOeeYFL3K4b9R1dSzyJy00PE_ra89DNTVfnxSWM/edit?usp=sharing"",""รวมที่ทำกิน!L15"")"),0)</f>
        <v>0</v>
      </c>
      <c r="K235" s="201">
        <f t="shared" ca="1" si="52"/>
        <v>0</v>
      </c>
      <c r="L235" s="61"/>
      <c r="M235" s="61"/>
      <c r="N235" s="202"/>
    </row>
    <row r="236" spans="1:14" ht="21.75" customHeight="1" x14ac:dyDescent="0.4">
      <c r="A236" s="55"/>
      <c r="B236" s="155"/>
      <c r="C236" s="56"/>
      <c r="D236" s="75"/>
      <c r="E236" s="74" t="s">
        <v>104</v>
      </c>
      <c r="F236" s="75"/>
      <c r="G236" s="76"/>
      <c r="H236" s="60" t="s">
        <v>16</v>
      </c>
      <c r="I236" s="67">
        <f ca="1">IFERROR(__xludf.DUMMYFUNCTION("IMPORTRANGE(""https://docs.google.com/spreadsheets/d/1C3CXT74ZlgGe6_JY_1olB1XN4rF0dxEuIIF-xsYjHgg/edit?usp=sharing"",""พรบ!CA26"")"),580)</f>
        <v>580</v>
      </c>
      <c r="J236" s="67">
        <f ca="1">IFERROR(__xludf.DUMMYFUNCTION("IMPORTRANGE(""https://docs.google.com/spreadsheets/d/1AGHcLOeeYFL3K4b9R1dSzyJy00PE_ra89DNTVfnxSWM/edit?usp=sharing"",""รวมที่ทำกิน!O15"")"),0)</f>
        <v>0</v>
      </c>
      <c r="K236" s="201">
        <f t="shared" ca="1" si="52"/>
        <v>0</v>
      </c>
      <c r="L236" s="61"/>
      <c r="M236" s="61"/>
      <c r="N236" s="202"/>
    </row>
    <row r="237" spans="1:14" ht="21.75" customHeight="1" x14ac:dyDescent="0.4">
      <c r="A237" s="55"/>
      <c r="B237" s="155"/>
      <c r="C237" s="56"/>
      <c r="D237" s="75"/>
      <c r="E237" s="75"/>
      <c r="F237" s="75"/>
      <c r="G237" s="76"/>
      <c r="H237" s="60" t="s">
        <v>103</v>
      </c>
      <c r="I237" s="200">
        <v>0</v>
      </c>
      <c r="J237" s="67">
        <f ca="1">IFERROR(__xludf.DUMMYFUNCTION("IMPORTRANGE(""https://docs.google.com/spreadsheets/d/1AGHcLOeeYFL3K4b9R1dSzyJy00PE_ra89DNTVfnxSWM/edit?usp=sharing"",""รวมที่ทำกิน!Q15"")"),0)</f>
        <v>0</v>
      </c>
      <c r="K237" s="201">
        <f t="shared" si="52"/>
        <v>0</v>
      </c>
      <c r="L237" s="61"/>
      <c r="M237" s="61"/>
      <c r="N237" s="202"/>
    </row>
    <row r="238" spans="1:14" ht="21.75" customHeight="1" x14ac:dyDescent="0.4">
      <c r="A238" s="55"/>
      <c r="B238" s="155"/>
      <c r="C238" s="56"/>
      <c r="D238" s="75"/>
      <c r="E238" s="74" t="s">
        <v>105</v>
      </c>
      <c r="F238" s="75"/>
      <c r="G238" s="76"/>
      <c r="H238" s="60" t="s">
        <v>16</v>
      </c>
      <c r="I238" s="67">
        <f ca="1">IFERROR(__xludf.DUMMYFUNCTION("IMPORTRANGE(""https://docs.google.com/spreadsheets/d/1C3CXT74ZlgGe6_JY_1olB1XN4rF0dxEuIIF-xsYjHgg/edit?usp=sharing"",""พรบ!CB26"")"),580)</f>
        <v>580</v>
      </c>
      <c r="J238" s="67">
        <f ca="1">IFERROR(__xludf.DUMMYFUNCTION("IMPORTRANGE(""https://docs.google.com/spreadsheets/d/1AGHcLOeeYFL3K4b9R1dSzyJy00PE_ra89DNTVfnxSWM/edit?usp=sharing"",""รวมที่ทำกิน!S15"")"),0)</f>
        <v>0</v>
      </c>
      <c r="K238" s="201">
        <f t="shared" ca="1" si="52"/>
        <v>0</v>
      </c>
      <c r="L238" s="61"/>
      <c r="M238" s="61"/>
      <c r="N238" s="202"/>
    </row>
    <row r="239" spans="1:14" ht="21.75" customHeight="1" x14ac:dyDescent="0.4">
      <c r="A239" s="55"/>
      <c r="B239" s="155"/>
      <c r="C239" s="56"/>
      <c r="D239" s="75"/>
      <c r="E239" s="75"/>
      <c r="F239" s="75"/>
      <c r="G239" s="76"/>
      <c r="H239" s="60" t="s">
        <v>103</v>
      </c>
      <c r="I239" s="200">
        <v>0</v>
      </c>
      <c r="J239" s="67">
        <f ca="1">IFERROR(__xludf.DUMMYFUNCTION("IMPORTRANGE(""https://docs.google.com/spreadsheets/d/1AGHcLOeeYFL3K4b9R1dSzyJy00PE_ra89DNTVfnxSWM/edit?usp=sharing"",""รวมที่ทำกิน!U15"")"),0)</f>
        <v>0</v>
      </c>
      <c r="K239" s="201">
        <f t="shared" si="52"/>
        <v>0</v>
      </c>
      <c r="L239" s="61"/>
      <c r="M239" s="61"/>
      <c r="N239" s="202"/>
    </row>
    <row r="240" spans="1:14" ht="21.75" customHeight="1" x14ac:dyDescent="0.4">
      <c r="A240" s="55"/>
      <c r="B240" s="155"/>
      <c r="C240" s="56"/>
      <c r="D240" s="75"/>
      <c r="E240" s="74" t="s">
        <v>106</v>
      </c>
      <c r="F240" s="75"/>
      <c r="G240" s="76"/>
      <c r="H240" s="60" t="s">
        <v>16</v>
      </c>
      <c r="I240" s="67">
        <f ca="1">IFERROR(__xludf.DUMMYFUNCTION("IMPORTRANGE(""https://docs.google.com/spreadsheets/d/1C3CXT74ZlgGe6_JY_1olB1XN4rF0dxEuIIF-xsYjHgg/edit?usp=sharing"",""พรบ!CC26"")"),580)</f>
        <v>580</v>
      </c>
      <c r="J240" s="67">
        <f ca="1">IFERROR(__xludf.DUMMYFUNCTION("IMPORTRANGE(""https://docs.google.com/spreadsheets/d/1AGHcLOeeYFL3K4b9R1dSzyJy00PE_ra89DNTVfnxSWM/edit?usp=sharing"",""รวมที่ทำกิน!W15"")"),0)</f>
        <v>0</v>
      </c>
      <c r="K240" s="201">
        <f t="shared" ca="1" si="52"/>
        <v>0</v>
      </c>
      <c r="L240" s="61"/>
      <c r="M240" s="61"/>
      <c r="N240" s="202"/>
    </row>
    <row r="241" spans="1:14" ht="21.75" customHeight="1" x14ac:dyDescent="0.4">
      <c r="A241" s="105"/>
      <c r="B241" s="203"/>
      <c r="C241" s="106"/>
      <c r="D241" s="203"/>
      <c r="E241" s="204"/>
      <c r="F241" s="204"/>
      <c r="G241" s="205"/>
      <c r="H241" s="206" t="s">
        <v>103</v>
      </c>
      <c r="I241" s="207">
        <v>0</v>
      </c>
      <c r="J241" s="67">
        <f ca="1">IFERROR(__xludf.DUMMYFUNCTION("IMPORTRANGE(""https://docs.google.com/spreadsheets/d/1AGHcLOeeYFL3K4b9R1dSzyJy00PE_ra89DNTVfnxSWM/edit?usp=sharing"",""รวมที่ทำกิน!Y15"")"),0)</f>
        <v>0</v>
      </c>
      <c r="K241" s="201">
        <f t="shared" si="52"/>
        <v>0</v>
      </c>
      <c r="L241" s="115"/>
      <c r="M241" s="115"/>
      <c r="N241" s="208"/>
    </row>
    <row r="242" spans="1:14" ht="21.75" customHeight="1" x14ac:dyDescent="0.4">
      <c r="A242" s="209" t="s">
        <v>107</v>
      </c>
      <c r="B242" s="210"/>
      <c r="C242" s="210"/>
      <c r="D242" s="210"/>
      <c r="E242" s="210"/>
      <c r="F242" s="210"/>
      <c r="G242" s="211"/>
      <c r="H242" s="212"/>
      <c r="I242" s="213"/>
      <c r="J242" s="213"/>
      <c r="K242" s="214"/>
      <c r="L242" s="214">
        <f t="shared" ref="L242:M242" ca="1" si="53">SUM(L244,L275,L296,L330,L350,L426,L444,L457,L473,L490)</f>
        <v>2535236</v>
      </c>
      <c r="M242" s="214">
        <f t="shared" si="53"/>
        <v>6380</v>
      </c>
      <c r="N242" s="214">
        <f ca="1">+IF(L242&gt;0,M242*100/L242,0)</f>
        <v>0.25165310053975254</v>
      </c>
    </row>
    <row r="243" spans="1:14" ht="21.75" customHeight="1" x14ac:dyDescent="0.4">
      <c r="A243" s="215" t="s">
        <v>108</v>
      </c>
      <c r="B243" s="216"/>
      <c r="C243" s="216"/>
      <c r="D243" s="216"/>
      <c r="E243" s="216"/>
      <c r="F243" s="216"/>
      <c r="G243" s="217"/>
      <c r="H243" s="218"/>
      <c r="I243" s="219"/>
      <c r="J243" s="219"/>
      <c r="K243" s="220"/>
      <c r="L243" s="220"/>
      <c r="M243" s="220"/>
      <c r="N243" s="221"/>
    </row>
    <row r="244" spans="1:14" ht="21.75" customHeight="1" x14ac:dyDescent="0.4">
      <c r="A244" s="222"/>
      <c r="B244" s="223">
        <v>1</v>
      </c>
      <c r="C244" s="224" t="s">
        <v>109</v>
      </c>
      <c r="D244" s="224"/>
      <c r="E244" s="224"/>
      <c r="F244" s="224"/>
      <c r="G244" s="225"/>
      <c r="H244" s="226" t="s">
        <v>103</v>
      </c>
      <c r="I244" s="227">
        <f t="shared" ref="I244:J244" ca="1" si="54">I270</f>
        <v>105</v>
      </c>
      <c r="J244" s="227">
        <f t="shared" si="54"/>
        <v>0</v>
      </c>
      <c r="K244" s="228">
        <f t="shared" ref="K244:K245" ca="1" si="55">IF(I244&gt;0,J244*100/I244,0)</f>
        <v>0</v>
      </c>
      <c r="L244" s="229">
        <f t="shared" ref="L244:M244" ca="1" si="56">SUM(L246:L247)</f>
        <v>363980</v>
      </c>
      <c r="M244" s="229">
        <f t="shared" si="56"/>
        <v>0</v>
      </c>
      <c r="N244" s="229">
        <f ca="1">+IF(L244&gt;0,M244*100/L244,0)</f>
        <v>0</v>
      </c>
    </row>
    <row r="245" spans="1:14" ht="21.75" customHeight="1" x14ac:dyDescent="0.4">
      <c r="A245" s="222"/>
      <c r="B245" s="223"/>
      <c r="C245" s="224"/>
      <c r="D245" s="224"/>
      <c r="E245" s="224"/>
      <c r="F245" s="224"/>
      <c r="G245" s="225"/>
      <c r="H245" s="226" t="s">
        <v>16</v>
      </c>
      <c r="I245" s="227">
        <f ca="1">I263</f>
        <v>60</v>
      </c>
      <c r="J245" s="227">
        <f>+J263</f>
        <v>0</v>
      </c>
      <c r="K245" s="228">
        <f t="shared" ca="1" si="55"/>
        <v>0</v>
      </c>
      <c r="L245" s="229"/>
      <c r="M245" s="229"/>
      <c r="N245" s="229"/>
    </row>
    <row r="246" spans="1:14" ht="21.75" customHeight="1" x14ac:dyDescent="0.4">
      <c r="A246" s="42"/>
      <c r="B246" s="43"/>
      <c r="C246" s="43" t="s">
        <v>17</v>
      </c>
      <c r="D246" s="44" t="s">
        <v>18</v>
      </c>
      <c r="E246" s="45"/>
      <c r="F246" s="45"/>
      <c r="G246" s="46" t="s">
        <v>19</v>
      </c>
      <c r="H246" s="47" t="s">
        <v>20</v>
      </c>
      <c r="I246" s="48" t="s">
        <v>21</v>
      </c>
      <c r="J246" s="48"/>
      <c r="K246" s="49"/>
      <c r="L246" s="50">
        <v>0</v>
      </c>
      <c r="M246" s="50">
        <v>0</v>
      </c>
      <c r="N246" s="50">
        <f t="shared" ref="N246:N249" si="57">+IF(L246&gt;0,M246*100/L246,0)</f>
        <v>0</v>
      </c>
    </row>
    <row r="247" spans="1:14" ht="21.75" customHeight="1" x14ac:dyDescent="0.4">
      <c r="A247" s="42"/>
      <c r="B247" s="43"/>
      <c r="C247" s="43"/>
      <c r="D247" s="51"/>
      <c r="E247" s="45"/>
      <c r="F247" s="45" t="s">
        <v>21</v>
      </c>
      <c r="G247" s="46" t="s">
        <v>22</v>
      </c>
      <c r="H247" s="47" t="s">
        <v>20</v>
      </c>
      <c r="I247" s="48"/>
      <c r="J247" s="48"/>
      <c r="K247" s="49"/>
      <c r="L247" s="50">
        <f t="shared" ref="L247:M247" ca="1" si="58">SUM(L248:L249)</f>
        <v>363980</v>
      </c>
      <c r="M247" s="50">
        <f t="shared" si="58"/>
        <v>0</v>
      </c>
      <c r="N247" s="50">
        <f t="shared" ca="1" si="57"/>
        <v>0</v>
      </c>
    </row>
    <row r="248" spans="1:14" ht="21.75" customHeight="1" x14ac:dyDescent="0.4">
      <c r="A248" s="42"/>
      <c r="B248" s="43"/>
      <c r="C248" s="43"/>
      <c r="D248" s="51"/>
      <c r="E248" s="45"/>
      <c r="F248" s="45"/>
      <c r="G248" s="52" t="s">
        <v>110</v>
      </c>
      <c r="H248" s="47" t="s">
        <v>20</v>
      </c>
      <c r="I248" s="48"/>
      <c r="J248" s="48"/>
      <c r="K248" s="49"/>
      <c r="L248" s="53">
        <f ca="1">IFERROR(__xludf.DUMMYFUNCTION("IMPORTRANGE(""https://docs.google.com/spreadsheets/d/1C3CXT74ZlgGe6_JY_1olB1XN4rF0dxEuIIF-xsYjHgg/edit?usp=sharing"",""งบกองทุน!d26"")"),0)</f>
        <v>0</v>
      </c>
      <c r="M248" s="53">
        <v>0</v>
      </c>
      <c r="N248" s="53">
        <f t="shared" ca="1" si="57"/>
        <v>0</v>
      </c>
    </row>
    <row r="249" spans="1:14" ht="21.75" customHeight="1" x14ac:dyDescent="0.4">
      <c r="A249" s="42"/>
      <c r="B249" s="43"/>
      <c r="C249" s="43"/>
      <c r="D249" s="51"/>
      <c r="E249" s="45"/>
      <c r="F249" s="45"/>
      <c r="G249" s="52" t="s">
        <v>111</v>
      </c>
      <c r="H249" s="47" t="s">
        <v>20</v>
      </c>
      <c r="I249" s="48"/>
      <c r="J249" s="48"/>
      <c r="K249" s="49"/>
      <c r="L249" s="53">
        <f ca="1">IFERROR(__xludf.DUMMYFUNCTION("IMPORTRANGE(""https://docs.google.com/spreadsheets/d/1C3CXT74ZlgGe6_JY_1olB1XN4rF0dxEuIIF-xsYjHgg/edit?usp=sharing"",""งบกองทุน!e26"")"),363980)</f>
        <v>363980</v>
      </c>
      <c r="M249" s="53">
        <f>SUM(M250:M253)</f>
        <v>0</v>
      </c>
      <c r="N249" s="53">
        <f t="shared" ca="1" si="57"/>
        <v>0</v>
      </c>
    </row>
    <row r="250" spans="1:14" ht="21.75" customHeight="1" x14ac:dyDescent="0.4">
      <c r="A250" s="230"/>
      <c r="B250" s="231"/>
      <c r="C250" s="43"/>
      <c r="D250" s="232"/>
      <c r="E250" s="45"/>
      <c r="F250" s="45"/>
      <c r="G250" s="46" t="s">
        <v>112</v>
      </c>
      <c r="H250" s="47" t="s">
        <v>20</v>
      </c>
      <c r="I250" s="67"/>
      <c r="J250" s="67"/>
      <c r="K250" s="233"/>
      <c r="L250" s="53"/>
      <c r="M250" s="54">
        <v>0</v>
      </c>
      <c r="N250" s="53"/>
    </row>
    <row r="251" spans="1:14" ht="21.75" customHeight="1" x14ac:dyDescent="0.4">
      <c r="A251" s="230"/>
      <c r="B251" s="231"/>
      <c r="C251" s="43"/>
      <c r="D251" s="232"/>
      <c r="E251" s="45"/>
      <c r="F251" s="45"/>
      <c r="G251" s="46" t="s">
        <v>113</v>
      </c>
      <c r="H251" s="47" t="s">
        <v>20</v>
      </c>
      <c r="I251" s="67"/>
      <c r="J251" s="67"/>
      <c r="K251" s="233"/>
      <c r="L251" s="53"/>
      <c r="M251" s="54">
        <v>0</v>
      </c>
      <c r="N251" s="53"/>
    </row>
    <row r="252" spans="1:14" ht="21.75" customHeight="1" x14ac:dyDescent="0.4">
      <c r="A252" s="230"/>
      <c r="B252" s="231"/>
      <c r="C252" s="43"/>
      <c r="D252" s="232"/>
      <c r="E252" s="45"/>
      <c r="F252" s="45"/>
      <c r="G252" s="46" t="s">
        <v>114</v>
      </c>
      <c r="H252" s="47" t="s">
        <v>20</v>
      </c>
      <c r="I252" s="67"/>
      <c r="J252" s="67"/>
      <c r="K252" s="233"/>
      <c r="L252" s="53"/>
      <c r="M252" s="54">
        <v>0</v>
      </c>
      <c r="N252" s="53"/>
    </row>
    <row r="253" spans="1:14" ht="21.75" customHeight="1" x14ac:dyDescent="0.4">
      <c r="A253" s="230"/>
      <c r="B253" s="231"/>
      <c r="C253" s="43"/>
      <c r="D253" s="232"/>
      <c r="E253" s="45"/>
      <c r="F253" s="45"/>
      <c r="G253" s="46" t="s">
        <v>115</v>
      </c>
      <c r="H253" s="47" t="s">
        <v>20</v>
      </c>
      <c r="I253" s="67"/>
      <c r="J253" s="67"/>
      <c r="K253" s="233"/>
      <c r="L253" s="53"/>
      <c r="M253" s="54">
        <v>0</v>
      </c>
      <c r="N253" s="53"/>
    </row>
    <row r="254" spans="1:14" ht="21.75" customHeight="1" x14ac:dyDescent="0.4">
      <c r="A254" s="55"/>
      <c r="B254" s="56"/>
      <c r="C254" s="43" t="s">
        <v>17</v>
      </c>
      <c r="D254" s="57" t="s">
        <v>25</v>
      </c>
      <c r="E254" s="58"/>
      <c r="F254" s="58"/>
      <c r="G254" s="59"/>
      <c r="H254" s="60"/>
      <c r="I254" s="48"/>
      <c r="J254" s="48"/>
      <c r="K254" s="49"/>
      <c r="L254" s="61"/>
      <c r="M254" s="61"/>
      <c r="N254" s="61"/>
    </row>
    <row r="255" spans="1:14" ht="21.75" customHeight="1" x14ac:dyDescent="0.4">
      <c r="A255" s="55"/>
      <c r="B255" s="56"/>
      <c r="C255" s="56"/>
      <c r="D255" s="62">
        <v>1</v>
      </c>
      <c r="E255" s="63" t="s">
        <v>26</v>
      </c>
      <c r="F255" s="64"/>
      <c r="G255" s="65"/>
      <c r="H255" s="66"/>
      <c r="I255" s="67"/>
      <c r="J255" s="68">
        <v>0</v>
      </c>
      <c r="K255" s="49"/>
      <c r="L255" s="61"/>
      <c r="M255" s="61"/>
      <c r="N255" s="61"/>
    </row>
    <row r="256" spans="1:14" ht="21.75" customHeight="1" x14ac:dyDescent="0.4">
      <c r="A256" s="55"/>
      <c r="B256" s="56"/>
      <c r="C256" s="56"/>
      <c r="D256" s="69">
        <v>2</v>
      </c>
      <c r="E256" s="70" t="s">
        <v>27</v>
      </c>
      <c r="F256" s="71"/>
      <c r="G256" s="72"/>
      <c r="H256" s="66"/>
      <c r="I256" s="67"/>
      <c r="J256" s="68">
        <v>1</v>
      </c>
      <c r="K256" s="49"/>
      <c r="L256" s="61" t="s">
        <v>21</v>
      </c>
      <c r="M256" s="61" t="s">
        <v>21</v>
      </c>
      <c r="N256" s="61"/>
    </row>
    <row r="257" spans="1:14" ht="21.75" customHeight="1" x14ac:dyDescent="0.4">
      <c r="A257" s="55"/>
      <c r="B257" s="56"/>
      <c r="C257" s="56"/>
      <c r="D257" s="73"/>
      <c r="E257" s="74" t="s">
        <v>28</v>
      </c>
      <c r="F257" s="75"/>
      <c r="G257" s="76"/>
      <c r="H257" s="66"/>
      <c r="I257" s="67"/>
      <c r="J257" s="68">
        <v>1</v>
      </c>
      <c r="K257" s="49"/>
      <c r="L257" s="61"/>
      <c r="M257" s="61"/>
      <c r="N257" s="61"/>
    </row>
    <row r="258" spans="1:14" ht="21.75" customHeight="1" x14ac:dyDescent="0.4">
      <c r="A258" s="55"/>
      <c r="B258" s="56"/>
      <c r="C258" s="56"/>
      <c r="D258" s="73"/>
      <c r="E258" s="74" t="s">
        <v>29</v>
      </c>
      <c r="F258" s="75"/>
      <c r="G258" s="76"/>
      <c r="H258" s="66"/>
      <c r="I258" s="67"/>
      <c r="J258" s="68">
        <v>1</v>
      </c>
      <c r="K258" s="49"/>
      <c r="L258" s="61"/>
      <c r="M258" s="61"/>
      <c r="N258" s="61"/>
    </row>
    <row r="259" spans="1:14" ht="21.75" hidden="1" customHeight="1" x14ac:dyDescent="0.4">
      <c r="A259" s="55"/>
      <c r="B259" s="56"/>
      <c r="C259" s="56"/>
      <c r="D259" s="73"/>
      <c r="E259" s="77"/>
      <c r="F259" s="74" t="s">
        <v>50</v>
      </c>
      <c r="G259" s="76"/>
      <c r="H259" s="60"/>
      <c r="I259" s="67"/>
      <c r="J259" s="67">
        <f>+J260+J263+J268</f>
        <v>0</v>
      </c>
      <c r="K259" s="49"/>
      <c r="L259" s="61"/>
      <c r="M259" s="61"/>
      <c r="N259" s="61"/>
    </row>
    <row r="260" spans="1:14" ht="21.75" hidden="1" customHeight="1" x14ac:dyDescent="0.4">
      <c r="A260" s="55"/>
      <c r="B260" s="56"/>
      <c r="C260" s="56"/>
      <c r="D260" s="73"/>
      <c r="E260" s="77"/>
      <c r="F260" s="75"/>
      <c r="G260" s="99" t="s">
        <v>116</v>
      </c>
      <c r="H260" s="60" t="s">
        <v>16</v>
      </c>
      <c r="I260" s="67">
        <f ca="1">IFERROR(__xludf.DUMMYFUNCTION("IMPORTRANGE(""https://docs.google.com/spreadsheets/d/1C3CXT74ZlgGe6_JY_1olB1XN4rF0dxEuIIF-xsYjHgg/edit?usp=sharing"",""งบกองทุน!f26"")"),0)</f>
        <v>0</v>
      </c>
      <c r="J260" s="67">
        <v>0</v>
      </c>
      <c r="K260" s="49">
        <f ca="1">IF(I260&gt;0,J260*100/I260,0)</f>
        <v>0</v>
      </c>
      <c r="L260" s="61"/>
      <c r="M260" s="61"/>
      <c r="N260" s="61"/>
    </row>
    <row r="261" spans="1:14" ht="21.75" hidden="1" customHeight="1" x14ac:dyDescent="0.4">
      <c r="A261" s="55"/>
      <c r="B261" s="56"/>
      <c r="C261" s="56"/>
      <c r="D261" s="73"/>
      <c r="E261" s="77"/>
      <c r="F261" s="75"/>
      <c r="G261" s="76" t="s">
        <v>117</v>
      </c>
      <c r="H261" s="60"/>
      <c r="I261" s="48"/>
      <c r="J261" s="67"/>
      <c r="K261" s="49"/>
      <c r="L261" s="61"/>
      <c r="M261" s="61"/>
      <c r="N261" s="61"/>
    </row>
    <row r="262" spans="1:14" ht="21.75" hidden="1" customHeight="1" x14ac:dyDescent="0.4">
      <c r="A262" s="55"/>
      <c r="B262" s="56"/>
      <c r="C262" s="56"/>
      <c r="D262" s="73"/>
      <c r="E262" s="77"/>
      <c r="F262" s="75"/>
      <c r="G262" s="99" t="s">
        <v>118</v>
      </c>
      <c r="H262" s="66" t="s">
        <v>103</v>
      </c>
      <c r="I262" s="67">
        <f t="shared" ref="I262:J262" ca="1" si="59">SUM(I264,I266)</f>
        <v>105</v>
      </c>
      <c r="J262" s="67">
        <f t="shared" si="59"/>
        <v>0</v>
      </c>
      <c r="K262" s="49">
        <f t="shared" ref="K262:K268" ca="1" si="60">IF(I262&gt;0,J262*100/I262,0)</f>
        <v>0</v>
      </c>
      <c r="L262" s="61"/>
      <c r="M262" s="61"/>
      <c r="N262" s="61"/>
    </row>
    <row r="263" spans="1:14" ht="21.75" customHeight="1" x14ac:dyDescent="0.4">
      <c r="A263" s="55"/>
      <c r="B263" s="56"/>
      <c r="C263" s="56"/>
      <c r="D263" s="73"/>
      <c r="E263" s="77"/>
      <c r="F263" s="99" t="s">
        <v>119</v>
      </c>
      <c r="G263" s="76"/>
      <c r="H263" s="66" t="s">
        <v>16</v>
      </c>
      <c r="I263" s="48">
        <f ca="1">IFERROR(__xludf.DUMMYFUNCTION("IMPORTRANGE(""https://docs.google.com/spreadsheets/d/1C3CXT74ZlgGe6_JY_1olB1XN4rF0dxEuIIF-xsYjHgg/edit?usp=sharing"",""งบกองทุน!H26"")"),60)</f>
        <v>60</v>
      </c>
      <c r="J263" s="67">
        <f>J267</f>
        <v>0</v>
      </c>
      <c r="K263" s="49">
        <f t="shared" ca="1" si="60"/>
        <v>0</v>
      </c>
      <c r="L263" s="61"/>
      <c r="M263" s="61"/>
      <c r="N263" s="61"/>
    </row>
    <row r="264" spans="1:14" ht="21.75" hidden="1" customHeight="1" x14ac:dyDescent="0.4">
      <c r="A264" s="55"/>
      <c r="B264" s="56"/>
      <c r="C264" s="56"/>
      <c r="D264" s="73"/>
      <c r="E264" s="77"/>
      <c r="F264" s="75"/>
      <c r="H264" s="60" t="s">
        <v>103</v>
      </c>
      <c r="I264" s="48">
        <f ca="1">IFERROR(__xludf.DUMMYFUNCTION("IMPORTRANGE(""https://docs.google.com/spreadsheets/d/1C3CXT74ZlgGe6_JY_1olB1XN4rF0dxEuIIF-xsYjHgg/edit?usp=sharing"",""งบกองทุน!i26"")"),75)</f>
        <v>75</v>
      </c>
      <c r="J264" s="68">
        <v>0</v>
      </c>
      <c r="K264" s="49">
        <f t="shared" ca="1" si="60"/>
        <v>0</v>
      </c>
      <c r="L264" s="61"/>
      <c r="M264" s="61"/>
      <c r="N264" s="61"/>
    </row>
    <row r="265" spans="1:14" ht="21.75" customHeight="1" x14ac:dyDescent="0.4">
      <c r="A265" s="55"/>
      <c r="B265" s="56"/>
      <c r="C265" s="56"/>
      <c r="D265" s="73"/>
      <c r="E265" s="77"/>
      <c r="F265" s="75"/>
      <c r="G265" s="99" t="s">
        <v>219</v>
      </c>
      <c r="H265" s="60" t="s">
        <v>16</v>
      </c>
      <c r="I265" s="48">
        <f ca="1">I263</f>
        <v>60</v>
      </c>
      <c r="J265" s="68">
        <v>0</v>
      </c>
      <c r="K265" s="49">
        <f t="shared" ca="1" si="60"/>
        <v>0</v>
      </c>
      <c r="L265" s="61"/>
      <c r="M265" s="61"/>
      <c r="N265" s="61"/>
    </row>
    <row r="266" spans="1:14" ht="21.75" hidden="1" customHeight="1" x14ac:dyDescent="0.4">
      <c r="A266" s="55"/>
      <c r="B266" s="56"/>
      <c r="C266" s="56"/>
      <c r="D266" s="73"/>
      <c r="E266" s="77"/>
      <c r="F266" s="75"/>
      <c r="G266" s="76"/>
      <c r="H266" s="60" t="s">
        <v>103</v>
      </c>
      <c r="I266" s="48">
        <f ca="1">IFERROR(__xludf.DUMMYFUNCTION("IMPORTRANGE(""https://docs.google.com/spreadsheets/d/1C3CXT74ZlgGe6_JY_1olB1XN4rF0dxEuIIF-xsYjHgg/edit?usp=sharing"",""งบกองทุน!k26"")"),30)</f>
        <v>30</v>
      </c>
      <c r="J266" s="68">
        <v>0</v>
      </c>
      <c r="K266" s="49">
        <f t="shared" ca="1" si="60"/>
        <v>0</v>
      </c>
      <c r="L266" s="61"/>
      <c r="M266" s="61"/>
      <c r="N266" s="61"/>
    </row>
    <row r="267" spans="1:14" ht="21.75" customHeight="1" x14ac:dyDescent="0.4">
      <c r="A267" s="55"/>
      <c r="B267" s="56"/>
      <c r="C267" s="56"/>
      <c r="D267" s="73"/>
      <c r="E267" s="77"/>
      <c r="F267" s="75"/>
      <c r="G267" s="76" t="s">
        <v>220</v>
      </c>
      <c r="H267" s="60" t="s">
        <v>16</v>
      </c>
      <c r="I267" s="48">
        <f ca="1">I265</f>
        <v>60</v>
      </c>
      <c r="J267" s="68">
        <v>0</v>
      </c>
      <c r="K267" s="49">
        <f t="shared" ca="1" si="60"/>
        <v>0</v>
      </c>
      <c r="L267" s="61"/>
      <c r="M267" s="61"/>
      <c r="N267" s="61"/>
    </row>
    <row r="268" spans="1:14" ht="21.75" hidden="1" customHeight="1" x14ac:dyDescent="0.4">
      <c r="A268" s="55"/>
      <c r="B268" s="56"/>
      <c r="C268" s="56"/>
      <c r="D268" s="73"/>
      <c r="E268" s="77"/>
      <c r="F268" s="75"/>
      <c r="G268" s="99" t="s">
        <v>122</v>
      </c>
      <c r="H268" s="60" t="s">
        <v>16</v>
      </c>
      <c r="I268" s="67">
        <f ca="1">IFERROR(__xludf.DUMMYFUNCTION("IMPORTRANGE(""https://docs.google.com/spreadsheets/d/1C3CXT74ZlgGe6_JY_1olB1XN4rF0dxEuIIF-xsYjHgg/edit?usp=sharing"",""งบกองทุน!m26"")"),0)</f>
        <v>0</v>
      </c>
      <c r="J268" s="67">
        <v>0</v>
      </c>
      <c r="K268" s="49">
        <f t="shared" ca="1" si="60"/>
        <v>0</v>
      </c>
      <c r="L268" s="61"/>
      <c r="M268" s="61"/>
      <c r="N268" s="61"/>
    </row>
    <row r="269" spans="1:14" ht="21.75" hidden="1" customHeight="1" x14ac:dyDescent="0.4">
      <c r="A269" s="55"/>
      <c r="B269" s="56"/>
      <c r="C269" s="56"/>
      <c r="D269" s="73"/>
      <c r="E269" s="77"/>
      <c r="F269" s="75"/>
      <c r="G269" s="76" t="s">
        <v>123</v>
      </c>
      <c r="H269" s="60"/>
      <c r="I269" s="67"/>
      <c r="J269" s="67"/>
      <c r="K269" s="49"/>
      <c r="L269" s="61"/>
      <c r="M269" s="61"/>
      <c r="N269" s="61"/>
    </row>
    <row r="270" spans="1:14" ht="21.75" customHeight="1" x14ac:dyDescent="0.4">
      <c r="A270" s="55"/>
      <c r="B270" s="56"/>
      <c r="C270" s="56"/>
      <c r="D270" s="73"/>
      <c r="E270" s="75"/>
      <c r="F270" s="74" t="s">
        <v>34</v>
      </c>
      <c r="G270" s="76"/>
      <c r="H270" s="66" t="s">
        <v>103</v>
      </c>
      <c r="I270" s="67">
        <f t="shared" ref="I270:J270" ca="1" si="61">SUM(I271:I272)</f>
        <v>105</v>
      </c>
      <c r="J270" s="67">
        <f t="shared" si="61"/>
        <v>0</v>
      </c>
      <c r="K270" s="49">
        <f t="shared" ref="K270:K272" ca="1" si="62">IF(I270&gt;0,J270*100/I270,0)</f>
        <v>0</v>
      </c>
      <c r="L270" s="61"/>
      <c r="M270" s="61"/>
      <c r="N270" s="61"/>
    </row>
    <row r="271" spans="1:14" ht="21.75" customHeight="1" x14ac:dyDescent="0.4">
      <c r="A271" s="55"/>
      <c r="B271" s="56"/>
      <c r="C271" s="56"/>
      <c r="D271" s="73"/>
      <c r="E271" s="75"/>
      <c r="F271" s="75"/>
      <c r="G271" s="76" t="s">
        <v>124</v>
      </c>
      <c r="H271" s="66" t="s">
        <v>103</v>
      </c>
      <c r="I271" s="67">
        <f ca="1">IFERROR(__xludf.DUMMYFUNCTION("IMPORTRANGE(""https://docs.google.com/spreadsheets/d/1C3CXT74ZlgGe6_JY_1olB1XN4rF0dxEuIIF-xsYjHgg/edit?usp=sharing"",""งบกองทุน!o26"")"),30)</f>
        <v>30</v>
      </c>
      <c r="J271" s="68">
        <v>0</v>
      </c>
      <c r="K271" s="49">
        <f t="shared" ca="1" si="62"/>
        <v>0</v>
      </c>
      <c r="L271" s="61"/>
      <c r="M271" s="61"/>
      <c r="N271" s="61"/>
    </row>
    <row r="272" spans="1:14" ht="21.75" customHeight="1" x14ac:dyDescent="0.4">
      <c r="A272" s="55"/>
      <c r="B272" s="56"/>
      <c r="C272" s="56"/>
      <c r="D272" s="73"/>
      <c r="E272" s="75"/>
      <c r="F272" s="75"/>
      <c r="G272" s="76" t="s">
        <v>125</v>
      </c>
      <c r="H272" s="66" t="s">
        <v>103</v>
      </c>
      <c r="I272" s="67">
        <f ca="1">IFERROR(__xludf.DUMMYFUNCTION("IMPORTRANGE(""https://docs.google.com/spreadsheets/d/1C3CXT74ZlgGe6_JY_1olB1XN4rF0dxEuIIF-xsYjHgg/edit?usp=sharing"",""งบกองทุน!p26"")"),75)</f>
        <v>75</v>
      </c>
      <c r="J272" s="68">
        <v>0</v>
      </c>
      <c r="K272" s="49">
        <f t="shared" ca="1" si="62"/>
        <v>0</v>
      </c>
      <c r="L272" s="61"/>
      <c r="M272" s="61"/>
      <c r="N272" s="61"/>
    </row>
    <row r="273" spans="1:14" ht="21.75" customHeight="1" x14ac:dyDescent="0.4">
      <c r="A273" s="55"/>
      <c r="B273" s="56"/>
      <c r="C273" s="56"/>
      <c r="D273" s="73"/>
      <c r="E273" s="74" t="s">
        <v>35</v>
      </c>
      <c r="F273" s="75"/>
      <c r="G273" s="76"/>
      <c r="H273" s="66"/>
      <c r="I273" s="67"/>
      <c r="J273" s="68">
        <v>0</v>
      </c>
      <c r="K273" s="49"/>
      <c r="L273" s="61"/>
      <c r="M273" s="61"/>
      <c r="N273" s="61"/>
    </row>
    <row r="274" spans="1:14" ht="21.75" customHeight="1" x14ac:dyDescent="0.4">
      <c r="A274" s="55"/>
      <c r="B274" s="56"/>
      <c r="C274" s="56"/>
      <c r="D274" s="81">
        <v>3</v>
      </c>
      <c r="E274" s="82" t="s">
        <v>36</v>
      </c>
      <c r="F274" s="83"/>
      <c r="G274" s="84"/>
      <c r="H274" s="66"/>
      <c r="I274" s="67"/>
      <c r="J274" s="85">
        <v>0</v>
      </c>
      <c r="K274" s="49"/>
      <c r="L274" s="61"/>
      <c r="M274" s="61"/>
      <c r="N274" s="61"/>
    </row>
    <row r="275" spans="1:14" ht="21.75" customHeight="1" x14ac:dyDescent="0.4">
      <c r="A275" s="222"/>
      <c r="B275" s="223">
        <v>2</v>
      </c>
      <c r="C275" s="224" t="s">
        <v>126</v>
      </c>
      <c r="D275" s="224"/>
      <c r="E275" s="234"/>
      <c r="F275" s="234"/>
      <c r="G275" s="235"/>
      <c r="H275" s="226" t="s">
        <v>103</v>
      </c>
      <c r="I275" s="227">
        <f ca="1">I292</f>
        <v>1000</v>
      </c>
      <c r="J275" s="227">
        <f>+J292</f>
        <v>0</v>
      </c>
      <c r="K275" s="228">
        <f t="shared" ref="K275:K276" ca="1" si="63">IF(I275&gt;0,J275*100/I275,0)</f>
        <v>0</v>
      </c>
      <c r="L275" s="229">
        <f t="shared" ref="L275:M275" ca="1" si="64">SUM(L277:L278)</f>
        <v>1028520</v>
      </c>
      <c r="M275" s="229">
        <f t="shared" si="64"/>
        <v>0</v>
      </c>
      <c r="N275" s="229">
        <f ca="1">+IF(L275&gt;0,M275*100/L275,0)</f>
        <v>0</v>
      </c>
    </row>
    <row r="276" spans="1:14" ht="21.75" customHeight="1" x14ac:dyDescent="0.4">
      <c r="A276" s="222"/>
      <c r="B276" s="223"/>
      <c r="C276" s="224"/>
      <c r="D276" s="236"/>
      <c r="E276" s="237"/>
      <c r="F276" s="237"/>
      <c r="G276" s="238"/>
      <c r="H276" s="226" t="s">
        <v>16</v>
      </c>
      <c r="I276" s="227">
        <f ca="1">I291</f>
        <v>100</v>
      </c>
      <c r="J276" s="227">
        <f>+J291</f>
        <v>0</v>
      </c>
      <c r="K276" s="228">
        <f t="shared" ca="1" si="63"/>
        <v>0</v>
      </c>
      <c r="L276" s="229"/>
      <c r="M276" s="229"/>
      <c r="N276" s="229"/>
    </row>
    <row r="277" spans="1:14" ht="21.75" customHeight="1" x14ac:dyDescent="0.4">
      <c r="A277" s="42"/>
      <c r="B277" s="43"/>
      <c r="C277" s="43" t="s">
        <v>17</v>
      </c>
      <c r="D277" s="44" t="s">
        <v>18</v>
      </c>
      <c r="E277" s="45"/>
      <c r="F277" s="45"/>
      <c r="G277" s="46" t="s">
        <v>19</v>
      </c>
      <c r="H277" s="47" t="s">
        <v>20</v>
      </c>
      <c r="I277" s="48" t="s">
        <v>21</v>
      </c>
      <c r="J277" s="48"/>
      <c r="K277" s="49"/>
      <c r="L277" s="50">
        <v>0</v>
      </c>
      <c r="M277" s="50">
        <v>0</v>
      </c>
      <c r="N277" s="50">
        <f t="shared" ref="N277:N280" si="65">+IF(L277&gt;0,M277*100/L277,0)</f>
        <v>0</v>
      </c>
    </row>
    <row r="278" spans="1:14" ht="21.75" customHeight="1" x14ac:dyDescent="0.4">
      <c r="A278" s="42"/>
      <c r="B278" s="43"/>
      <c r="C278" s="43"/>
      <c r="D278" s="51"/>
      <c r="E278" s="45"/>
      <c r="F278" s="45" t="s">
        <v>21</v>
      </c>
      <c r="G278" s="46" t="s">
        <v>22</v>
      </c>
      <c r="H278" s="47" t="s">
        <v>20</v>
      </c>
      <c r="I278" s="48"/>
      <c r="J278" s="48"/>
      <c r="K278" s="49"/>
      <c r="L278" s="50">
        <f t="shared" ref="L278:M278" ca="1" si="66">SUM(L279:L280)</f>
        <v>1028520</v>
      </c>
      <c r="M278" s="50">
        <f t="shared" si="66"/>
        <v>0</v>
      </c>
      <c r="N278" s="50">
        <f t="shared" ca="1" si="65"/>
        <v>0</v>
      </c>
    </row>
    <row r="279" spans="1:14" ht="21.75" customHeight="1" x14ac:dyDescent="0.4">
      <c r="A279" s="42"/>
      <c r="B279" s="43"/>
      <c r="C279" s="43"/>
      <c r="D279" s="51"/>
      <c r="E279" s="45"/>
      <c r="F279" s="45"/>
      <c r="G279" s="52" t="s">
        <v>110</v>
      </c>
      <c r="H279" s="47" t="s">
        <v>20</v>
      </c>
      <c r="I279" s="48"/>
      <c r="J279" s="48"/>
      <c r="K279" s="49"/>
      <c r="L279" s="53">
        <f ca="1">IFERROR(__xludf.DUMMYFUNCTION("IMPORTRANGE(""https://docs.google.com/spreadsheets/d/1C3CXT74ZlgGe6_JY_1olB1XN4rF0dxEuIIF-xsYjHgg/edit?usp=sharing"",""งบกองทุน!r26"")"),0)</f>
        <v>0</v>
      </c>
      <c r="M279" s="53">
        <v>0</v>
      </c>
      <c r="N279" s="53">
        <f t="shared" ca="1" si="65"/>
        <v>0</v>
      </c>
    </row>
    <row r="280" spans="1:14" ht="21.75" customHeight="1" x14ac:dyDescent="0.4">
      <c r="A280" s="42"/>
      <c r="B280" s="43"/>
      <c r="C280" s="43"/>
      <c r="D280" s="51"/>
      <c r="E280" s="45"/>
      <c r="F280" s="45"/>
      <c r="G280" s="52" t="s">
        <v>111</v>
      </c>
      <c r="H280" s="47" t="s">
        <v>20</v>
      </c>
      <c r="I280" s="48"/>
      <c r="J280" s="48"/>
      <c r="K280" s="49"/>
      <c r="L280" s="53">
        <f ca="1">IFERROR(__xludf.DUMMYFUNCTION("IMPORTRANGE(""https://docs.google.com/spreadsheets/d/1C3CXT74ZlgGe6_JY_1olB1XN4rF0dxEuIIF-xsYjHgg/edit?usp=sharing"",""งบกองทุน!s26"")"),1028520)</f>
        <v>1028520</v>
      </c>
      <c r="M280" s="53">
        <f>SUM(M281:M284)</f>
        <v>0</v>
      </c>
      <c r="N280" s="53">
        <f t="shared" ca="1" si="65"/>
        <v>0</v>
      </c>
    </row>
    <row r="281" spans="1:14" ht="21.75" customHeight="1" x14ac:dyDescent="0.4">
      <c r="A281" s="230"/>
      <c r="B281" s="231"/>
      <c r="C281" s="43"/>
      <c r="D281" s="232"/>
      <c r="E281" s="45"/>
      <c r="F281" s="45"/>
      <c r="G281" s="46" t="s">
        <v>112</v>
      </c>
      <c r="H281" s="47" t="s">
        <v>20</v>
      </c>
      <c r="I281" s="67"/>
      <c r="J281" s="67"/>
      <c r="K281" s="233"/>
      <c r="L281" s="53"/>
      <c r="M281" s="54">
        <v>0</v>
      </c>
      <c r="N281" s="53"/>
    </row>
    <row r="282" spans="1:14" ht="21.75" customHeight="1" x14ac:dyDescent="0.4">
      <c r="A282" s="230"/>
      <c r="B282" s="231"/>
      <c r="C282" s="43"/>
      <c r="D282" s="232"/>
      <c r="E282" s="45"/>
      <c r="F282" s="45"/>
      <c r="G282" s="46" t="s">
        <v>113</v>
      </c>
      <c r="H282" s="47" t="s">
        <v>20</v>
      </c>
      <c r="I282" s="67"/>
      <c r="J282" s="67"/>
      <c r="K282" s="233"/>
      <c r="L282" s="53"/>
      <c r="M282" s="54">
        <v>0</v>
      </c>
      <c r="N282" s="53"/>
    </row>
    <row r="283" spans="1:14" ht="21.75" customHeight="1" x14ac:dyDescent="0.4">
      <c r="A283" s="230"/>
      <c r="B283" s="231"/>
      <c r="C283" s="43"/>
      <c r="D283" s="232"/>
      <c r="E283" s="45"/>
      <c r="F283" s="45"/>
      <c r="G283" s="46" t="s">
        <v>114</v>
      </c>
      <c r="H283" s="47" t="s">
        <v>20</v>
      </c>
      <c r="I283" s="67"/>
      <c r="J283" s="67"/>
      <c r="K283" s="233"/>
      <c r="L283" s="53"/>
      <c r="M283" s="54">
        <v>0</v>
      </c>
      <c r="N283" s="53"/>
    </row>
    <row r="284" spans="1:14" ht="21.75" customHeight="1" x14ac:dyDescent="0.4">
      <c r="A284" s="230"/>
      <c r="B284" s="231"/>
      <c r="C284" s="43"/>
      <c r="D284" s="232"/>
      <c r="E284" s="45"/>
      <c r="F284" s="45"/>
      <c r="G284" s="46" t="s">
        <v>115</v>
      </c>
      <c r="H284" s="47" t="s">
        <v>20</v>
      </c>
      <c r="I284" s="67"/>
      <c r="J284" s="67"/>
      <c r="K284" s="233"/>
      <c r="L284" s="53"/>
      <c r="M284" s="54">
        <v>0</v>
      </c>
      <c r="N284" s="53"/>
    </row>
    <row r="285" spans="1:14" ht="21.75" customHeight="1" x14ac:dyDescent="0.4">
      <c r="A285" s="55"/>
      <c r="B285" s="56"/>
      <c r="C285" s="43" t="s">
        <v>17</v>
      </c>
      <c r="D285" s="57" t="s">
        <v>25</v>
      </c>
      <c r="E285" s="58"/>
      <c r="F285" s="58"/>
      <c r="G285" s="59"/>
      <c r="H285" s="60"/>
      <c r="I285" s="48"/>
      <c r="J285" s="48"/>
      <c r="K285" s="49"/>
      <c r="L285" s="61"/>
      <c r="M285" s="61"/>
      <c r="N285" s="61"/>
    </row>
    <row r="286" spans="1:14" ht="21.75" customHeight="1" x14ac:dyDescent="0.4">
      <c r="A286" s="55"/>
      <c r="B286" s="56"/>
      <c r="C286" s="56"/>
      <c r="D286" s="62">
        <v>1</v>
      </c>
      <c r="E286" s="63" t="s">
        <v>26</v>
      </c>
      <c r="F286" s="64"/>
      <c r="G286" s="65"/>
      <c r="H286" s="66"/>
      <c r="I286" s="67"/>
      <c r="J286" s="68">
        <v>0</v>
      </c>
      <c r="K286" s="49"/>
      <c r="L286" s="61"/>
      <c r="M286" s="61"/>
      <c r="N286" s="61"/>
    </row>
    <row r="287" spans="1:14" ht="21.75" customHeight="1" x14ac:dyDescent="0.4">
      <c r="A287" s="55"/>
      <c r="B287" s="56"/>
      <c r="C287" s="56"/>
      <c r="D287" s="69">
        <v>2</v>
      </c>
      <c r="E287" s="70" t="s">
        <v>27</v>
      </c>
      <c r="F287" s="71"/>
      <c r="G287" s="72"/>
      <c r="H287" s="66"/>
      <c r="I287" s="67"/>
      <c r="J287" s="68">
        <v>1</v>
      </c>
      <c r="K287" s="49"/>
      <c r="L287" s="61" t="s">
        <v>21</v>
      </c>
      <c r="M287" s="61" t="s">
        <v>21</v>
      </c>
      <c r="N287" s="61"/>
    </row>
    <row r="288" spans="1:14" ht="21.75" customHeight="1" x14ac:dyDescent="0.4">
      <c r="A288" s="55"/>
      <c r="B288" s="56"/>
      <c r="C288" s="56"/>
      <c r="D288" s="73"/>
      <c r="E288" s="74" t="s">
        <v>28</v>
      </c>
      <c r="F288" s="75"/>
      <c r="G288" s="76"/>
      <c r="H288" s="66"/>
      <c r="I288" s="67"/>
      <c r="J288" s="68">
        <v>1</v>
      </c>
      <c r="K288" s="49"/>
      <c r="L288" s="61"/>
      <c r="M288" s="61"/>
      <c r="N288" s="61"/>
    </row>
    <row r="289" spans="1:14" ht="21.75" customHeight="1" x14ac:dyDescent="0.4">
      <c r="A289" s="55"/>
      <c r="B289" s="56"/>
      <c r="C289" s="56"/>
      <c r="D289" s="73"/>
      <c r="E289" s="74" t="s">
        <v>29</v>
      </c>
      <c r="F289" s="75"/>
      <c r="G289" s="76"/>
      <c r="H289" s="66"/>
      <c r="I289" s="67"/>
      <c r="J289" s="68">
        <v>1</v>
      </c>
      <c r="K289" s="49"/>
      <c r="L289" s="61"/>
      <c r="M289" s="61"/>
      <c r="N289" s="61"/>
    </row>
    <row r="290" spans="1:14" ht="21.75" customHeight="1" x14ac:dyDescent="0.4">
      <c r="A290" s="55"/>
      <c r="B290" s="56"/>
      <c r="C290" s="56"/>
      <c r="D290" s="73"/>
      <c r="E290" s="77"/>
      <c r="F290" s="74" t="s">
        <v>127</v>
      </c>
      <c r="G290" s="75"/>
      <c r="H290" s="66"/>
      <c r="I290" s="67"/>
      <c r="J290" s="67"/>
      <c r="K290" s="49"/>
      <c r="L290" s="61"/>
      <c r="M290" s="61"/>
      <c r="N290" s="61"/>
    </row>
    <row r="291" spans="1:14" ht="21.75" customHeight="1" x14ac:dyDescent="0.4">
      <c r="A291" s="55"/>
      <c r="B291" s="56"/>
      <c r="C291" s="56"/>
      <c r="D291" s="73"/>
      <c r="E291" s="77"/>
      <c r="F291" s="75"/>
      <c r="G291" s="99" t="s">
        <v>50</v>
      </c>
      <c r="H291" s="66" t="s">
        <v>16</v>
      </c>
      <c r="I291" s="67">
        <f ca="1">IFERROR(__xludf.DUMMYFUNCTION("IMPORTRANGE(""https://docs.google.com/spreadsheets/d/1C3CXT74ZlgGe6_JY_1olB1XN4rF0dxEuIIF-xsYjHgg/edit?usp=sharing"",""งบกองทุน!v26"")"),100)</f>
        <v>100</v>
      </c>
      <c r="J291" s="68">
        <v>0</v>
      </c>
      <c r="K291" s="49">
        <f t="shared" ref="K291:K293" ca="1" si="67">IF(I291&gt;0,J291*100/I291,0)</f>
        <v>0</v>
      </c>
      <c r="L291" s="61"/>
      <c r="M291" s="61"/>
      <c r="N291" s="61"/>
    </row>
    <row r="292" spans="1:14" ht="21.75" customHeight="1" x14ac:dyDescent="0.4">
      <c r="A292" s="55"/>
      <c r="B292" s="56"/>
      <c r="C292" s="56"/>
      <c r="D292" s="73"/>
      <c r="E292" s="77"/>
      <c r="F292" s="75"/>
      <c r="G292" s="76" t="s">
        <v>34</v>
      </c>
      <c r="H292" s="66" t="s">
        <v>103</v>
      </c>
      <c r="I292" s="67">
        <f ca="1">IFERROR(__xludf.DUMMYFUNCTION("IMPORTRANGE(""https://docs.google.com/spreadsheets/d/1C3CXT74ZlgGe6_JY_1olB1XN4rF0dxEuIIF-xsYjHgg/edit?usp=sharing"",""งบกองทุน!w26"")"),1000)</f>
        <v>1000</v>
      </c>
      <c r="J292" s="68">
        <v>0</v>
      </c>
      <c r="K292" s="49">
        <f t="shared" ca="1" si="67"/>
        <v>0</v>
      </c>
      <c r="L292" s="61"/>
      <c r="M292" s="61"/>
      <c r="N292" s="61"/>
    </row>
    <row r="293" spans="1:14" ht="21.75" customHeight="1" x14ac:dyDescent="0.4">
      <c r="A293" s="55"/>
      <c r="B293" s="56"/>
      <c r="C293" s="56"/>
      <c r="D293" s="73"/>
      <c r="E293" s="77"/>
      <c r="F293" s="75"/>
      <c r="G293" s="76"/>
      <c r="H293" s="66" t="s">
        <v>16</v>
      </c>
      <c r="I293" s="67">
        <f ca="1">IFERROR(__xludf.DUMMYFUNCTION("IMPORTRANGE(""https://docs.google.com/spreadsheets/d/1C3CXT74ZlgGe6_JY_1olB1XN4rF0dxEuIIF-xsYjHgg/edit?usp=sharing"",""งบกองทุน!x26"")"),100)</f>
        <v>100</v>
      </c>
      <c r="J293" s="68">
        <v>0</v>
      </c>
      <c r="K293" s="49">
        <f t="shared" ca="1" si="67"/>
        <v>0</v>
      </c>
      <c r="L293" s="61"/>
      <c r="M293" s="61"/>
      <c r="N293" s="61"/>
    </row>
    <row r="294" spans="1:14" ht="21.75" customHeight="1" x14ac:dyDescent="0.4">
      <c r="A294" s="55"/>
      <c r="B294" s="56"/>
      <c r="C294" s="56"/>
      <c r="D294" s="73"/>
      <c r="E294" s="74" t="s">
        <v>35</v>
      </c>
      <c r="F294" s="75"/>
      <c r="G294" s="76"/>
      <c r="H294" s="66"/>
      <c r="I294" s="67"/>
      <c r="J294" s="68">
        <v>0</v>
      </c>
      <c r="K294" s="49"/>
      <c r="L294" s="61"/>
      <c r="M294" s="61"/>
      <c r="N294" s="61"/>
    </row>
    <row r="295" spans="1:14" ht="21.75" customHeight="1" x14ac:dyDescent="0.4">
      <c r="A295" s="55"/>
      <c r="B295" s="56"/>
      <c r="C295" s="56"/>
      <c r="D295" s="81">
        <v>3</v>
      </c>
      <c r="E295" s="82" t="s">
        <v>36</v>
      </c>
      <c r="F295" s="83"/>
      <c r="G295" s="84"/>
      <c r="H295" s="66"/>
      <c r="I295" s="67"/>
      <c r="J295" s="85">
        <v>0</v>
      </c>
      <c r="K295" s="49"/>
      <c r="L295" s="61"/>
      <c r="M295" s="61"/>
      <c r="N295" s="61"/>
    </row>
    <row r="296" spans="1:14" ht="21.75" customHeight="1" x14ac:dyDescent="0.4">
      <c r="A296" s="222"/>
      <c r="B296" s="223">
        <v>3</v>
      </c>
      <c r="C296" s="223" t="s">
        <v>128</v>
      </c>
      <c r="D296" s="224"/>
      <c r="E296" s="224"/>
      <c r="F296" s="224"/>
      <c r="G296" s="225"/>
      <c r="H296" s="226" t="s">
        <v>103</v>
      </c>
      <c r="I296" s="227">
        <f ca="1">SUM(I313,I317,I322)</f>
        <v>261</v>
      </c>
      <c r="J296" s="227">
        <f>J313+J317+J322</f>
        <v>0</v>
      </c>
      <c r="K296" s="228">
        <f t="shared" ref="K296:K297" ca="1" si="68">IF(I296&gt;0,J296*100/I296,0)</f>
        <v>0</v>
      </c>
      <c r="L296" s="229">
        <f t="shared" ref="L296:M296" ca="1" si="69">SUM(L298:L299)</f>
        <v>271920</v>
      </c>
      <c r="M296" s="229">
        <f t="shared" si="69"/>
        <v>0</v>
      </c>
      <c r="N296" s="229">
        <f ca="1">+IF(L296&gt;0,M296*100/L296,0)</f>
        <v>0</v>
      </c>
    </row>
    <row r="297" spans="1:14" ht="21.75" customHeight="1" x14ac:dyDescent="0.4">
      <c r="A297" s="222"/>
      <c r="B297" s="223"/>
      <c r="C297" s="223"/>
      <c r="D297" s="236"/>
      <c r="E297" s="236"/>
      <c r="F297" s="236"/>
      <c r="G297" s="239"/>
      <c r="H297" s="226" t="s">
        <v>16</v>
      </c>
      <c r="I297" s="227">
        <f ca="1">SUM(I312,I316,I321)</f>
        <v>87</v>
      </c>
      <c r="J297" s="227">
        <f ca="1">J311</f>
        <v>0</v>
      </c>
      <c r="K297" s="228">
        <f t="shared" ca="1" si="68"/>
        <v>0</v>
      </c>
      <c r="L297" s="229"/>
      <c r="M297" s="229"/>
      <c r="N297" s="229"/>
    </row>
    <row r="298" spans="1:14" ht="21.75" customHeight="1" x14ac:dyDescent="0.4">
      <c r="A298" s="42"/>
      <c r="B298" s="43"/>
      <c r="C298" s="43" t="s">
        <v>17</v>
      </c>
      <c r="D298" s="44" t="s">
        <v>18</v>
      </c>
      <c r="E298" s="45"/>
      <c r="F298" s="45"/>
      <c r="G298" s="46" t="s">
        <v>19</v>
      </c>
      <c r="H298" s="47" t="s">
        <v>20</v>
      </c>
      <c r="I298" s="48" t="s">
        <v>21</v>
      </c>
      <c r="J298" s="48"/>
      <c r="K298" s="49"/>
      <c r="L298" s="50">
        <v>0</v>
      </c>
      <c r="M298" s="53">
        <v>0</v>
      </c>
      <c r="N298" s="53">
        <f t="shared" ref="N298:N301" si="70">+IF(L298&gt;0,M298*100/L298,0)</f>
        <v>0</v>
      </c>
    </row>
    <row r="299" spans="1:14" ht="21.75" customHeight="1" x14ac:dyDescent="0.4">
      <c r="A299" s="42"/>
      <c r="B299" s="43"/>
      <c r="C299" s="43"/>
      <c r="D299" s="51"/>
      <c r="E299" s="45"/>
      <c r="F299" s="45" t="s">
        <v>21</v>
      </c>
      <c r="G299" s="46" t="s">
        <v>22</v>
      </c>
      <c r="H299" s="47" t="s">
        <v>20</v>
      </c>
      <c r="I299" s="48"/>
      <c r="J299" s="48"/>
      <c r="K299" s="49"/>
      <c r="L299" s="50">
        <f t="shared" ref="L299:M299" ca="1" si="71">SUM(L300:L301)</f>
        <v>271920</v>
      </c>
      <c r="M299" s="53">
        <f t="shared" si="71"/>
        <v>0</v>
      </c>
      <c r="N299" s="53">
        <f t="shared" ca="1" si="70"/>
        <v>0</v>
      </c>
    </row>
    <row r="300" spans="1:14" ht="21.75" customHeight="1" x14ac:dyDescent="0.4">
      <c r="A300" s="42"/>
      <c r="B300" s="43"/>
      <c r="C300" s="43"/>
      <c r="D300" s="51"/>
      <c r="E300" s="45"/>
      <c r="F300" s="45"/>
      <c r="G300" s="52" t="s">
        <v>110</v>
      </c>
      <c r="H300" s="47" t="s">
        <v>20</v>
      </c>
      <c r="I300" s="48"/>
      <c r="J300" s="48"/>
      <c r="K300" s="49"/>
      <c r="L300" s="53">
        <f ca="1">IFERROR(__xludf.DUMMYFUNCTION("IMPORTRANGE(""https://docs.google.com/spreadsheets/d/1C3CXT74ZlgGe6_JY_1olB1XN4rF0dxEuIIF-xsYjHgg/edit?usp=sharing"",""งบกองทุน!z26"")"),0)</f>
        <v>0</v>
      </c>
      <c r="M300" s="53">
        <v>0</v>
      </c>
      <c r="N300" s="53">
        <f t="shared" ca="1" si="70"/>
        <v>0</v>
      </c>
    </row>
    <row r="301" spans="1:14" ht="21.75" customHeight="1" x14ac:dyDescent="0.4">
      <c r="A301" s="42"/>
      <c r="B301" s="43"/>
      <c r="C301" s="43"/>
      <c r="D301" s="51"/>
      <c r="E301" s="45"/>
      <c r="F301" s="45"/>
      <c r="G301" s="52" t="s">
        <v>111</v>
      </c>
      <c r="H301" s="47" t="s">
        <v>20</v>
      </c>
      <c r="I301" s="48"/>
      <c r="J301" s="48"/>
      <c r="K301" s="49"/>
      <c r="L301" s="53">
        <f ca="1">IFERROR(__xludf.DUMMYFUNCTION("IMPORTRANGE(""https://docs.google.com/spreadsheets/d/1C3CXT74ZlgGe6_JY_1olB1XN4rF0dxEuIIF-xsYjHgg/edit?usp=sharing"",""งบกองทุน!aa26"")"),271920)</f>
        <v>271920</v>
      </c>
      <c r="M301" s="53">
        <f>SUM(M302:M305)</f>
        <v>0</v>
      </c>
      <c r="N301" s="53">
        <f t="shared" ca="1" si="70"/>
        <v>0</v>
      </c>
    </row>
    <row r="302" spans="1:14" ht="21.75" customHeight="1" x14ac:dyDescent="0.4">
      <c r="A302" s="230"/>
      <c r="B302" s="231"/>
      <c r="C302" s="43"/>
      <c r="D302" s="232"/>
      <c r="E302" s="45"/>
      <c r="F302" s="45"/>
      <c r="G302" s="46" t="s">
        <v>112</v>
      </c>
      <c r="H302" s="47" t="s">
        <v>20</v>
      </c>
      <c r="I302" s="67"/>
      <c r="J302" s="67"/>
      <c r="K302" s="233"/>
      <c r="L302" s="53"/>
      <c r="M302" s="54">
        <v>0</v>
      </c>
      <c r="N302" s="53"/>
    </row>
    <row r="303" spans="1:14" ht="21.75" customHeight="1" x14ac:dyDescent="0.4">
      <c r="A303" s="230"/>
      <c r="B303" s="231"/>
      <c r="C303" s="43"/>
      <c r="D303" s="232"/>
      <c r="E303" s="45"/>
      <c r="F303" s="45"/>
      <c r="G303" s="46" t="s">
        <v>113</v>
      </c>
      <c r="H303" s="47" t="s">
        <v>20</v>
      </c>
      <c r="I303" s="67"/>
      <c r="J303" s="67"/>
      <c r="K303" s="233"/>
      <c r="L303" s="53"/>
      <c r="M303" s="54">
        <v>0</v>
      </c>
      <c r="N303" s="53"/>
    </row>
    <row r="304" spans="1:14" ht="21.75" customHeight="1" x14ac:dyDescent="0.4">
      <c r="A304" s="230"/>
      <c r="B304" s="231"/>
      <c r="C304" s="43"/>
      <c r="D304" s="232"/>
      <c r="E304" s="45"/>
      <c r="F304" s="45"/>
      <c r="G304" s="46" t="s">
        <v>114</v>
      </c>
      <c r="H304" s="47" t="s">
        <v>20</v>
      </c>
      <c r="I304" s="67"/>
      <c r="J304" s="67"/>
      <c r="K304" s="233"/>
      <c r="L304" s="53"/>
      <c r="M304" s="54">
        <v>0</v>
      </c>
      <c r="N304" s="53"/>
    </row>
    <row r="305" spans="1:14" ht="21.75" customHeight="1" x14ac:dyDescent="0.4">
      <c r="A305" s="230"/>
      <c r="B305" s="231"/>
      <c r="C305" s="43"/>
      <c r="D305" s="232"/>
      <c r="E305" s="45"/>
      <c r="F305" s="45"/>
      <c r="G305" s="46" t="s">
        <v>115</v>
      </c>
      <c r="H305" s="47" t="s">
        <v>20</v>
      </c>
      <c r="I305" s="67"/>
      <c r="J305" s="67"/>
      <c r="K305" s="233"/>
      <c r="L305" s="53"/>
      <c r="M305" s="54">
        <v>0</v>
      </c>
      <c r="N305" s="53"/>
    </row>
    <row r="306" spans="1:14" ht="21.75" customHeight="1" x14ac:dyDescent="0.4">
      <c r="A306" s="55"/>
      <c r="B306" s="56"/>
      <c r="C306" s="43" t="s">
        <v>17</v>
      </c>
      <c r="D306" s="57" t="s">
        <v>25</v>
      </c>
      <c r="E306" s="58"/>
      <c r="F306" s="58"/>
      <c r="G306" s="59"/>
      <c r="H306" s="60"/>
      <c r="I306" s="48"/>
      <c r="J306" s="48"/>
      <c r="K306" s="49"/>
      <c r="L306" s="61"/>
      <c r="M306" s="61"/>
      <c r="N306" s="61"/>
    </row>
    <row r="307" spans="1:14" ht="21.75" customHeight="1" x14ac:dyDescent="0.4">
      <c r="A307" s="55"/>
      <c r="B307" s="56"/>
      <c r="C307" s="56"/>
      <c r="D307" s="62">
        <v>1</v>
      </c>
      <c r="E307" s="63" t="s">
        <v>26</v>
      </c>
      <c r="F307" s="64"/>
      <c r="G307" s="65"/>
      <c r="H307" s="66"/>
      <c r="I307" s="67"/>
      <c r="J307" s="68">
        <v>0</v>
      </c>
      <c r="K307" s="49"/>
      <c r="L307" s="61"/>
      <c r="M307" s="61"/>
      <c r="N307" s="61"/>
    </row>
    <row r="308" spans="1:14" ht="21.75" customHeight="1" x14ac:dyDescent="0.4">
      <c r="A308" s="55"/>
      <c r="B308" s="56"/>
      <c r="C308" s="56"/>
      <c r="D308" s="69">
        <v>2</v>
      </c>
      <c r="E308" s="70" t="s">
        <v>27</v>
      </c>
      <c r="F308" s="71"/>
      <c r="G308" s="72"/>
      <c r="H308" s="66"/>
      <c r="I308" s="67"/>
      <c r="J308" s="68">
        <v>1</v>
      </c>
      <c r="K308" s="49"/>
      <c r="L308" s="61" t="s">
        <v>21</v>
      </c>
      <c r="M308" s="61" t="s">
        <v>21</v>
      </c>
      <c r="N308" s="61"/>
    </row>
    <row r="309" spans="1:14" ht="21.75" customHeight="1" x14ac:dyDescent="0.4">
      <c r="A309" s="55"/>
      <c r="B309" s="56"/>
      <c r="C309" s="56"/>
      <c r="D309" s="73"/>
      <c r="E309" s="74" t="s">
        <v>28</v>
      </c>
      <c r="F309" s="75"/>
      <c r="G309" s="76"/>
      <c r="H309" s="66"/>
      <c r="I309" s="67"/>
      <c r="J309" s="68">
        <v>1</v>
      </c>
      <c r="K309" s="49"/>
      <c r="L309" s="61"/>
      <c r="M309" s="61"/>
      <c r="N309" s="61"/>
    </row>
    <row r="310" spans="1:14" ht="21.75" customHeight="1" x14ac:dyDescent="0.4">
      <c r="A310" s="55"/>
      <c r="B310" s="56"/>
      <c r="C310" s="56"/>
      <c r="D310" s="73"/>
      <c r="E310" s="74" t="s">
        <v>29</v>
      </c>
      <c r="F310" s="75"/>
      <c r="G310" s="76"/>
      <c r="H310" s="66"/>
      <c r="I310" s="67"/>
      <c r="J310" s="68">
        <v>1</v>
      </c>
      <c r="K310" s="49"/>
      <c r="L310" s="61"/>
      <c r="M310" s="61"/>
      <c r="N310" s="61"/>
    </row>
    <row r="311" spans="1:14" ht="21.75" customHeight="1" x14ac:dyDescent="0.4">
      <c r="A311" s="55"/>
      <c r="B311" s="56"/>
      <c r="C311" s="56"/>
      <c r="D311" s="73"/>
      <c r="E311" s="77"/>
      <c r="F311" s="74" t="s">
        <v>50</v>
      </c>
      <c r="G311" s="240"/>
      <c r="H311" s="241" t="s">
        <v>16</v>
      </c>
      <c r="I311" s="79">
        <f t="shared" ref="I311:J311" ca="1" si="72">+I312+I316+I321</f>
        <v>87</v>
      </c>
      <c r="J311" s="79">
        <f t="shared" ca="1" si="72"/>
        <v>0</v>
      </c>
      <c r="K311" s="80">
        <f t="shared" ref="K311:K327" ca="1" si="73">IF(I311&gt;0,J311*100/I311,0)</f>
        <v>0</v>
      </c>
      <c r="L311" s="61"/>
      <c r="M311" s="61"/>
      <c r="N311" s="61"/>
    </row>
    <row r="312" spans="1:14" ht="21.75" customHeight="1" x14ac:dyDescent="0.4">
      <c r="A312" s="55"/>
      <c r="B312" s="56"/>
      <c r="C312" s="56"/>
      <c r="D312" s="73"/>
      <c r="E312" s="77"/>
      <c r="F312" s="242" t="s">
        <v>129</v>
      </c>
      <c r="G312" s="76"/>
      <c r="H312" s="78" t="s">
        <v>16</v>
      </c>
      <c r="I312" s="243">
        <f ca="1">IFERROR(__xludf.DUMMYFUNCTION("IMPORTRANGE(""https://docs.google.com/spreadsheets/d/1C3CXT74ZlgGe6_JY_1olB1XN4rF0dxEuIIF-xsYjHgg/edit?usp=sharing"",""งบกองทุน!ae26"")"),20)</f>
        <v>20</v>
      </c>
      <c r="J312" s="79">
        <f ca="1">IF(AND(J314=I314,J315=I315),I314,0)</f>
        <v>0</v>
      </c>
      <c r="K312" s="80">
        <f t="shared" ca="1" si="73"/>
        <v>0</v>
      </c>
      <c r="L312" s="61"/>
      <c r="M312" s="61"/>
      <c r="N312" s="61"/>
    </row>
    <row r="313" spans="1:14" ht="21.75" customHeight="1" x14ac:dyDescent="0.4">
      <c r="A313" s="55"/>
      <c r="B313" s="56"/>
      <c r="C313" s="56"/>
      <c r="D313" s="73"/>
      <c r="E313" s="77"/>
      <c r="F313" s="75"/>
      <c r="G313" s="76"/>
      <c r="H313" s="78" t="s">
        <v>103</v>
      </c>
      <c r="I313" s="243">
        <f ca="1">IFERROR(__xludf.DUMMYFUNCTION("IMPORTRANGE(""https://docs.google.com/spreadsheets/d/1C3CXT74ZlgGe6_JY_1olB1XN4rF0dxEuIIF-xsYjHgg/edit?usp=sharing"",""งบกองทุน!ad26"")"),60)</f>
        <v>60</v>
      </c>
      <c r="J313" s="154">
        <v>0</v>
      </c>
      <c r="K313" s="80">
        <f t="shared" ca="1" si="73"/>
        <v>0</v>
      </c>
      <c r="L313" s="61"/>
      <c r="M313" s="61"/>
      <c r="N313" s="61"/>
    </row>
    <row r="314" spans="1:14" ht="21.75" customHeight="1" x14ac:dyDescent="0.4">
      <c r="A314" s="55"/>
      <c r="B314" s="56"/>
      <c r="C314" s="56"/>
      <c r="D314" s="73"/>
      <c r="E314" s="77"/>
      <c r="F314" s="75"/>
      <c r="G314" s="99" t="s">
        <v>130</v>
      </c>
      <c r="H314" s="60" t="s">
        <v>16</v>
      </c>
      <c r="I314" s="200">
        <f ca="1">IFERROR(__xludf.DUMMYFUNCTION("IMPORTRANGE(""https://docs.google.com/spreadsheets/d/1C3CXT74ZlgGe6_JY_1olB1XN4rF0dxEuIIF-xsYjHgg/edit?usp=sharing"",""งบกองทุน!af26"")"),20)</f>
        <v>20</v>
      </c>
      <c r="J314" s="68">
        <v>0</v>
      </c>
      <c r="K314" s="49">
        <f t="shared" ca="1" si="73"/>
        <v>0</v>
      </c>
      <c r="L314" s="61"/>
      <c r="M314" s="61"/>
      <c r="N314" s="61"/>
    </row>
    <row r="315" spans="1:14" ht="21.75" customHeight="1" x14ac:dyDescent="0.4">
      <c r="A315" s="105"/>
      <c r="B315" s="106"/>
      <c r="C315" s="106"/>
      <c r="D315" s="244"/>
      <c r="E315" s="245"/>
      <c r="F315" s="204"/>
      <c r="G315" s="246" t="s">
        <v>131</v>
      </c>
      <c r="H315" s="206" t="s">
        <v>16</v>
      </c>
      <c r="I315" s="207">
        <f ca="1">IFERROR(__xludf.DUMMYFUNCTION("IMPORTRANGE(""https://docs.google.com/spreadsheets/d/1C3CXT74ZlgGe6_JY_1olB1XN4rF0dxEuIIF-xsYjHgg/edit?usp=sharing"",""งบกองทุน!ag26"")"),20)</f>
        <v>20</v>
      </c>
      <c r="J315" s="247">
        <v>0</v>
      </c>
      <c r="K315" s="114">
        <f t="shared" ca="1" si="73"/>
        <v>0</v>
      </c>
      <c r="L315" s="115"/>
      <c r="M315" s="115"/>
      <c r="N315" s="115"/>
    </row>
    <row r="316" spans="1:14" ht="21.75" customHeight="1" x14ac:dyDescent="0.4">
      <c r="A316" s="55"/>
      <c r="B316" s="56"/>
      <c r="C316" s="56"/>
      <c r="D316" s="73"/>
      <c r="E316" s="77"/>
      <c r="F316" s="242" t="s">
        <v>132</v>
      </c>
      <c r="G316" s="76"/>
      <c r="H316" s="78" t="s">
        <v>16</v>
      </c>
      <c r="I316" s="243">
        <f ca="1">IFERROR(__xludf.DUMMYFUNCTION("IMPORTRANGE(""https://docs.google.com/spreadsheets/d/1C3CXT74ZlgGe6_JY_1olB1XN4rF0dxEuIIF-xsYjHgg/edit?usp=sharing"",""งบกองทุน!ai26"")"),50)</f>
        <v>50</v>
      </c>
      <c r="J316" s="79">
        <f ca="1">IF(AND(J318=I318,J319=I319,J320=I320),I318,0)</f>
        <v>0</v>
      </c>
      <c r="K316" s="80">
        <f t="shared" ca="1" si="73"/>
        <v>0</v>
      </c>
      <c r="L316" s="61"/>
      <c r="M316" s="61"/>
      <c r="N316" s="61"/>
    </row>
    <row r="317" spans="1:14" ht="21.75" customHeight="1" x14ac:dyDescent="0.4">
      <c r="A317" s="55"/>
      <c r="B317" s="56"/>
      <c r="C317" s="56"/>
      <c r="D317" s="73"/>
      <c r="E317" s="77"/>
      <c r="F317" s="75"/>
      <c r="G317" s="76"/>
      <c r="H317" s="78" t="s">
        <v>103</v>
      </c>
      <c r="I317" s="243">
        <f ca="1">IFERROR(__xludf.DUMMYFUNCTION("IMPORTRANGE(""https://docs.google.com/spreadsheets/d/1C3CXT74ZlgGe6_JY_1olB1XN4rF0dxEuIIF-xsYjHgg/edit?usp=sharing"",""งบกองทุน!ah26"")"),150)</f>
        <v>150</v>
      </c>
      <c r="J317" s="154">
        <v>0</v>
      </c>
      <c r="K317" s="80">
        <f t="shared" ca="1" si="73"/>
        <v>0</v>
      </c>
      <c r="L317" s="61"/>
      <c r="M317" s="61"/>
      <c r="N317" s="61"/>
    </row>
    <row r="318" spans="1:14" ht="21.75" customHeight="1" x14ac:dyDescent="0.4">
      <c r="A318" s="55"/>
      <c r="B318" s="56"/>
      <c r="C318" s="56"/>
      <c r="D318" s="73"/>
      <c r="E318" s="77"/>
      <c r="F318" s="75"/>
      <c r="G318" s="99" t="s">
        <v>133</v>
      </c>
      <c r="H318" s="60" t="s">
        <v>16</v>
      </c>
      <c r="I318" s="200">
        <f ca="1">IFERROR(__xludf.DUMMYFUNCTION("IMPORTRANGE(""https://docs.google.com/spreadsheets/d/1C3CXT74ZlgGe6_JY_1olB1XN4rF0dxEuIIF-xsYjHgg/edit?usp=sharing"",""งบกองทุน!aj26"")"),50)</f>
        <v>50</v>
      </c>
      <c r="J318" s="68">
        <v>0</v>
      </c>
      <c r="K318" s="49">
        <f t="shared" ca="1" si="73"/>
        <v>0</v>
      </c>
      <c r="L318" s="61"/>
      <c r="M318" s="61"/>
      <c r="N318" s="61"/>
    </row>
    <row r="319" spans="1:14" ht="21.75" customHeight="1" x14ac:dyDescent="0.4">
      <c r="A319" s="55"/>
      <c r="B319" s="56"/>
      <c r="C319" s="56"/>
      <c r="D319" s="73"/>
      <c r="E319" s="77"/>
      <c r="F319" s="75"/>
      <c r="G319" s="99" t="s">
        <v>134</v>
      </c>
      <c r="H319" s="60" t="s">
        <v>16</v>
      </c>
      <c r="I319" s="200">
        <f ca="1">IFERROR(__xludf.DUMMYFUNCTION("IMPORTRANGE(""https://docs.google.com/spreadsheets/d/1C3CXT74ZlgGe6_JY_1olB1XN4rF0dxEuIIF-xsYjHgg/edit?usp=sharing"",""งบกองทุน!ak26"")"),50)</f>
        <v>50</v>
      </c>
      <c r="J319" s="68">
        <v>0</v>
      </c>
      <c r="K319" s="49">
        <f t="shared" ca="1" si="73"/>
        <v>0</v>
      </c>
      <c r="L319" s="61"/>
      <c r="M319" s="61"/>
      <c r="N319" s="61"/>
    </row>
    <row r="320" spans="1:14" ht="21.75" customHeight="1" x14ac:dyDescent="0.4">
      <c r="A320" s="55"/>
      <c r="B320" s="56"/>
      <c r="C320" s="56"/>
      <c r="D320" s="73"/>
      <c r="E320" s="77"/>
      <c r="F320" s="75"/>
      <c r="G320" s="99" t="s">
        <v>135</v>
      </c>
      <c r="H320" s="60" t="s">
        <v>16</v>
      </c>
      <c r="I320" s="200">
        <f ca="1">IFERROR(__xludf.DUMMYFUNCTION("IMPORTRANGE(""https://docs.google.com/spreadsheets/d/1C3CXT74ZlgGe6_JY_1olB1XN4rF0dxEuIIF-xsYjHgg/edit?usp=sharing"",""งบกองทุน!al26"")"),50)</f>
        <v>50</v>
      </c>
      <c r="J320" s="68">
        <v>0</v>
      </c>
      <c r="K320" s="49">
        <f t="shared" ca="1" si="73"/>
        <v>0</v>
      </c>
      <c r="L320" s="61"/>
      <c r="M320" s="61"/>
      <c r="N320" s="61"/>
    </row>
    <row r="321" spans="1:14" ht="21.75" customHeight="1" x14ac:dyDescent="0.4">
      <c r="A321" s="55"/>
      <c r="B321" s="56"/>
      <c r="C321" s="56"/>
      <c r="D321" s="73"/>
      <c r="E321" s="77"/>
      <c r="F321" s="242" t="s">
        <v>136</v>
      </c>
      <c r="G321" s="76"/>
      <c r="H321" s="78" t="s">
        <v>16</v>
      </c>
      <c r="I321" s="243">
        <f ca="1">IFERROR(__xludf.DUMMYFUNCTION("IMPORTRANGE(""https://docs.google.com/spreadsheets/d/1C3CXT74ZlgGe6_JY_1olB1XN4rF0dxEuIIF-xsYjHgg/edit?usp=sharing"",""งบกองทุน!an26"")"),17)</f>
        <v>17</v>
      </c>
      <c r="J321" s="79">
        <f ca="1">IF(AND(J323=I323,J324=I324),I323,0)</f>
        <v>0</v>
      </c>
      <c r="K321" s="80">
        <f t="shared" ca="1" si="73"/>
        <v>0</v>
      </c>
      <c r="L321" s="61"/>
      <c r="M321" s="61"/>
      <c r="N321" s="61"/>
    </row>
    <row r="322" spans="1:14" ht="21.75" customHeight="1" x14ac:dyDescent="0.4">
      <c r="A322" s="55"/>
      <c r="B322" s="56"/>
      <c r="C322" s="56"/>
      <c r="D322" s="73"/>
      <c r="E322" s="77"/>
      <c r="F322" s="75"/>
      <c r="G322" s="76"/>
      <c r="H322" s="78" t="s">
        <v>103</v>
      </c>
      <c r="I322" s="243">
        <f ca="1">IFERROR(__xludf.DUMMYFUNCTION("IMPORTRANGE(""https://docs.google.com/spreadsheets/d/1C3CXT74ZlgGe6_JY_1olB1XN4rF0dxEuIIF-xsYjHgg/edit?usp=sharing"",""งบกองทุน!am26"")"),51)</f>
        <v>51</v>
      </c>
      <c r="J322" s="154">
        <v>0</v>
      </c>
      <c r="K322" s="80">
        <f t="shared" ca="1" si="73"/>
        <v>0</v>
      </c>
      <c r="L322" s="61"/>
      <c r="M322" s="61"/>
      <c r="N322" s="61"/>
    </row>
    <row r="323" spans="1:14" ht="21.75" customHeight="1" x14ac:dyDescent="0.4">
      <c r="A323" s="55"/>
      <c r="B323" s="56"/>
      <c r="C323" s="56"/>
      <c r="D323" s="73"/>
      <c r="E323" s="77"/>
      <c r="F323" s="75"/>
      <c r="G323" s="99" t="s">
        <v>137</v>
      </c>
      <c r="H323" s="60" t="s">
        <v>16</v>
      </c>
      <c r="I323" s="248">
        <f ca="1">IFERROR(__xludf.DUMMYFUNCTION("IMPORTRANGE(""https://docs.google.com/spreadsheets/d/1C3CXT74ZlgGe6_JY_1olB1XN4rF0dxEuIIF-xsYjHgg/edit?usp=sharing"",""งบกองทุน!ao26"")"),17)</f>
        <v>17</v>
      </c>
      <c r="J323" s="68">
        <v>0</v>
      </c>
      <c r="K323" s="49">
        <f t="shared" ca="1" si="73"/>
        <v>0</v>
      </c>
      <c r="L323" s="61"/>
      <c r="M323" s="61"/>
      <c r="N323" s="61"/>
    </row>
    <row r="324" spans="1:14" ht="21.75" customHeight="1" x14ac:dyDescent="0.4">
      <c r="A324" s="55"/>
      <c r="B324" s="56"/>
      <c r="C324" s="56"/>
      <c r="D324" s="73"/>
      <c r="E324" s="77"/>
      <c r="F324" s="75"/>
      <c r="G324" s="99" t="s">
        <v>138</v>
      </c>
      <c r="H324" s="60" t="s">
        <v>16</v>
      </c>
      <c r="I324" s="248">
        <f ca="1">IFERROR(__xludf.DUMMYFUNCTION("IMPORTRANGE(""https://docs.google.com/spreadsheets/d/1C3CXT74ZlgGe6_JY_1olB1XN4rF0dxEuIIF-xsYjHgg/edit?usp=sharing"",""งบกองทุน!ap26"")"),17)</f>
        <v>17</v>
      </c>
      <c r="J324" s="68">
        <v>0</v>
      </c>
      <c r="K324" s="49">
        <f t="shared" ca="1" si="73"/>
        <v>0</v>
      </c>
      <c r="L324" s="61"/>
      <c r="M324" s="61"/>
      <c r="N324" s="61"/>
    </row>
    <row r="325" spans="1:14" ht="21.75" customHeight="1" x14ac:dyDescent="0.4">
      <c r="A325" s="55"/>
      <c r="B325" s="56"/>
      <c r="C325" s="56"/>
      <c r="D325" s="73"/>
      <c r="E325" s="77"/>
      <c r="F325" s="74" t="s">
        <v>34</v>
      </c>
      <c r="G325" s="240"/>
      <c r="H325" s="241" t="s">
        <v>16</v>
      </c>
      <c r="I325" s="79">
        <f ca="1">SUM(I326,I327)</f>
        <v>70</v>
      </c>
      <c r="J325" s="79">
        <f ca="1">IF(AND(J326=I326,J327=I327),I325,0)</f>
        <v>0</v>
      </c>
      <c r="K325" s="80">
        <f t="shared" ca="1" si="73"/>
        <v>0</v>
      </c>
      <c r="L325" s="61"/>
      <c r="M325" s="61"/>
      <c r="N325" s="61"/>
    </row>
    <row r="326" spans="1:14" ht="21.75" customHeight="1" x14ac:dyDescent="0.4">
      <c r="A326" s="249"/>
      <c r="B326" s="250"/>
      <c r="C326" s="250"/>
      <c r="D326" s="251"/>
      <c r="E326" s="77"/>
      <c r="F326" s="75"/>
      <c r="G326" s="99" t="s">
        <v>139</v>
      </c>
      <c r="H326" s="60" t="s">
        <v>16</v>
      </c>
      <c r="I326" s="248">
        <f ca="1">IFERROR(__xludf.DUMMYFUNCTION("IMPORTRANGE(""https://docs.google.com/spreadsheets/d/1C3CXT74ZlgGe6_JY_1olB1XN4rF0dxEuIIF-xsYjHgg/edit?usp=sharing"",""งบกองทุน!ar26"")"),20)</f>
        <v>20</v>
      </c>
      <c r="J326" s="68">
        <v>0</v>
      </c>
      <c r="K326" s="49">
        <f t="shared" ca="1" si="73"/>
        <v>0</v>
      </c>
      <c r="L326" s="61"/>
      <c r="M326" s="61"/>
      <c r="N326" s="61"/>
    </row>
    <row r="327" spans="1:14" ht="21.75" customHeight="1" x14ac:dyDescent="0.4">
      <c r="A327" s="249"/>
      <c r="B327" s="250"/>
      <c r="C327" s="250"/>
      <c r="D327" s="251"/>
      <c r="E327" s="77"/>
      <c r="F327" s="75"/>
      <c r="G327" s="99" t="s">
        <v>140</v>
      </c>
      <c r="H327" s="60" t="s">
        <v>16</v>
      </c>
      <c r="I327" s="248">
        <f ca="1">IFERROR(__xludf.DUMMYFUNCTION("IMPORTRANGE(""https://docs.google.com/spreadsheets/d/1C3CXT74ZlgGe6_JY_1olB1XN4rF0dxEuIIF-xsYjHgg/edit?usp=sharing"",""งบกองทุน!as26"")"),50)</f>
        <v>50</v>
      </c>
      <c r="J327" s="67">
        <v>0</v>
      </c>
      <c r="K327" s="49">
        <f t="shared" ca="1" si="73"/>
        <v>0</v>
      </c>
      <c r="L327" s="61"/>
      <c r="M327" s="61"/>
      <c r="N327" s="61"/>
    </row>
    <row r="328" spans="1:14" ht="21.75" customHeight="1" x14ac:dyDescent="0.4">
      <c r="A328" s="55"/>
      <c r="B328" s="56"/>
      <c r="C328" s="56"/>
      <c r="D328" s="73"/>
      <c r="E328" s="74" t="s">
        <v>35</v>
      </c>
      <c r="F328" s="75"/>
      <c r="G328" s="76"/>
      <c r="H328" s="66"/>
      <c r="I328" s="67"/>
      <c r="J328" s="68">
        <v>0</v>
      </c>
      <c r="K328" s="49"/>
      <c r="L328" s="61"/>
      <c r="M328" s="61"/>
      <c r="N328" s="61"/>
    </row>
    <row r="329" spans="1:14" ht="21.75" customHeight="1" x14ac:dyDescent="0.4">
      <c r="A329" s="55"/>
      <c r="B329" s="56"/>
      <c r="C329" s="56"/>
      <c r="D329" s="81">
        <v>3</v>
      </c>
      <c r="E329" s="82" t="s">
        <v>36</v>
      </c>
      <c r="F329" s="83"/>
      <c r="G329" s="84"/>
      <c r="H329" s="66"/>
      <c r="I329" s="67"/>
      <c r="J329" s="85">
        <v>0</v>
      </c>
      <c r="K329" s="49"/>
      <c r="L329" s="61"/>
      <c r="M329" s="61"/>
      <c r="N329" s="61"/>
    </row>
    <row r="330" spans="1:14" ht="21.75" customHeight="1" x14ac:dyDescent="0.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43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145000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4">
      <c r="A331" s="42"/>
      <c r="B331" s="43"/>
      <c r="C331" s="43" t="s">
        <v>17</v>
      </c>
      <c r="D331" s="44" t="s">
        <v>18</v>
      </c>
      <c r="E331" s="45"/>
      <c r="F331" s="45"/>
      <c r="G331" s="46" t="s">
        <v>19</v>
      </c>
      <c r="H331" s="47" t="s">
        <v>20</v>
      </c>
      <c r="I331" s="48" t="s">
        <v>21</v>
      </c>
      <c r="J331" s="48"/>
      <c r="K331" s="49"/>
      <c r="L331" s="50">
        <v>0</v>
      </c>
      <c r="M331" s="53">
        <v>0</v>
      </c>
      <c r="N331" s="53">
        <f t="shared" si="75"/>
        <v>0</v>
      </c>
    </row>
    <row r="332" spans="1:14" ht="21.75" customHeight="1" x14ac:dyDescent="0.4">
      <c r="A332" s="42"/>
      <c r="B332" s="43"/>
      <c r="C332" s="43"/>
      <c r="D332" s="51"/>
      <c r="E332" s="45"/>
      <c r="F332" s="45" t="s">
        <v>21</v>
      </c>
      <c r="G332" s="46" t="s">
        <v>22</v>
      </c>
      <c r="H332" s="47" t="s">
        <v>20</v>
      </c>
      <c r="I332" s="48"/>
      <c r="J332" s="48"/>
      <c r="K332" s="49"/>
      <c r="L332" s="50">
        <f t="shared" ref="L332:M332" ca="1" si="76">SUM(L333:L334)</f>
        <v>145000</v>
      </c>
      <c r="M332" s="53">
        <f t="shared" si="76"/>
        <v>0</v>
      </c>
      <c r="N332" s="53">
        <f t="shared" ca="1" si="75"/>
        <v>0</v>
      </c>
    </row>
    <row r="333" spans="1:14" ht="21.75" customHeight="1" x14ac:dyDescent="0.4">
      <c r="A333" s="42"/>
      <c r="B333" s="43"/>
      <c r="C333" s="43"/>
      <c r="D333" s="51"/>
      <c r="E333" s="45"/>
      <c r="F333" s="45"/>
      <c r="G333" s="52" t="s">
        <v>110</v>
      </c>
      <c r="H333" s="47" t="s">
        <v>20</v>
      </c>
      <c r="I333" s="48"/>
      <c r="J333" s="48"/>
      <c r="K333" s="49"/>
      <c r="L333" s="53">
        <f ca="1">IFERROR(__xludf.DUMMYFUNCTION("IMPORTRANGE(""https://docs.google.com/spreadsheets/d/1C3CXT74ZlgGe6_JY_1olB1XN4rF0dxEuIIF-xsYjHgg/edit?usp=sharing"",""งบกองทุน!au26"")"),0)</f>
        <v>0</v>
      </c>
      <c r="M333" s="53">
        <v>0</v>
      </c>
      <c r="N333" s="53">
        <f t="shared" ca="1" si="75"/>
        <v>0</v>
      </c>
    </row>
    <row r="334" spans="1:14" ht="21.75" customHeight="1" x14ac:dyDescent="0.4">
      <c r="A334" s="42"/>
      <c r="B334" s="43"/>
      <c r="C334" s="43"/>
      <c r="D334" s="51"/>
      <c r="E334" s="45"/>
      <c r="F334" s="45"/>
      <c r="G334" s="52" t="s">
        <v>111</v>
      </c>
      <c r="H334" s="47" t="s">
        <v>20</v>
      </c>
      <c r="I334" s="48"/>
      <c r="J334" s="48"/>
      <c r="K334" s="49"/>
      <c r="L334" s="53">
        <f ca="1">IFERROR(__xludf.DUMMYFUNCTION("IMPORTRANGE(""https://docs.google.com/spreadsheets/d/1C3CXT74ZlgGe6_JY_1olB1XN4rF0dxEuIIF-xsYjHgg/edit?usp=sharing"",""งบกองทุน!av26"")"),145000)</f>
        <v>145000</v>
      </c>
      <c r="M334" s="53">
        <f>SUM(M335:M338)</f>
        <v>0</v>
      </c>
      <c r="N334" s="53">
        <f t="shared" ca="1" si="75"/>
        <v>0</v>
      </c>
    </row>
    <row r="335" spans="1:14" ht="21.75" customHeight="1" x14ac:dyDescent="0.4">
      <c r="A335" s="230"/>
      <c r="B335" s="231"/>
      <c r="C335" s="43"/>
      <c r="D335" s="232"/>
      <c r="E335" s="45"/>
      <c r="F335" s="45"/>
      <c r="G335" s="46" t="s">
        <v>112</v>
      </c>
      <c r="H335" s="47" t="s">
        <v>20</v>
      </c>
      <c r="I335" s="67"/>
      <c r="J335" s="67"/>
      <c r="K335" s="233"/>
      <c r="L335" s="53"/>
      <c r="M335" s="54">
        <v>0</v>
      </c>
      <c r="N335" s="53"/>
    </row>
    <row r="336" spans="1:14" ht="21.75" customHeight="1" x14ac:dyDescent="0.4">
      <c r="A336" s="230"/>
      <c r="B336" s="231"/>
      <c r="C336" s="43"/>
      <c r="D336" s="232"/>
      <c r="E336" s="45"/>
      <c r="F336" s="45"/>
      <c r="G336" s="46" t="s">
        <v>113</v>
      </c>
      <c r="H336" s="47" t="s">
        <v>20</v>
      </c>
      <c r="I336" s="67"/>
      <c r="J336" s="67"/>
      <c r="K336" s="233"/>
      <c r="L336" s="53"/>
      <c r="M336" s="54">
        <v>0</v>
      </c>
      <c r="N336" s="53"/>
    </row>
    <row r="337" spans="1:14" ht="21.75" customHeight="1" x14ac:dyDescent="0.4">
      <c r="A337" s="230"/>
      <c r="B337" s="231"/>
      <c r="C337" s="43"/>
      <c r="D337" s="232"/>
      <c r="E337" s="45"/>
      <c r="F337" s="45"/>
      <c r="G337" s="46" t="s">
        <v>114</v>
      </c>
      <c r="H337" s="47" t="s">
        <v>20</v>
      </c>
      <c r="I337" s="67"/>
      <c r="J337" s="67"/>
      <c r="K337" s="233"/>
      <c r="L337" s="53"/>
      <c r="M337" s="54">
        <v>0</v>
      </c>
      <c r="N337" s="53"/>
    </row>
    <row r="338" spans="1:14" ht="21.75" customHeight="1" x14ac:dyDescent="0.4">
      <c r="A338" s="230"/>
      <c r="B338" s="231"/>
      <c r="C338" s="43"/>
      <c r="D338" s="232"/>
      <c r="E338" s="45"/>
      <c r="F338" s="45"/>
      <c r="G338" s="46" t="s">
        <v>115</v>
      </c>
      <c r="H338" s="47" t="s">
        <v>20</v>
      </c>
      <c r="I338" s="67"/>
      <c r="J338" s="67"/>
      <c r="K338" s="233"/>
      <c r="L338" s="53"/>
      <c r="M338" s="54">
        <v>0</v>
      </c>
      <c r="N338" s="53"/>
    </row>
    <row r="339" spans="1:14" ht="21.75" customHeight="1" x14ac:dyDescent="0.4">
      <c r="A339" s="55"/>
      <c r="B339" s="56"/>
      <c r="C339" s="43" t="s">
        <v>17</v>
      </c>
      <c r="D339" s="57" t="s">
        <v>25</v>
      </c>
      <c r="E339" s="58"/>
      <c r="F339" s="58"/>
      <c r="G339" s="59"/>
      <c r="H339" s="60"/>
      <c r="I339" s="48"/>
      <c r="J339" s="48"/>
      <c r="K339" s="49"/>
      <c r="L339" s="61"/>
      <c r="M339" s="61"/>
      <c r="N339" s="61"/>
    </row>
    <row r="340" spans="1:14" ht="21.75" customHeight="1" x14ac:dyDescent="0.4">
      <c r="A340" s="55"/>
      <c r="B340" s="56"/>
      <c r="C340" s="56"/>
      <c r="D340" s="62">
        <v>1</v>
      </c>
      <c r="E340" s="63" t="s">
        <v>26</v>
      </c>
      <c r="F340" s="64"/>
      <c r="G340" s="65"/>
      <c r="H340" s="66"/>
      <c r="I340" s="67"/>
      <c r="J340" s="85">
        <v>0</v>
      </c>
      <c r="K340" s="49"/>
      <c r="L340" s="61"/>
      <c r="M340" s="61"/>
      <c r="N340" s="61"/>
    </row>
    <row r="341" spans="1:14" ht="21.75" customHeight="1" x14ac:dyDescent="0.4">
      <c r="A341" s="55"/>
      <c r="B341" s="56"/>
      <c r="C341" s="56"/>
      <c r="D341" s="69">
        <v>2</v>
      </c>
      <c r="E341" s="70" t="s">
        <v>27</v>
      </c>
      <c r="F341" s="71"/>
      <c r="G341" s="72"/>
      <c r="H341" s="66"/>
      <c r="I341" s="67"/>
      <c r="J341" s="85">
        <v>1</v>
      </c>
      <c r="K341" s="49"/>
      <c r="L341" s="61" t="s">
        <v>21</v>
      </c>
      <c r="M341" s="61" t="s">
        <v>21</v>
      </c>
      <c r="N341" s="61"/>
    </row>
    <row r="342" spans="1:14" ht="21.75" customHeight="1" x14ac:dyDescent="0.4">
      <c r="A342" s="55"/>
      <c r="B342" s="56"/>
      <c r="C342" s="56"/>
      <c r="D342" s="73"/>
      <c r="E342" s="74" t="s">
        <v>142</v>
      </c>
      <c r="F342" s="75"/>
      <c r="G342" s="76"/>
      <c r="H342" s="66"/>
      <c r="I342" s="67"/>
      <c r="J342" s="68">
        <v>1</v>
      </c>
      <c r="K342" s="49"/>
      <c r="L342" s="61"/>
      <c r="M342" s="61"/>
      <c r="N342" s="61"/>
    </row>
    <row r="343" spans="1:14" ht="21.75" customHeight="1" x14ac:dyDescent="0.4">
      <c r="A343" s="55"/>
      <c r="B343" s="56"/>
      <c r="C343" s="56"/>
      <c r="D343" s="73"/>
      <c r="E343" s="74" t="s">
        <v>29</v>
      </c>
      <c r="F343" s="75"/>
      <c r="G343" s="76"/>
      <c r="H343" s="66"/>
      <c r="I343" s="67"/>
      <c r="J343" s="68">
        <v>1</v>
      </c>
      <c r="K343" s="49"/>
      <c r="L343" s="61"/>
      <c r="M343" s="61"/>
      <c r="N343" s="61"/>
    </row>
    <row r="344" spans="1:14" ht="21.75" customHeight="1" x14ac:dyDescent="0.4">
      <c r="A344" s="55"/>
      <c r="B344" s="56"/>
      <c r="C344" s="56"/>
      <c r="D344" s="73"/>
      <c r="E344" s="77"/>
      <c r="F344" s="260" t="s">
        <v>82</v>
      </c>
      <c r="G344" s="76"/>
      <c r="H344" s="66" t="s">
        <v>16</v>
      </c>
      <c r="I344" s="243">
        <f t="shared" ref="I344:J344" ca="1" si="77">+I345+I346+I347</f>
        <v>43</v>
      </c>
      <c r="J344" s="79">
        <f t="shared" si="77"/>
        <v>0</v>
      </c>
      <c r="K344" s="49">
        <f t="shared" ref="K344:K347" ca="1" si="78">IF(I344&gt;0,J344*100/I344,0)</f>
        <v>0</v>
      </c>
      <c r="L344" s="61"/>
      <c r="M344" s="61"/>
      <c r="N344" s="61"/>
    </row>
    <row r="345" spans="1:14" ht="21.75" customHeight="1" x14ac:dyDescent="0.4">
      <c r="A345" s="55"/>
      <c r="B345" s="56"/>
      <c r="C345" s="56"/>
      <c r="D345" s="73"/>
      <c r="E345" s="77"/>
      <c r="F345" s="75"/>
      <c r="G345" s="99" t="s">
        <v>143</v>
      </c>
      <c r="H345" s="66" t="s">
        <v>16</v>
      </c>
      <c r="I345" s="200">
        <f ca="1">IFERROR(__xludf.DUMMYFUNCTION("IMPORTRANGE(""https://docs.google.com/spreadsheets/d/1C3CXT74ZlgGe6_JY_1olB1XN4rF0dxEuIIF-xsYjHgg/edit?usp=sharing"",""งบกองทุน!ay26"")"),43)</f>
        <v>43</v>
      </c>
      <c r="J345" s="68">
        <v>0</v>
      </c>
      <c r="K345" s="49">
        <f t="shared" ca="1" si="78"/>
        <v>0</v>
      </c>
      <c r="L345" s="61"/>
      <c r="M345" s="61"/>
      <c r="N345" s="61"/>
    </row>
    <row r="346" spans="1:14" ht="21.75" customHeight="1" x14ac:dyDescent="0.4">
      <c r="A346" s="55"/>
      <c r="B346" s="56"/>
      <c r="C346" s="56"/>
      <c r="D346" s="73"/>
      <c r="E346" s="77"/>
      <c r="F346" s="75"/>
      <c r="G346" s="76" t="s">
        <v>229</v>
      </c>
      <c r="H346" s="66" t="s">
        <v>16</v>
      </c>
      <c r="I346" s="200">
        <f ca="1">IFERROR(__xludf.DUMMYFUNCTION("IMPORTRANGE(""https://docs.google.com/spreadsheets/d/1C3CXT74ZlgGe6_JY_1olB1XN4rF0dxEuIIF-xsYjHgg/edit?usp=sharing"",""งบกองทุน!az26"")"),0)</f>
        <v>0</v>
      </c>
      <c r="J346" s="67">
        <v>0</v>
      </c>
      <c r="K346" s="49">
        <f t="shared" ca="1" si="78"/>
        <v>0</v>
      </c>
      <c r="L346" s="61"/>
      <c r="M346" s="61"/>
      <c r="N346" s="61"/>
    </row>
    <row r="347" spans="1:14" ht="21.75" customHeight="1" x14ac:dyDescent="0.4">
      <c r="A347" s="55"/>
      <c r="B347" s="56"/>
      <c r="C347" s="56"/>
      <c r="D347" s="73"/>
      <c r="E347" s="77"/>
      <c r="F347" s="75"/>
      <c r="G347" s="76" t="s">
        <v>145</v>
      </c>
      <c r="H347" s="66" t="s">
        <v>16</v>
      </c>
      <c r="I347" s="67">
        <f ca="1">IFERROR(__xludf.DUMMYFUNCTION("IMPORTRANGE(""https://docs.google.com/spreadsheets/d/1C3CXT74ZlgGe6_JY_1olB1XN4rF0dxEuIIF-xsYjHgg/edit?usp=sharing"",""งบกองทุน!Ba26"")"),0)</f>
        <v>0</v>
      </c>
      <c r="J347" s="67">
        <v>0</v>
      </c>
      <c r="K347" s="49">
        <f t="shared" ca="1" si="78"/>
        <v>0</v>
      </c>
      <c r="L347" s="61"/>
      <c r="M347" s="61"/>
      <c r="N347" s="61"/>
    </row>
    <row r="348" spans="1:14" ht="21.75" customHeight="1" x14ac:dyDescent="0.4">
      <c r="A348" s="55"/>
      <c r="B348" s="56"/>
      <c r="C348" s="56"/>
      <c r="D348" s="73"/>
      <c r="E348" s="74" t="s">
        <v>35</v>
      </c>
      <c r="F348" s="75"/>
      <c r="G348" s="76"/>
      <c r="H348" s="66"/>
      <c r="I348" s="67"/>
      <c r="J348" s="68">
        <v>0</v>
      </c>
      <c r="K348" s="49"/>
      <c r="L348" s="61"/>
      <c r="M348" s="61"/>
      <c r="N348" s="61"/>
    </row>
    <row r="349" spans="1:14" ht="21.75" customHeight="1" x14ac:dyDescent="0.4">
      <c r="A349" s="55"/>
      <c r="B349" s="56"/>
      <c r="C349" s="56"/>
      <c r="D349" s="81">
        <v>3</v>
      </c>
      <c r="E349" s="82" t="s">
        <v>36</v>
      </c>
      <c r="F349" s="83"/>
      <c r="G349" s="84"/>
      <c r="H349" s="66"/>
      <c r="I349" s="67"/>
      <c r="J349" s="85">
        <v>0</v>
      </c>
      <c r="K349" s="49"/>
      <c r="L349" s="61"/>
      <c r="M349" s="61"/>
      <c r="N349" s="61"/>
    </row>
    <row r="350" spans="1:14" ht="21.75" customHeight="1" x14ac:dyDescent="0.4">
      <c r="A350" s="222"/>
      <c r="B350" s="223">
        <v>5</v>
      </c>
      <c r="C350" s="224" t="s">
        <v>146</v>
      </c>
      <c r="D350" s="224"/>
      <c r="E350" s="224"/>
      <c r="F350" s="224"/>
      <c r="G350" s="225"/>
      <c r="H350" s="226" t="s">
        <v>103</v>
      </c>
      <c r="I350" s="227">
        <f ca="1">I359</f>
        <v>28514</v>
      </c>
      <c r="J350" s="227">
        <f>+J359</f>
        <v>0</v>
      </c>
      <c r="K350" s="228">
        <f ca="1">IF(I350&gt;0,J350*100/I350,0)</f>
        <v>0</v>
      </c>
      <c r="L350" s="229">
        <f t="shared" ref="L350:M350" ca="1" si="79">SUM(L351:L352)</f>
        <v>396346</v>
      </c>
      <c r="M350" s="229">
        <f t="shared" si="79"/>
        <v>240</v>
      </c>
      <c r="N350" s="229">
        <f t="shared" ref="N350:N354" ca="1" si="80">+IF(L350&gt;0,M350*100/L350,0)</f>
        <v>6.0553153053140435E-2</v>
      </c>
    </row>
    <row r="351" spans="1:14" ht="21.75" customHeight="1" x14ac:dyDescent="0.4">
      <c r="A351" s="42"/>
      <c r="B351" s="43"/>
      <c r="C351" s="43" t="s">
        <v>17</v>
      </c>
      <c r="D351" s="44" t="s">
        <v>18</v>
      </c>
      <c r="E351" s="45"/>
      <c r="F351" s="45"/>
      <c r="G351" s="46" t="s">
        <v>19</v>
      </c>
      <c r="H351" s="47" t="s">
        <v>20</v>
      </c>
      <c r="I351" s="48" t="s">
        <v>21</v>
      </c>
      <c r="J351" s="48"/>
      <c r="K351" s="49"/>
      <c r="L351" s="50">
        <v>0</v>
      </c>
      <c r="M351" s="53">
        <v>0</v>
      </c>
      <c r="N351" s="53">
        <f t="shared" si="80"/>
        <v>0</v>
      </c>
    </row>
    <row r="352" spans="1:14" ht="21.75" customHeight="1" x14ac:dyDescent="0.4">
      <c r="A352" s="42"/>
      <c r="B352" s="43"/>
      <c r="C352" s="43"/>
      <c r="D352" s="51"/>
      <c r="E352" s="45"/>
      <c r="F352" s="45" t="s">
        <v>21</v>
      </c>
      <c r="G352" s="46" t="s">
        <v>22</v>
      </c>
      <c r="H352" s="47" t="s">
        <v>20</v>
      </c>
      <c r="I352" s="48"/>
      <c r="J352" s="48"/>
      <c r="K352" s="49"/>
      <c r="L352" s="50">
        <f t="shared" ref="L352:M352" ca="1" si="81">SUM(L353:L354)</f>
        <v>396346</v>
      </c>
      <c r="M352" s="53">
        <f t="shared" si="81"/>
        <v>240</v>
      </c>
      <c r="N352" s="53">
        <f t="shared" ca="1" si="80"/>
        <v>6.0553153053140435E-2</v>
      </c>
    </row>
    <row r="353" spans="1:14" ht="21.75" customHeight="1" x14ac:dyDescent="0.4">
      <c r="A353" s="42"/>
      <c r="B353" s="43"/>
      <c r="C353" s="43"/>
      <c r="D353" s="51"/>
      <c r="E353" s="45"/>
      <c r="F353" s="45"/>
      <c r="G353" s="52" t="s">
        <v>110</v>
      </c>
      <c r="H353" s="47" t="s">
        <v>20</v>
      </c>
      <c r="I353" s="48"/>
      <c r="J353" s="48"/>
      <c r="K353" s="49"/>
      <c r="L353" s="53">
        <f ca="1">IFERROR(__xludf.DUMMYFUNCTION("IMPORTRANGE(""https://docs.google.com/spreadsheets/d/1C3CXT74ZlgGe6_JY_1olB1XN4rF0dxEuIIF-xsYjHgg/edit?usp=sharing"",""งบกองทุน!Bc26"")"),0)</f>
        <v>0</v>
      </c>
      <c r="M353" s="53">
        <v>0</v>
      </c>
      <c r="N353" s="53">
        <f t="shared" ca="1" si="80"/>
        <v>0</v>
      </c>
    </row>
    <row r="354" spans="1:14" ht="21.75" customHeight="1" x14ac:dyDescent="0.4">
      <c r="A354" s="42"/>
      <c r="B354" s="43"/>
      <c r="C354" s="43"/>
      <c r="D354" s="51"/>
      <c r="E354" s="45"/>
      <c r="F354" s="45"/>
      <c r="G354" s="52" t="s">
        <v>111</v>
      </c>
      <c r="H354" s="47" t="s">
        <v>20</v>
      </c>
      <c r="I354" s="48"/>
      <c r="J354" s="48"/>
      <c r="K354" s="49"/>
      <c r="L354" s="53">
        <f ca="1">IFERROR(__xludf.DUMMYFUNCTION("IMPORTRANGE(""https://docs.google.com/spreadsheets/d/1C3CXT74ZlgGe6_JY_1olB1XN4rF0dxEuIIF-xsYjHgg/edit?usp=sharing"",""งบกองทุน!Bd26"")"),396346)</f>
        <v>396346</v>
      </c>
      <c r="M354" s="53">
        <f>SUM(M355:M358)</f>
        <v>240</v>
      </c>
      <c r="N354" s="53">
        <f t="shared" ca="1" si="80"/>
        <v>6.0553153053140435E-2</v>
      </c>
    </row>
    <row r="355" spans="1:14" ht="21.75" customHeight="1" x14ac:dyDescent="0.4">
      <c r="A355" s="230"/>
      <c r="B355" s="231"/>
      <c r="C355" s="43"/>
      <c r="D355" s="232"/>
      <c r="E355" s="45"/>
      <c r="F355" s="45"/>
      <c r="G355" s="46" t="s">
        <v>112</v>
      </c>
      <c r="H355" s="47" t="s">
        <v>20</v>
      </c>
      <c r="I355" s="67"/>
      <c r="J355" s="67"/>
      <c r="K355" s="233"/>
      <c r="L355" s="53"/>
      <c r="M355" s="53">
        <v>0</v>
      </c>
      <c r="N355" s="53"/>
    </row>
    <row r="356" spans="1:14" ht="21.75" customHeight="1" x14ac:dyDescent="0.4">
      <c r="A356" s="230"/>
      <c r="B356" s="231"/>
      <c r="C356" s="43"/>
      <c r="D356" s="232"/>
      <c r="E356" s="45"/>
      <c r="F356" s="45"/>
      <c r="G356" s="46" t="s">
        <v>113</v>
      </c>
      <c r="H356" s="47" t="s">
        <v>20</v>
      </c>
      <c r="I356" s="67"/>
      <c r="J356" s="67"/>
      <c r="K356" s="233"/>
      <c r="L356" s="53"/>
      <c r="M356" s="53">
        <v>0</v>
      </c>
      <c r="N356" s="53"/>
    </row>
    <row r="357" spans="1:14" ht="21.75" customHeight="1" x14ac:dyDescent="0.4">
      <c r="A357" s="230"/>
      <c r="B357" s="231"/>
      <c r="C357" s="43"/>
      <c r="D357" s="232"/>
      <c r="E357" s="45"/>
      <c r="F357" s="45"/>
      <c r="G357" s="46" t="s">
        <v>114</v>
      </c>
      <c r="H357" s="47" t="s">
        <v>20</v>
      </c>
      <c r="I357" s="67"/>
      <c r="J357" s="67"/>
      <c r="K357" s="233"/>
      <c r="L357" s="53"/>
      <c r="M357" s="54">
        <v>0</v>
      </c>
      <c r="N357" s="53"/>
    </row>
    <row r="358" spans="1:14" ht="21.75" customHeight="1" x14ac:dyDescent="0.4">
      <c r="A358" s="230"/>
      <c r="B358" s="231"/>
      <c r="C358" s="43"/>
      <c r="D358" s="232"/>
      <c r="E358" s="45"/>
      <c r="F358" s="45"/>
      <c r="G358" s="46" t="s">
        <v>115</v>
      </c>
      <c r="H358" s="47" t="s">
        <v>20</v>
      </c>
      <c r="I358" s="67"/>
      <c r="J358" s="67"/>
      <c r="K358" s="233"/>
      <c r="L358" s="53"/>
      <c r="M358" s="54">
        <v>240</v>
      </c>
      <c r="N358" s="53"/>
    </row>
    <row r="359" spans="1:14" ht="21.75" customHeight="1" x14ac:dyDescent="0.4">
      <c r="A359" s="55"/>
      <c r="B359" s="56"/>
      <c r="C359" s="261" t="s">
        <v>147</v>
      </c>
      <c r="D359" s="261"/>
      <c r="E359" s="262"/>
      <c r="F359" s="262"/>
      <c r="G359" s="263"/>
      <c r="H359" s="136" t="s">
        <v>103</v>
      </c>
      <c r="I359" s="137">
        <f ca="1">IFERROR(__xludf.DUMMYFUNCTION("IMPORTRANGE(""https://docs.google.com/spreadsheets/d/1C3CXT74ZlgGe6_JY_1olB1XN4rF0dxEuIIF-xsYjHgg/edit?usp=sharing"",""งบกองทุน!BE26"")"),28514)</f>
        <v>28514</v>
      </c>
      <c r="J359" s="137">
        <f>+J376</f>
        <v>0</v>
      </c>
      <c r="K359" s="138">
        <f t="shared" ref="K359:K425" ca="1" si="82">IF(I359&gt;0,J359*100/I359,0)</f>
        <v>0</v>
      </c>
      <c r="L359" s="140"/>
      <c r="M359" s="140"/>
      <c r="N359" s="140"/>
    </row>
    <row r="360" spans="1:14" ht="21.75" customHeight="1" x14ac:dyDescent="0.4">
      <c r="A360" s="249"/>
      <c r="B360" s="250"/>
      <c r="C360" s="250"/>
      <c r="D360" s="251"/>
      <c r="E360" s="73" t="s">
        <v>148</v>
      </c>
      <c r="F360" s="75"/>
      <c r="G360" s="76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IFERROR(__xludf.DUMMYFUNCTION("IMPORTRANGE(""https://docs.google.com/spreadsheets/d/1C3CXT74ZlgGe6_JY_1olB1XN4rF0dxEuIIF-xsYjHgg/edit?usp=sharing"",""งบกองทุน!BE26"")"),28514)</f>
        <v>28514</v>
      </c>
      <c r="J360" s="265">
        <f t="shared" ref="J360:J361" si="83">+J362+J364+J366</f>
        <v>0</v>
      </c>
      <c r="K360" s="80">
        <f t="shared" ca="1" si="82"/>
        <v>0</v>
      </c>
      <c r="L360" s="61"/>
      <c r="M360" s="61"/>
      <c r="N360" s="61"/>
    </row>
    <row r="361" spans="1:14" ht="21.75" customHeight="1" x14ac:dyDescent="0.4">
      <c r="A361" s="249"/>
      <c r="B361" s="250"/>
      <c r="C361" s="250"/>
      <c r="D361" s="251"/>
      <c r="E361" s="75"/>
      <c r="F361" s="75"/>
      <c r="G361" s="76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IFERROR(__xludf.DUMMYFUNCTION("IMPORTRANGE(""https://docs.google.com/spreadsheets/d/1C3CXT74ZlgGe6_JY_1olB1XN4rF0dxEuIIF-xsYjHgg/edit?usp=sharing"",""งบกองทุน!Bf26"")"),5512)</f>
        <v>5512</v>
      </c>
      <c r="J361" s="265">
        <f t="shared" si="83"/>
        <v>0</v>
      </c>
      <c r="K361" s="80">
        <f t="shared" ca="1" si="82"/>
        <v>0</v>
      </c>
      <c r="L361" s="61"/>
      <c r="M361" s="61"/>
      <c r="N361" s="61"/>
    </row>
    <row r="362" spans="1:14" ht="21.75" customHeight="1" x14ac:dyDescent="0.4">
      <c r="A362" s="249"/>
      <c r="B362" s="250"/>
      <c r="C362" s="250"/>
      <c r="D362" s="251"/>
      <c r="E362" s="75"/>
      <c r="F362" s="242" t="s">
        <v>149</v>
      </c>
      <c r="G362" s="266"/>
      <c r="H362" s="267" t="s">
        <v>103</v>
      </c>
      <c r="I362" s="48">
        <v>0</v>
      </c>
      <c r="J362" s="68">
        <v>0</v>
      </c>
      <c r="K362" s="49">
        <f t="shared" si="82"/>
        <v>0</v>
      </c>
      <c r="L362" s="61"/>
      <c r="M362" s="61"/>
      <c r="N362" s="61"/>
    </row>
    <row r="363" spans="1:14" ht="21.75" customHeight="1" x14ac:dyDescent="0.4">
      <c r="A363" s="249"/>
      <c r="B363" s="250"/>
      <c r="C363" s="250"/>
      <c r="D363" s="251"/>
      <c r="E363" s="75"/>
      <c r="F363" s="75"/>
      <c r="G363" s="266"/>
      <c r="H363" s="267" t="s">
        <v>15</v>
      </c>
      <c r="I363" s="48">
        <v>0</v>
      </c>
      <c r="J363" s="68">
        <v>0</v>
      </c>
      <c r="K363" s="49">
        <f t="shared" si="82"/>
        <v>0</v>
      </c>
      <c r="L363" s="61"/>
      <c r="M363" s="61"/>
      <c r="N363" s="61"/>
    </row>
    <row r="364" spans="1:14" ht="21.75" customHeight="1" x14ac:dyDescent="0.4">
      <c r="A364" s="249"/>
      <c r="B364" s="250"/>
      <c r="C364" s="250"/>
      <c r="D364" s="251"/>
      <c r="E364" s="75"/>
      <c r="F364" s="242" t="s">
        <v>150</v>
      </c>
      <c r="G364" s="266"/>
      <c r="H364" s="267" t="s">
        <v>103</v>
      </c>
      <c r="I364" s="48">
        <v>0</v>
      </c>
      <c r="J364" s="68">
        <v>0</v>
      </c>
      <c r="K364" s="49">
        <f t="shared" si="82"/>
        <v>0</v>
      </c>
      <c r="L364" s="61"/>
      <c r="M364" s="61"/>
      <c r="N364" s="61"/>
    </row>
    <row r="365" spans="1:14" ht="21.75" customHeight="1" x14ac:dyDescent="0.4">
      <c r="A365" s="249"/>
      <c r="B365" s="250"/>
      <c r="C365" s="250"/>
      <c r="D365" s="251"/>
      <c r="E365" s="75"/>
      <c r="F365" s="75"/>
      <c r="G365" s="266"/>
      <c r="H365" s="267" t="s">
        <v>15</v>
      </c>
      <c r="I365" s="48">
        <v>0</v>
      </c>
      <c r="J365" s="68">
        <v>0</v>
      </c>
      <c r="K365" s="49">
        <f t="shared" si="82"/>
        <v>0</v>
      </c>
      <c r="L365" s="61"/>
      <c r="M365" s="61"/>
      <c r="N365" s="61"/>
    </row>
    <row r="366" spans="1:14" ht="21.75" customHeight="1" x14ac:dyDescent="0.4">
      <c r="A366" s="249"/>
      <c r="B366" s="250"/>
      <c r="C366" s="250"/>
      <c r="D366" s="251"/>
      <c r="E366" s="75"/>
      <c r="F366" s="242" t="s">
        <v>151</v>
      </c>
      <c r="G366" s="266"/>
      <c r="H366" s="267" t="s">
        <v>103</v>
      </c>
      <c r="I366" s="48">
        <v>0</v>
      </c>
      <c r="J366" s="68">
        <v>0</v>
      </c>
      <c r="K366" s="49">
        <f t="shared" si="82"/>
        <v>0</v>
      </c>
      <c r="L366" s="61"/>
      <c r="M366" s="61"/>
      <c r="N366" s="61"/>
    </row>
    <row r="367" spans="1:14" ht="21.75" customHeight="1" x14ac:dyDescent="0.4">
      <c r="A367" s="249"/>
      <c r="B367" s="250"/>
      <c r="C367" s="250"/>
      <c r="D367" s="251"/>
      <c r="E367" s="75"/>
      <c r="F367" s="75"/>
      <c r="G367" s="75"/>
      <c r="H367" s="267" t="s">
        <v>15</v>
      </c>
      <c r="I367" s="48">
        <v>0</v>
      </c>
      <c r="J367" s="68">
        <v>0</v>
      </c>
      <c r="K367" s="49">
        <f t="shared" si="82"/>
        <v>0</v>
      </c>
      <c r="L367" s="61"/>
      <c r="M367" s="61"/>
      <c r="N367" s="61"/>
    </row>
    <row r="368" spans="1:14" ht="21.75" customHeight="1" x14ac:dyDescent="0.4">
      <c r="A368" s="249"/>
      <c r="B368" s="250"/>
      <c r="C368" s="250"/>
      <c r="D368" s="251"/>
      <c r="E368" s="155" t="s">
        <v>152</v>
      </c>
      <c r="F368" s="75"/>
      <c r="G368" s="76"/>
      <c r="H368" s="264" t="s">
        <v>103</v>
      </c>
      <c r="I368" s="265">
        <f ca="1">+I359</f>
        <v>28514</v>
      </c>
      <c r="J368" s="265">
        <f t="shared" ref="J368:J369" si="84">+J370+J372+J374</f>
        <v>0</v>
      </c>
      <c r="K368" s="80">
        <f t="shared" ca="1" si="82"/>
        <v>0</v>
      </c>
      <c r="L368" s="61"/>
      <c r="M368" s="61"/>
      <c r="N368" s="61"/>
    </row>
    <row r="369" spans="1:14" ht="21.75" customHeight="1" x14ac:dyDescent="0.4">
      <c r="A369" s="249"/>
      <c r="B369" s="250"/>
      <c r="C369" s="250"/>
      <c r="D369" s="251"/>
      <c r="E369" s="75"/>
      <c r="F369" s="75"/>
      <c r="G369" s="76"/>
      <c r="H369" s="264" t="s">
        <v>15</v>
      </c>
      <c r="I369" s="265">
        <f ca="1">I361</f>
        <v>5512</v>
      </c>
      <c r="J369" s="265">
        <f t="shared" si="84"/>
        <v>0</v>
      </c>
      <c r="K369" s="49">
        <f t="shared" ca="1" si="82"/>
        <v>0</v>
      </c>
      <c r="L369" s="61"/>
      <c r="M369" s="61"/>
      <c r="N369" s="61"/>
    </row>
    <row r="370" spans="1:14" ht="21.75" customHeight="1" x14ac:dyDescent="0.4">
      <c r="A370" s="249"/>
      <c r="B370" s="250"/>
      <c r="C370" s="250"/>
      <c r="D370" s="251"/>
      <c r="E370" s="75"/>
      <c r="F370" s="74" t="s">
        <v>153</v>
      </c>
      <c r="G370" s="266"/>
      <c r="H370" s="267" t="s">
        <v>103</v>
      </c>
      <c r="I370" s="48">
        <v>0</v>
      </c>
      <c r="J370" s="68">
        <v>0</v>
      </c>
      <c r="K370" s="49">
        <f t="shared" si="82"/>
        <v>0</v>
      </c>
      <c r="L370" s="61"/>
      <c r="M370" s="61"/>
      <c r="N370" s="61"/>
    </row>
    <row r="371" spans="1:14" ht="21.75" customHeight="1" x14ac:dyDescent="0.4">
      <c r="A371" s="249"/>
      <c r="B371" s="250"/>
      <c r="C371" s="250"/>
      <c r="D371" s="251"/>
      <c r="E371" s="75"/>
      <c r="F371" s="75"/>
      <c r="G371" s="266"/>
      <c r="H371" s="267" t="s">
        <v>15</v>
      </c>
      <c r="I371" s="48">
        <v>0</v>
      </c>
      <c r="J371" s="68">
        <v>0</v>
      </c>
      <c r="K371" s="49">
        <f t="shared" si="82"/>
        <v>0</v>
      </c>
      <c r="L371" s="61"/>
      <c r="M371" s="61"/>
      <c r="N371" s="61"/>
    </row>
    <row r="372" spans="1:14" ht="21.75" customHeight="1" x14ac:dyDescent="0.4">
      <c r="A372" s="249"/>
      <c r="B372" s="250"/>
      <c r="C372" s="250"/>
      <c r="D372" s="251"/>
      <c r="E372" s="75"/>
      <c r="F372" s="74" t="s">
        <v>154</v>
      </c>
      <c r="G372" s="266"/>
      <c r="H372" s="267" t="s">
        <v>103</v>
      </c>
      <c r="I372" s="48">
        <v>0</v>
      </c>
      <c r="J372" s="68">
        <v>0</v>
      </c>
      <c r="K372" s="49">
        <f t="shared" si="82"/>
        <v>0</v>
      </c>
      <c r="L372" s="61"/>
      <c r="M372" s="61"/>
      <c r="N372" s="61"/>
    </row>
    <row r="373" spans="1:14" ht="21.75" customHeight="1" x14ac:dyDescent="0.4">
      <c r="A373" s="249"/>
      <c r="B373" s="250"/>
      <c r="C373" s="250"/>
      <c r="D373" s="251"/>
      <c r="E373" s="75"/>
      <c r="F373" s="75"/>
      <c r="G373" s="266"/>
      <c r="H373" s="267" t="s">
        <v>15</v>
      </c>
      <c r="I373" s="48">
        <v>0</v>
      </c>
      <c r="J373" s="68">
        <v>0</v>
      </c>
      <c r="K373" s="49">
        <f t="shared" si="82"/>
        <v>0</v>
      </c>
      <c r="L373" s="61"/>
      <c r="M373" s="61"/>
      <c r="N373" s="61"/>
    </row>
    <row r="374" spans="1:14" ht="21.75" customHeight="1" x14ac:dyDescent="0.4">
      <c r="A374" s="249"/>
      <c r="B374" s="250"/>
      <c r="C374" s="250"/>
      <c r="D374" s="251"/>
      <c r="E374" s="75"/>
      <c r="F374" s="74" t="s">
        <v>155</v>
      </c>
      <c r="G374" s="266"/>
      <c r="H374" s="267" t="s">
        <v>103</v>
      </c>
      <c r="I374" s="48">
        <v>0</v>
      </c>
      <c r="J374" s="68">
        <v>0</v>
      </c>
      <c r="K374" s="49">
        <f t="shared" si="82"/>
        <v>0</v>
      </c>
      <c r="L374" s="61"/>
      <c r="M374" s="61"/>
      <c r="N374" s="61"/>
    </row>
    <row r="375" spans="1:14" ht="21.75" customHeight="1" x14ac:dyDescent="0.4">
      <c r="A375" s="249"/>
      <c r="B375" s="250"/>
      <c r="C375" s="250"/>
      <c r="D375" s="251"/>
      <c r="E375" s="75"/>
      <c r="F375" s="75"/>
      <c r="G375" s="76"/>
      <c r="H375" s="267" t="s">
        <v>15</v>
      </c>
      <c r="I375" s="48">
        <v>0</v>
      </c>
      <c r="J375" s="68">
        <v>0</v>
      </c>
      <c r="K375" s="49">
        <f t="shared" si="82"/>
        <v>0</v>
      </c>
      <c r="L375" s="61"/>
      <c r="M375" s="61"/>
      <c r="N375" s="61"/>
    </row>
    <row r="376" spans="1:14" ht="21.75" customHeight="1" x14ac:dyDescent="0.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28514</v>
      </c>
      <c r="J376" s="265">
        <f t="shared" ref="J376:J377" si="85">+J378+J380+J382+J388</f>
        <v>0</v>
      </c>
      <c r="K376" s="80">
        <f t="shared" ca="1" si="82"/>
        <v>0</v>
      </c>
      <c r="L376" s="275"/>
      <c r="M376" s="275"/>
      <c r="N376" s="275"/>
    </row>
    <row r="377" spans="1:14" ht="21.75" customHeight="1" x14ac:dyDescent="0.4">
      <c r="A377" s="249"/>
      <c r="B377" s="250"/>
      <c r="C377" s="250"/>
      <c r="D377" s="251"/>
      <c r="E377" s="75"/>
      <c r="F377" s="75"/>
      <c r="G377" s="76"/>
      <c r="H377" s="264" t="s">
        <v>15</v>
      </c>
      <c r="I377" s="265">
        <f ca="1">I361</f>
        <v>5512</v>
      </c>
      <c r="J377" s="265">
        <f t="shared" si="85"/>
        <v>0</v>
      </c>
      <c r="K377" s="49">
        <f t="shared" ca="1" si="82"/>
        <v>0</v>
      </c>
      <c r="L377" s="61"/>
      <c r="M377" s="61"/>
      <c r="N377" s="61"/>
    </row>
    <row r="378" spans="1:14" ht="21.75" customHeight="1" x14ac:dyDescent="0.4">
      <c r="A378" s="249"/>
      <c r="B378" s="250"/>
      <c r="C378" s="250"/>
      <c r="D378" s="251"/>
      <c r="E378" s="75"/>
      <c r="F378" s="74" t="s">
        <v>157</v>
      </c>
      <c r="G378" s="266"/>
      <c r="H378" s="267" t="s">
        <v>103</v>
      </c>
      <c r="I378" s="48">
        <v>0</v>
      </c>
      <c r="J378" s="68">
        <v>0</v>
      </c>
      <c r="K378" s="49">
        <f t="shared" si="82"/>
        <v>0</v>
      </c>
      <c r="L378" s="61"/>
      <c r="M378" s="61"/>
      <c r="N378" s="61"/>
    </row>
    <row r="379" spans="1:14" ht="21.75" customHeight="1" x14ac:dyDescent="0.4">
      <c r="A379" s="249"/>
      <c r="B379" s="250"/>
      <c r="C379" s="250"/>
      <c r="D379" s="251"/>
      <c r="E379" s="75"/>
      <c r="F379" s="75"/>
      <c r="G379" s="266"/>
      <c r="H379" s="267" t="s">
        <v>15</v>
      </c>
      <c r="I379" s="48">
        <v>0</v>
      </c>
      <c r="J379" s="68">
        <v>0</v>
      </c>
      <c r="K379" s="49">
        <f t="shared" si="82"/>
        <v>0</v>
      </c>
      <c r="L379" s="61"/>
      <c r="M379" s="61"/>
      <c r="N379" s="61"/>
    </row>
    <row r="380" spans="1:14" ht="21.75" customHeight="1" x14ac:dyDescent="0.4">
      <c r="A380" s="249"/>
      <c r="B380" s="250"/>
      <c r="C380" s="250"/>
      <c r="D380" s="251"/>
      <c r="E380" s="75"/>
      <c r="F380" s="74" t="s">
        <v>158</v>
      </c>
      <c r="G380" s="266"/>
      <c r="H380" s="267" t="s">
        <v>103</v>
      </c>
      <c r="I380" s="48">
        <v>0</v>
      </c>
      <c r="J380" s="68">
        <v>0</v>
      </c>
      <c r="K380" s="49">
        <f t="shared" si="82"/>
        <v>0</v>
      </c>
      <c r="L380" s="61"/>
      <c r="M380" s="61"/>
      <c r="N380" s="61"/>
    </row>
    <row r="381" spans="1:14" ht="21.75" customHeight="1" x14ac:dyDescent="0.4">
      <c r="A381" s="249"/>
      <c r="B381" s="250"/>
      <c r="C381" s="250"/>
      <c r="D381" s="251"/>
      <c r="E381" s="75"/>
      <c r="F381" s="75"/>
      <c r="G381" s="266"/>
      <c r="H381" s="267" t="s">
        <v>15</v>
      </c>
      <c r="I381" s="48">
        <v>0</v>
      </c>
      <c r="J381" s="68">
        <v>0</v>
      </c>
      <c r="K381" s="49">
        <f t="shared" si="82"/>
        <v>0</v>
      </c>
      <c r="L381" s="61"/>
      <c r="M381" s="61"/>
      <c r="N381" s="61"/>
    </row>
    <row r="382" spans="1:14" ht="21.75" customHeight="1" x14ac:dyDescent="0.4">
      <c r="A382" s="249"/>
      <c r="B382" s="250"/>
      <c r="C382" s="250"/>
      <c r="D382" s="251"/>
      <c r="E382" s="75"/>
      <c r="F382" s="74" t="s">
        <v>159</v>
      </c>
      <c r="G382" s="266"/>
      <c r="H382" s="267" t="s">
        <v>103</v>
      </c>
      <c r="I382" s="48">
        <v>0</v>
      </c>
      <c r="J382" s="265">
        <f t="shared" ref="J382:J383" si="86">J384+J386</f>
        <v>0</v>
      </c>
      <c r="K382" s="49">
        <f t="shared" si="82"/>
        <v>0</v>
      </c>
      <c r="L382" s="61"/>
      <c r="M382" s="61"/>
      <c r="N382" s="61"/>
    </row>
    <row r="383" spans="1:14" ht="21.75" customHeight="1" x14ac:dyDescent="0.4">
      <c r="A383" s="249"/>
      <c r="B383" s="250"/>
      <c r="C383" s="250"/>
      <c r="D383" s="251"/>
      <c r="E383" s="75"/>
      <c r="F383" s="75"/>
      <c r="G383" s="75"/>
      <c r="H383" s="267" t="s">
        <v>15</v>
      </c>
      <c r="I383" s="48">
        <v>0</v>
      </c>
      <c r="J383" s="265">
        <f t="shared" si="86"/>
        <v>0</v>
      </c>
      <c r="K383" s="49">
        <f t="shared" si="82"/>
        <v>0</v>
      </c>
      <c r="L383" s="61"/>
      <c r="M383" s="61"/>
      <c r="N383" s="61"/>
    </row>
    <row r="384" spans="1:14" ht="21.75" customHeight="1" x14ac:dyDescent="0.4">
      <c r="A384" s="249"/>
      <c r="B384" s="250"/>
      <c r="C384" s="250"/>
      <c r="D384" s="251"/>
      <c r="E384" s="75"/>
      <c r="F384" s="75"/>
      <c r="G384" s="74" t="s">
        <v>160</v>
      </c>
      <c r="H384" s="267" t="s">
        <v>103</v>
      </c>
      <c r="I384" s="48">
        <v>0</v>
      </c>
      <c r="J384" s="68">
        <v>0</v>
      </c>
      <c r="K384" s="49">
        <f t="shared" si="82"/>
        <v>0</v>
      </c>
      <c r="L384" s="61"/>
      <c r="M384" s="61"/>
      <c r="N384" s="61"/>
    </row>
    <row r="385" spans="1:14" ht="21.75" customHeight="1" x14ac:dyDescent="0.4">
      <c r="A385" s="249"/>
      <c r="B385" s="250"/>
      <c r="C385" s="250"/>
      <c r="D385" s="251"/>
      <c r="E385" s="75"/>
      <c r="F385" s="75"/>
      <c r="G385" s="75"/>
      <c r="H385" s="267" t="s">
        <v>15</v>
      </c>
      <c r="I385" s="48">
        <v>0</v>
      </c>
      <c r="J385" s="68">
        <v>0</v>
      </c>
      <c r="K385" s="49">
        <f t="shared" si="82"/>
        <v>0</v>
      </c>
      <c r="L385" s="61"/>
      <c r="M385" s="61"/>
      <c r="N385" s="61"/>
    </row>
    <row r="386" spans="1:14" ht="21.75" customHeight="1" x14ac:dyDescent="0.4">
      <c r="A386" s="249"/>
      <c r="B386" s="250"/>
      <c r="C386" s="250"/>
      <c r="D386" s="251"/>
      <c r="E386" s="75"/>
      <c r="F386" s="75"/>
      <c r="G386" s="74" t="s">
        <v>161</v>
      </c>
      <c r="H386" s="267" t="s">
        <v>103</v>
      </c>
      <c r="I386" s="48">
        <v>0</v>
      </c>
      <c r="J386" s="68">
        <v>0</v>
      </c>
      <c r="K386" s="49">
        <f t="shared" si="82"/>
        <v>0</v>
      </c>
      <c r="L386" s="61"/>
      <c r="M386" s="61"/>
      <c r="N386" s="61"/>
    </row>
    <row r="387" spans="1:14" ht="21.75" customHeight="1" x14ac:dyDescent="0.4">
      <c r="A387" s="249"/>
      <c r="B387" s="250"/>
      <c r="C387" s="250"/>
      <c r="D387" s="251"/>
      <c r="E387" s="75"/>
      <c r="F387" s="75"/>
      <c r="G387" s="76"/>
      <c r="H387" s="267" t="s">
        <v>15</v>
      </c>
      <c r="I387" s="48">
        <v>0</v>
      </c>
      <c r="J387" s="68">
        <v>0</v>
      </c>
      <c r="K387" s="49">
        <f t="shared" si="82"/>
        <v>0</v>
      </c>
      <c r="L387" s="61"/>
      <c r="M387" s="61"/>
      <c r="N387" s="61"/>
    </row>
    <row r="388" spans="1:14" ht="21.75" customHeight="1" x14ac:dyDescent="0.4">
      <c r="A388" s="249"/>
      <c r="B388" s="250"/>
      <c r="C388" s="250"/>
      <c r="D388" s="251"/>
      <c r="E388" s="75"/>
      <c r="F388" s="74" t="s">
        <v>162</v>
      </c>
      <c r="G388" s="266"/>
      <c r="H388" s="267" t="s">
        <v>103</v>
      </c>
      <c r="I388" s="48">
        <v>0</v>
      </c>
      <c r="J388" s="68">
        <v>0</v>
      </c>
      <c r="K388" s="49">
        <f t="shared" si="82"/>
        <v>0</v>
      </c>
      <c r="L388" s="61"/>
      <c r="M388" s="61"/>
      <c r="N388" s="61"/>
    </row>
    <row r="389" spans="1:14" ht="21.75" customHeight="1" x14ac:dyDescent="0.4">
      <c r="A389" s="276"/>
      <c r="B389" s="277"/>
      <c r="C389" s="277"/>
      <c r="D389" s="278"/>
      <c r="E389" s="204"/>
      <c r="F389" s="204"/>
      <c r="G389" s="204"/>
      <c r="H389" s="279" t="s">
        <v>15</v>
      </c>
      <c r="I389" s="384">
        <v>0</v>
      </c>
      <c r="J389" s="68">
        <v>0</v>
      </c>
      <c r="K389" s="114">
        <f t="shared" si="82"/>
        <v>0</v>
      </c>
      <c r="L389" s="115"/>
      <c r="M389" s="115"/>
      <c r="N389" s="115"/>
    </row>
    <row r="390" spans="1:14" ht="21.75" customHeight="1" x14ac:dyDescent="0.4">
      <c r="A390" s="55"/>
      <c r="B390" s="56"/>
      <c r="C390" s="261" t="s">
        <v>163</v>
      </c>
      <c r="D390" s="261"/>
      <c r="E390" s="262"/>
      <c r="F390" s="262"/>
      <c r="G390" s="263"/>
      <c r="H390" s="136" t="s">
        <v>103</v>
      </c>
      <c r="I390" s="137">
        <f ca="1">IFERROR(__xludf.DUMMYFUNCTION("IMPORTRANGE(""https://docs.google.com/spreadsheets/d/1C3CXT74ZlgGe6_JY_1olB1XN4rF0dxEuIIF-xsYjHgg/edit?usp=sharing"",""งบกองทุน!cd26"")"),0)</f>
        <v>0</v>
      </c>
      <c r="J390" s="137">
        <f>J391</f>
        <v>0</v>
      </c>
      <c r="K390" s="138">
        <f t="shared" ca="1" si="82"/>
        <v>0</v>
      </c>
      <c r="L390" s="140"/>
      <c r="M390" s="140"/>
      <c r="N390" s="140"/>
    </row>
    <row r="391" spans="1:14" ht="21.75" customHeight="1" x14ac:dyDescent="0.4">
      <c r="A391" s="55"/>
      <c r="B391" s="56"/>
      <c r="C391" s="56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IFERROR(__xludf.DUMMYFUNCTION("IMPORTRANGE(""https://docs.google.com/spreadsheets/d/1C3CXT74ZlgGe6_JY_1olB1XN4rF0dxEuIIF-xsYjHgg/edit?usp=sharing"",""งบกองทุน!cd26"")"),0)</f>
        <v>0</v>
      </c>
      <c r="J391" s="265">
        <f t="shared" ref="J391:J392" si="87">J393+J401+J407</f>
        <v>0</v>
      </c>
      <c r="K391" s="49">
        <f t="shared" ca="1" si="82"/>
        <v>0</v>
      </c>
      <c r="L391" s="61"/>
      <c r="M391" s="61"/>
      <c r="N391" s="61"/>
    </row>
    <row r="392" spans="1:14" ht="21.75" customHeight="1" x14ac:dyDescent="0.4">
      <c r="A392" s="55"/>
      <c r="B392" s="56"/>
      <c r="C392" s="56"/>
      <c r="D392" s="73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IFERROR(__xludf.DUMMYFUNCTION("IMPORTRANGE(""https://docs.google.com/spreadsheets/d/1C3CXT74ZlgGe6_JY_1olB1XN4rF0dxEuIIF-xsYjHgg/edit?usp=sharing"",""งบกองทุน!cc26"")"),0)</f>
        <v>0</v>
      </c>
      <c r="J392" s="265">
        <f t="shared" si="87"/>
        <v>0</v>
      </c>
      <c r="K392" s="80">
        <f t="shared" ca="1" si="82"/>
        <v>0</v>
      </c>
      <c r="L392" s="61"/>
      <c r="M392" s="61"/>
      <c r="N392" s="61"/>
    </row>
    <row r="393" spans="1:14" ht="21.75" customHeight="1" x14ac:dyDescent="0.4">
      <c r="A393" s="55"/>
      <c r="B393" s="56"/>
      <c r="C393" s="56"/>
      <c r="D393" s="251"/>
      <c r="E393" s="251" t="s">
        <v>165</v>
      </c>
      <c r="F393" s="75"/>
      <c r="G393" s="76"/>
      <c r="H393" s="267" t="s">
        <v>103</v>
      </c>
      <c r="I393" s="48">
        <v>0</v>
      </c>
      <c r="J393" s="48">
        <f t="shared" ref="J393:J394" si="88">J395+J397+J399</f>
        <v>0</v>
      </c>
      <c r="K393" s="49">
        <f t="shared" si="82"/>
        <v>0</v>
      </c>
      <c r="L393" s="61"/>
      <c r="M393" s="61"/>
      <c r="N393" s="61"/>
    </row>
    <row r="394" spans="1:14" ht="21.75" customHeight="1" x14ac:dyDescent="0.4">
      <c r="A394" s="55"/>
      <c r="B394" s="56"/>
      <c r="C394" s="56"/>
      <c r="D394" s="73"/>
      <c r="E394" s="75"/>
      <c r="F394" s="75"/>
      <c r="G394" s="76"/>
      <c r="H394" s="267" t="s">
        <v>15</v>
      </c>
      <c r="I394" s="48">
        <v>0</v>
      </c>
      <c r="J394" s="48">
        <f t="shared" si="88"/>
        <v>0</v>
      </c>
      <c r="K394" s="49">
        <f t="shared" si="82"/>
        <v>0</v>
      </c>
      <c r="L394" s="61"/>
      <c r="M394" s="61"/>
      <c r="N394" s="61"/>
    </row>
    <row r="395" spans="1:14" ht="21.75" customHeight="1" x14ac:dyDescent="0.4">
      <c r="A395" s="55"/>
      <c r="B395" s="56"/>
      <c r="C395" s="56"/>
      <c r="D395" s="73"/>
      <c r="E395" s="75"/>
      <c r="F395" s="242" t="s">
        <v>166</v>
      </c>
      <c r="G395" s="266"/>
      <c r="H395" s="267" t="s">
        <v>103</v>
      </c>
      <c r="I395" s="48">
        <v>0</v>
      </c>
      <c r="J395" s="68">
        <v>0</v>
      </c>
      <c r="K395" s="49">
        <f t="shared" si="82"/>
        <v>0</v>
      </c>
      <c r="L395" s="61"/>
      <c r="M395" s="61"/>
      <c r="N395" s="61"/>
    </row>
    <row r="396" spans="1:14" ht="21.75" customHeight="1" x14ac:dyDescent="0.4">
      <c r="A396" s="55"/>
      <c r="B396" s="56"/>
      <c r="C396" s="56"/>
      <c r="D396" s="73"/>
      <c r="E396" s="75"/>
      <c r="F396" s="75"/>
      <c r="G396" s="266"/>
      <c r="H396" s="267" t="s">
        <v>15</v>
      </c>
      <c r="I396" s="48">
        <v>0</v>
      </c>
      <c r="J396" s="68">
        <v>0</v>
      </c>
      <c r="K396" s="49">
        <f t="shared" si="82"/>
        <v>0</v>
      </c>
      <c r="L396" s="61"/>
      <c r="M396" s="61"/>
      <c r="N396" s="61"/>
    </row>
    <row r="397" spans="1:14" ht="21.75" customHeight="1" x14ac:dyDescent="0.4">
      <c r="A397" s="55"/>
      <c r="B397" s="56"/>
      <c r="C397" s="56"/>
      <c r="D397" s="73"/>
      <c r="E397" s="75"/>
      <c r="F397" s="242" t="s">
        <v>167</v>
      </c>
      <c r="G397" s="266"/>
      <c r="H397" s="267" t="s">
        <v>103</v>
      </c>
      <c r="I397" s="48">
        <v>0</v>
      </c>
      <c r="J397" s="68">
        <v>0</v>
      </c>
      <c r="K397" s="49">
        <f t="shared" si="82"/>
        <v>0</v>
      </c>
      <c r="L397" s="61"/>
      <c r="M397" s="61"/>
      <c r="N397" s="61"/>
    </row>
    <row r="398" spans="1:14" ht="21.75" customHeight="1" x14ac:dyDescent="0.4">
      <c r="A398" s="55"/>
      <c r="B398" s="56"/>
      <c r="C398" s="56"/>
      <c r="D398" s="73"/>
      <c r="E398" s="75"/>
      <c r="F398" s="75"/>
      <c r="G398" s="266"/>
      <c r="H398" s="267" t="s">
        <v>15</v>
      </c>
      <c r="I398" s="48">
        <v>0</v>
      </c>
      <c r="J398" s="68">
        <v>0</v>
      </c>
      <c r="K398" s="49">
        <f t="shared" si="82"/>
        <v>0</v>
      </c>
      <c r="L398" s="61"/>
      <c r="M398" s="61"/>
      <c r="N398" s="61"/>
    </row>
    <row r="399" spans="1:14" ht="21.75" customHeight="1" x14ac:dyDescent="0.4">
      <c r="A399" s="55"/>
      <c r="B399" s="56"/>
      <c r="C399" s="56"/>
      <c r="D399" s="73"/>
      <c r="E399" s="75"/>
      <c r="F399" s="242" t="s">
        <v>168</v>
      </c>
      <c r="G399" s="266"/>
      <c r="H399" s="267" t="s">
        <v>103</v>
      </c>
      <c r="I399" s="48">
        <v>0</v>
      </c>
      <c r="J399" s="68">
        <v>0</v>
      </c>
      <c r="K399" s="49">
        <f t="shared" si="82"/>
        <v>0</v>
      </c>
      <c r="L399" s="61"/>
      <c r="M399" s="61"/>
      <c r="N399" s="61"/>
    </row>
    <row r="400" spans="1:14" ht="21.75" customHeight="1" x14ac:dyDescent="0.4">
      <c r="A400" s="55"/>
      <c r="B400" s="56"/>
      <c r="C400" s="56"/>
      <c r="D400" s="73"/>
      <c r="E400" s="75"/>
      <c r="F400" s="75"/>
      <c r="G400" s="75"/>
      <c r="H400" s="267" t="s">
        <v>15</v>
      </c>
      <c r="I400" s="48">
        <v>0</v>
      </c>
      <c r="J400" s="68">
        <v>0</v>
      </c>
      <c r="K400" s="49">
        <f t="shared" si="82"/>
        <v>0</v>
      </c>
      <c r="L400" s="61"/>
      <c r="M400" s="61"/>
      <c r="N400" s="61"/>
    </row>
    <row r="401" spans="1:14" ht="21.75" customHeight="1" x14ac:dyDescent="0.4">
      <c r="A401" s="55"/>
      <c r="B401" s="56"/>
      <c r="C401" s="56"/>
      <c r="D401" s="73"/>
      <c r="E401" s="74" t="s">
        <v>169</v>
      </c>
      <c r="F401" s="75"/>
      <c r="G401" s="266"/>
      <c r="H401" s="267" t="s">
        <v>103</v>
      </c>
      <c r="I401" s="48">
        <v>0</v>
      </c>
      <c r="J401" s="48">
        <f t="shared" ref="J401:J402" si="89">+J403+J405</f>
        <v>0</v>
      </c>
      <c r="K401" s="49">
        <f t="shared" si="82"/>
        <v>0</v>
      </c>
      <c r="L401" s="61"/>
      <c r="M401" s="61"/>
      <c r="N401" s="61"/>
    </row>
    <row r="402" spans="1:14" ht="21.75" customHeight="1" x14ac:dyDescent="0.4">
      <c r="A402" s="55"/>
      <c r="B402" s="56"/>
      <c r="C402" s="56"/>
      <c r="D402" s="73"/>
      <c r="E402" s="75"/>
      <c r="F402" s="75"/>
      <c r="G402" s="75"/>
      <c r="H402" s="267" t="s">
        <v>15</v>
      </c>
      <c r="I402" s="48">
        <v>0</v>
      </c>
      <c r="J402" s="48">
        <f t="shared" si="89"/>
        <v>0</v>
      </c>
      <c r="K402" s="49">
        <f t="shared" si="82"/>
        <v>0</v>
      </c>
      <c r="L402" s="61"/>
      <c r="M402" s="61"/>
      <c r="N402" s="61"/>
    </row>
    <row r="403" spans="1:14" ht="21.75" customHeight="1" x14ac:dyDescent="0.4">
      <c r="A403" s="55"/>
      <c r="B403" s="56"/>
      <c r="C403" s="56"/>
      <c r="D403" s="73"/>
      <c r="E403" s="75"/>
      <c r="F403" s="74" t="s">
        <v>170</v>
      </c>
      <c r="G403" s="75"/>
      <c r="H403" s="267" t="s">
        <v>103</v>
      </c>
      <c r="I403" s="48">
        <v>0</v>
      </c>
      <c r="J403" s="68">
        <v>0</v>
      </c>
      <c r="K403" s="49">
        <f t="shared" si="82"/>
        <v>0</v>
      </c>
      <c r="L403" s="61"/>
      <c r="M403" s="61"/>
      <c r="N403" s="61"/>
    </row>
    <row r="404" spans="1:14" ht="21.75" customHeight="1" x14ac:dyDescent="0.4">
      <c r="A404" s="55"/>
      <c r="B404" s="56"/>
      <c r="C404" s="56"/>
      <c r="D404" s="73"/>
      <c r="E404" s="75"/>
      <c r="F404" s="75"/>
      <c r="G404" s="75"/>
      <c r="H404" s="267" t="s">
        <v>15</v>
      </c>
      <c r="I404" s="48">
        <v>0</v>
      </c>
      <c r="J404" s="68">
        <v>0</v>
      </c>
      <c r="K404" s="49">
        <f t="shared" si="82"/>
        <v>0</v>
      </c>
      <c r="L404" s="61"/>
      <c r="M404" s="61"/>
      <c r="N404" s="61"/>
    </row>
    <row r="405" spans="1:14" ht="21.75" customHeight="1" x14ac:dyDescent="0.4">
      <c r="A405" s="55"/>
      <c r="B405" s="56"/>
      <c r="C405" s="56"/>
      <c r="D405" s="73"/>
      <c r="E405" s="75"/>
      <c r="F405" s="74" t="s">
        <v>171</v>
      </c>
      <c r="G405" s="75"/>
      <c r="H405" s="267" t="s">
        <v>103</v>
      </c>
      <c r="I405" s="48">
        <v>0</v>
      </c>
      <c r="J405" s="68">
        <v>0</v>
      </c>
      <c r="K405" s="49">
        <f t="shared" si="82"/>
        <v>0</v>
      </c>
      <c r="L405" s="61"/>
      <c r="M405" s="61"/>
      <c r="N405" s="61"/>
    </row>
    <row r="406" spans="1:14" ht="21.75" customHeight="1" x14ac:dyDescent="0.4">
      <c r="A406" s="55"/>
      <c r="B406" s="56"/>
      <c r="C406" s="56"/>
      <c r="D406" s="73"/>
      <c r="E406" s="75"/>
      <c r="F406" s="75"/>
      <c r="G406" s="76"/>
      <c r="H406" s="267" t="s">
        <v>15</v>
      </c>
      <c r="I406" s="48">
        <v>0</v>
      </c>
      <c r="J406" s="68">
        <v>0</v>
      </c>
      <c r="K406" s="49">
        <f t="shared" si="82"/>
        <v>0</v>
      </c>
      <c r="L406" s="61"/>
      <c r="M406" s="61"/>
      <c r="N406" s="61"/>
    </row>
    <row r="407" spans="1:14" ht="21.75" customHeight="1" x14ac:dyDescent="0.4">
      <c r="A407" s="55"/>
      <c r="B407" s="56"/>
      <c r="C407" s="56"/>
      <c r="D407" s="251"/>
      <c r="E407" s="251" t="s">
        <v>225</v>
      </c>
      <c r="F407" s="75"/>
      <c r="G407" s="76"/>
      <c r="H407" s="267" t="s">
        <v>103</v>
      </c>
      <c r="I407" s="48">
        <v>0</v>
      </c>
      <c r="J407" s="68">
        <v>0</v>
      </c>
      <c r="K407" s="49">
        <f t="shared" si="82"/>
        <v>0</v>
      </c>
      <c r="L407" s="61"/>
      <c r="M407" s="61"/>
      <c r="N407" s="61"/>
    </row>
    <row r="408" spans="1:14" ht="21.75" customHeight="1" x14ac:dyDescent="0.4">
      <c r="A408" s="55"/>
      <c r="B408" s="56"/>
      <c r="C408" s="56"/>
      <c r="D408" s="73"/>
      <c r="E408" s="75"/>
      <c r="F408" s="75"/>
      <c r="G408" s="76"/>
      <c r="H408" s="267" t="s">
        <v>15</v>
      </c>
      <c r="I408" s="48">
        <v>0</v>
      </c>
      <c r="J408" s="68">
        <v>0</v>
      </c>
      <c r="K408" s="49">
        <f t="shared" si="82"/>
        <v>0</v>
      </c>
      <c r="L408" s="61"/>
      <c r="M408" s="61"/>
      <c r="N408" s="61"/>
    </row>
    <row r="409" spans="1:14" ht="21.75" customHeight="1" x14ac:dyDescent="0.4">
      <c r="A409" s="55"/>
      <c r="B409" s="56"/>
      <c r="C409" s="261" t="s">
        <v>173</v>
      </c>
      <c r="D409" s="261"/>
      <c r="E409" s="285"/>
      <c r="F409" s="285"/>
      <c r="G409" s="286"/>
      <c r="H409" s="287" t="s">
        <v>103</v>
      </c>
      <c r="I409" s="137">
        <f ca="1">IFERROR(__xludf.DUMMYFUNCTION("IMPORTRANGE(""https://docs.google.com/spreadsheets/d/1C3CXT74ZlgGe6_JY_1olB1XN4rF0dxEuIIF-xsYjHgg/edit?usp=sharing"",""งบกองทุน!cz26"")"),0)</f>
        <v>0</v>
      </c>
      <c r="J409" s="137">
        <f ca="1">SUM(J412,J414)</f>
        <v>0</v>
      </c>
      <c r="K409" s="138">
        <f t="shared" ca="1" si="82"/>
        <v>0</v>
      </c>
      <c r="L409" s="61"/>
      <c r="M409" s="61"/>
      <c r="N409" s="61"/>
    </row>
    <row r="410" spans="1:14" ht="21.75" customHeight="1" x14ac:dyDescent="0.4">
      <c r="A410" s="55"/>
      <c r="B410" s="56"/>
      <c r="C410" s="288"/>
      <c r="D410" s="288"/>
      <c r="E410" s="288" t="s">
        <v>174</v>
      </c>
      <c r="F410" s="289"/>
      <c r="G410" s="290"/>
      <c r="H410" s="291" t="s">
        <v>103</v>
      </c>
      <c r="I410" s="150">
        <f ca="1">IFERROR(__xludf.DUMMYFUNCTION("IMPORTRANGE(""https://docs.google.com/spreadsheets/d/1C3CXT74ZlgGe6_JY_1olB1XN4rF0dxEuIIF-xsYjHgg/edit?usp=sharing"",""งบกองทุน!cz26"")"),0)</f>
        <v>0</v>
      </c>
      <c r="J410" s="150">
        <f t="shared" ref="J410:J411" ca="1" si="90">SUM(J412,J414)</f>
        <v>0</v>
      </c>
      <c r="K410" s="147">
        <f t="shared" ca="1" si="82"/>
        <v>0</v>
      </c>
      <c r="L410" s="61"/>
      <c r="M410" s="61"/>
      <c r="N410" s="61"/>
    </row>
    <row r="411" spans="1:14" ht="21.75" customHeight="1" x14ac:dyDescent="0.4">
      <c r="A411" s="55"/>
      <c r="B411" s="56"/>
      <c r="C411" s="288"/>
      <c r="D411" s="288"/>
      <c r="E411" s="288" t="s">
        <v>175</v>
      </c>
      <c r="F411" s="289"/>
      <c r="G411" s="290"/>
      <c r="H411" s="291" t="s">
        <v>15</v>
      </c>
      <c r="I411" s="150">
        <f ca="1">IFERROR(__xludf.DUMMYFUNCTION("IMPORTRANGE(""https://docs.google.com/spreadsheets/d/1C3CXT74ZlgGe6_JY_1olB1XN4rF0dxEuIIF-xsYjHgg/edit?usp=sharing"",""งบกองทุน!cy26"")"),0)</f>
        <v>0</v>
      </c>
      <c r="J411" s="150">
        <f t="shared" ca="1" si="90"/>
        <v>0</v>
      </c>
      <c r="K411" s="147">
        <f t="shared" ca="1" si="82"/>
        <v>0</v>
      </c>
      <c r="L411" s="61"/>
      <c r="M411" s="61"/>
      <c r="N411" s="61"/>
    </row>
    <row r="412" spans="1:14" ht="21.75" customHeight="1" x14ac:dyDescent="0.4">
      <c r="A412" s="55"/>
      <c r="B412" s="56"/>
      <c r="C412" s="56"/>
      <c r="D412" s="73"/>
      <c r="E412" s="75"/>
      <c r="F412" s="75"/>
      <c r="G412" s="99" t="s">
        <v>176</v>
      </c>
      <c r="H412" s="267" t="s">
        <v>103</v>
      </c>
      <c r="I412" s="48">
        <v>0</v>
      </c>
      <c r="J412" s="67">
        <f ca="1">IFERROR(__xludf.DUMMYFUNCTION("IMPORTRANGE(""https://docs.google.com/spreadsheets/d/1C3CXT74ZlgGe6_JY_1olB1XN4rF0dxEuIIF-xsYjHgg/edit?usp=sharing"",""งบกองทุน!db26"")"),0)</f>
        <v>0</v>
      </c>
      <c r="K412" s="49">
        <f t="shared" si="82"/>
        <v>0</v>
      </c>
      <c r="L412" s="61"/>
      <c r="M412" s="61"/>
      <c r="N412" s="61"/>
    </row>
    <row r="413" spans="1:14" ht="21.75" customHeight="1" x14ac:dyDescent="0.4">
      <c r="A413" s="55"/>
      <c r="B413" s="56"/>
      <c r="C413" s="56"/>
      <c r="D413" s="73"/>
      <c r="E413" s="75"/>
      <c r="F413" s="75"/>
      <c r="G413" s="76"/>
      <c r="H413" s="267" t="s">
        <v>15</v>
      </c>
      <c r="I413" s="48">
        <v>0</v>
      </c>
      <c r="J413" s="67">
        <f ca="1">IFERROR(__xludf.DUMMYFUNCTION("IMPORTRANGE(""https://docs.google.com/spreadsheets/d/1C3CXT74ZlgGe6_JY_1olB1XN4rF0dxEuIIF-xsYjHgg/edit?usp=sharing"",""งบกองทุน!da26"")"),0)</f>
        <v>0</v>
      </c>
      <c r="K413" s="49">
        <f t="shared" si="82"/>
        <v>0</v>
      </c>
      <c r="L413" s="61"/>
      <c r="M413" s="61"/>
      <c r="N413" s="61"/>
    </row>
    <row r="414" spans="1:14" ht="21.75" customHeight="1" x14ac:dyDescent="0.4">
      <c r="A414" s="55"/>
      <c r="B414" s="56"/>
      <c r="C414" s="56"/>
      <c r="D414" s="73"/>
      <c r="E414" s="75"/>
      <c r="F414" s="75"/>
      <c r="G414" s="99" t="s">
        <v>177</v>
      </c>
      <c r="H414" s="267" t="s">
        <v>103</v>
      </c>
      <c r="I414" s="48">
        <v>0</v>
      </c>
      <c r="J414" s="67">
        <f ca="1">IFERROR(__xludf.DUMMYFUNCTION("IMPORTRANGE(""https://docs.google.com/spreadsheets/d/1C3CXT74ZlgGe6_JY_1olB1XN4rF0dxEuIIF-xsYjHgg/edit?usp=sharing"",""งบกองทุน!dd26"")"),0)</f>
        <v>0</v>
      </c>
      <c r="K414" s="49">
        <f t="shared" si="82"/>
        <v>0</v>
      </c>
      <c r="L414" s="61"/>
      <c r="M414" s="61"/>
      <c r="N414" s="61"/>
    </row>
    <row r="415" spans="1:14" ht="21.75" customHeight="1" x14ac:dyDescent="0.4">
      <c r="A415" s="55"/>
      <c r="B415" s="56"/>
      <c r="C415" s="56"/>
      <c r="D415" s="73"/>
      <c r="E415" s="75"/>
      <c r="F415" s="75"/>
      <c r="G415" s="76"/>
      <c r="H415" s="267" t="s">
        <v>15</v>
      </c>
      <c r="I415" s="48">
        <v>0</v>
      </c>
      <c r="J415" s="67">
        <f ca="1">IFERROR(__xludf.DUMMYFUNCTION("IMPORTRANGE(""https://docs.google.com/spreadsheets/d/1C3CXT74ZlgGe6_JY_1olB1XN4rF0dxEuIIF-xsYjHgg/edit?usp=sharing"",""งบกองทุน!dc26"")"),0)</f>
        <v>0</v>
      </c>
      <c r="K415" s="49">
        <f t="shared" si="82"/>
        <v>0</v>
      </c>
      <c r="L415" s="61"/>
      <c r="M415" s="61"/>
      <c r="N415" s="61"/>
    </row>
    <row r="416" spans="1:14" ht="21.75" customHeight="1" x14ac:dyDescent="0.4">
      <c r="A416" s="55"/>
      <c r="B416" s="56"/>
      <c r="C416" s="56"/>
      <c r="D416" s="73"/>
      <c r="E416" s="75"/>
      <c r="F416" s="75"/>
      <c r="G416" s="99" t="s">
        <v>178</v>
      </c>
      <c r="H416" s="267" t="s">
        <v>103</v>
      </c>
      <c r="I416" s="48">
        <v>0</v>
      </c>
      <c r="J416" s="67">
        <f ca="1">IFERROR(__xludf.DUMMYFUNCTION("IMPORTRANGE(""https://docs.google.com/spreadsheets/d/1C3CXT74ZlgGe6_JY_1olB1XN4rF0dxEuIIF-xsYjHgg/edit?usp=sharing"",""งบกองทุน!df26"")"),0)</f>
        <v>0</v>
      </c>
      <c r="K416" s="49">
        <f t="shared" si="82"/>
        <v>0</v>
      </c>
      <c r="L416" s="61"/>
      <c r="M416" s="61"/>
      <c r="N416" s="61"/>
    </row>
    <row r="417" spans="1:14" ht="21.75" customHeight="1" x14ac:dyDescent="0.4">
      <c r="A417" s="55"/>
      <c r="B417" s="56"/>
      <c r="C417" s="56"/>
      <c r="D417" s="73"/>
      <c r="E417" s="75"/>
      <c r="F417" s="75"/>
      <c r="G417" s="76"/>
      <c r="H417" s="267" t="s">
        <v>15</v>
      </c>
      <c r="I417" s="48">
        <v>0</v>
      </c>
      <c r="J417" s="67">
        <f ca="1">IFERROR(__xludf.DUMMYFUNCTION("IMPORTRANGE(""https://docs.google.com/spreadsheets/d/1C3CXT74ZlgGe6_JY_1olB1XN4rF0dxEuIIF-xsYjHgg/edit?usp=sharing"",""งบกองทุน!de26"")"),0)</f>
        <v>0</v>
      </c>
      <c r="K417" s="49">
        <f t="shared" si="82"/>
        <v>0</v>
      </c>
      <c r="L417" s="61"/>
      <c r="M417" s="61"/>
      <c r="N417" s="61"/>
    </row>
    <row r="418" spans="1:14" ht="21.75" customHeight="1" x14ac:dyDescent="0.4">
      <c r="A418" s="55"/>
      <c r="B418" s="56"/>
      <c r="C418" s="288"/>
      <c r="D418" s="288"/>
      <c r="E418" s="288" t="s">
        <v>179</v>
      </c>
      <c r="F418" s="289"/>
      <c r="G418" s="290"/>
      <c r="H418" s="291" t="s">
        <v>103</v>
      </c>
      <c r="I418" s="150">
        <f t="shared" ref="I418:I419" ca="1" si="91">J416</f>
        <v>0</v>
      </c>
      <c r="J418" s="150">
        <f t="shared" ref="J418:J419" si="92">SUM(J420,J422,J424)</f>
        <v>0</v>
      </c>
      <c r="K418" s="147">
        <f t="shared" ca="1" si="82"/>
        <v>0</v>
      </c>
      <c r="L418" s="61"/>
      <c r="M418" s="61"/>
      <c r="N418" s="61"/>
    </row>
    <row r="419" spans="1:14" ht="21.75" customHeight="1" x14ac:dyDescent="0.4">
      <c r="A419" s="55"/>
      <c r="B419" s="56"/>
      <c r="C419" s="288"/>
      <c r="D419" s="288"/>
      <c r="E419" s="288" t="s">
        <v>180</v>
      </c>
      <c r="F419" s="289"/>
      <c r="G419" s="290"/>
      <c r="H419" s="291" t="s">
        <v>15</v>
      </c>
      <c r="I419" s="150">
        <f t="shared" ca="1" si="91"/>
        <v>0</v>
      </c>
      <c r="J419" s="150">
        <f t="shared" si="92"/>
        <v>0</v>
      </c>
      <c r="K419" s="147">
        <f t="shared" ca="1" si="82"/>
        <v>0</v>
      </c>
      <c r="L419" s="61"/>
      <c r="M419" s="61"/>
      <c r="N419" s="61"/>
    </row>
    <row r="420" spans="1:14" ht="21.75" customHeight="1" x14ac:dyDescent="0.4">
      <c r="A420" s="55"/>
      <c r="B420" s="56"/>
      <c r="C420" s="56"/>
      <c r="D420" s="73"/>
      <c r="E420" s="75"/>
      <c r="F420" s="75"/>
      <c r="G420" s="99" t="s">
        <v>176</v>
      </c>
      <c r="H420" s="267" t="s">
        <v>103</v>
      </c>
      <c r="I420" s="48">
        <v>0</v>
      </c>
      <c r="J420" s="68">
        <v>0</v>
      </c>
      <c r="K420" s="49">
        <f t="shared" si="82"/>
        <v>0</v>
      </c>
      <c r="L420" s="61"/>
      <c r="M420" s="61"/>
      <c r="N420" s="61"/>
    </row>
    <row r="421" spans="1:14" ht="21.75" customHeight="1" x14ac:dyDescent="0.4">
      <c r="A421" s="55"/>
      <c r="B421" s="56"/>
      <c r="C421" s="56"/>
      <c r="D421" s="73"/>
      <c r="E421" s="75"/>
      <c r="F421" s="75"/>
      <c r="G421" s="76"/>
      <c r="H421" s="267" t="s">
        <v>15</v>
      </c>
      <c r="I421" s="48">
        <v>0</v>
      </c>
      <c r="J421" s="68">
        <v>0</v>
      </c>
      <c r="K421" s="49">
        <f t="shared" si="82"/>
        <v>0</v>
      </c>
      <c r="L421" s="61"/>
      <c r="M421" s="61"/>
      <c r="N421" s="61"/>
    </row>
    <row r="422" spans="1:14" ht="21.75" customHeight="1" x14ac:dyDescent="0.4">
      <c r="A422" s="55"/>
      <c r="B422" s="56"/>
      <c r="C422" s="56"/>
      <c r="D422" s="73"/>
      <c r="E422" s="75"/>
      <c r="F422" s="75"/>
      <c r="G422" s="99" t="s">
        <v>177</v>
      </c>
      <c r="H422" s="267" t="s">
        <v>103</v>
      </c>
      <c r="I422" s="48">
        <v>0</v>
      </c>
      <c r="J422" s="68">
        <v>0</v>
      </c>
      <c r="K422" s="49">
        <f t="shared" si="82"/>
        <v>0</v>
      </c>
      <c r="L422" s="61"/>
      <c r="M422" s="61"/>
      <c r="N422" s="61"/>
    </row>
    <row r="423" spans="1:14" ht="21.75" customHeight="1" x14ac:dyDescent="0.4">
      <c r="A423" s="55"/>
      <c r="B423" s="56"/>
      <c r="C423" s="56"/>
      <c r="D423" s="73"/>
      <c r="E423" s="75"/>
      <c r="F423" s="75"/>
      <c r="G423" s="76"/>
      <c r="H423" s="267" t="s">
        <v>15</v>
      </c>
      <c r="I423" s="48">
        <v>0</v>
      </c>
      <c r="J423" s="68">
        <v>0</v>
      </c>
      <c r="K423" s="49">
        <f t="shared" si="82"/>
        <v>0</v>
      </c>
      <c r="L423" s="61"/>
      <c r="M423" s="61"/>
      <c r="N423" s="61"/>
    </row>
    <row r="424" spans="1:14" ht="21.75" customHeight="1" x14ac:dyDescent="0.4">
      <c r="A424" s="55"/>
      <c r="B424" s="56"/>
      <c r="C424" s="56"/>
      <c r="D424" s="73"/>
      <c r="E424" s="75"/>
      <c r="F424" s="75"/>
      <c r="G424" s="99" t="s">
        <v>181</v>
      </c>
      <c r="H424" s="267" t="s">
        <v>103</v>
      </c>
      <c r="I424" s="48">
        <v>0</v>
      </c>
      <c r="J424" s="68">
        <v>0</v>
      </c>
      <c r="K424" s="49">
        <f t="shared" si="82"/>
        <v>0</v>
      </c>
      <c r="L424" s="61"/>
      <c r="M424" s="61"/>
      <c r="N424" s="61"/>
    </row>
    <row r="425" spans="1:14" ht="21.75" customHeight="1" x14ac:dyDescent="0.4">
      <c r="A425" s="292"/>
      <c r="B425" s="293"/>
      <c r="C425" s="293"/>
      <c r="D425" s="294"/>
      <c r="E425" s="295"/>
      <c r="F425" s="295"/>
      <c r="G425" s="296"/>
      <c r="H425" s="297" t="s">
        <v>15</v>
      </c>
      <c r="I425" s="298">
        <v>0</v>
      </c>
      <c r="J425" s="299">
        <v>0</v>
      </c>
      <c r="K425" s="309">
        <f t="shared" si="82"/>
        <v>0</v>
      </c>
      <c r="L425" s="300"/>
      <c r="M425" s="300"/>
      <c r="N425" s="300"/>
    </row>
    <row r="426" spans="1:14" ht="21.75" customHeight="1" x14ac:dyDescent="0.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3">I440</f>
        <v>22</v>
      </c>
      <c r="J426" s="257">
        <f t="shared" si="93"/>
        <v>0</v>
      </c>
      <c r="K426" s="258">
        <f ca="1">IF(I426&gt;0,J426*100/I426,0)</f>
        <v>0</v>
      </c>
      <c r="L426" s="259">
        <f t="shared" ref="L426:M426" ca="1" si="94">SUM(L427:L428)</f>
        <v>34340</v>
      </c>
      <c r="M426" s="259">
        <f t="shared" si="94"/>
        <v>6140</v>
      </c>
      <c r="N426" s="259">
        <f t="shared" ref="N426:N430" ca="1" si="95">+IF(L426&gt;0,M426*100/L426,0)</f>
        <v>17.880023296447291</v>
      </c>
    </row>
    <row r="427" spans="1:14" ht="21.75" customHeight="1" x14ac:dyDescent="0.4">
      <c r="A427" s="42"/>
      <c r="B427" s="43"/>
      <c r="C427" s="43" t="s">
        <v>17</v>
      </c>
      <c r="D427" s="44" t="s">
        <v>18</v>
      </c>
      <c r="E427" s="45"/>
      <c r="F427" s="45"/>
      <c r="G427" s="46" t="s">
        <v>19</v>
      </c>
      <c r="H427" s="47" t="s">
        <v>20</v>
      </c>
      <c r="I427" s="48" t="s">
        <v>21</v>
      </c>
      <c r="J427" s="48"/>
      <c r="K427" s="49"/>
      <c r="L427" s="50">
        <v>0</v>
      </c>
      <c r="M427" s="53">
        <v>0</v>
      </c>
      <c r="N427" s="53">
        <f t="shared" si="95"/>
        <v>0</v>
      </c>
    </row>
    <row r="428" spans="1:14" ht="21.75" customHeight="1" x14ac:dyDescent="0.4">
      <c r="A428" s="42"/>
      <c r="B428" s="43"/>
      <c r="C428" s="43"/>
      <c r="D428" s="51"/>
      <c r="E428" s="45"/>
      <c r="F428" s="45" t="s">
        <v>21</v>
      </c>
      <c r="G428" s="46" t="s">
        <v>22</v>
      </c>
      <c r="H428" s="47" t="s">
        <v>20</v>
      </c>
      <c r="I428" s="48"/>
      <c r="J428" s="48"/>
      <c r="K428" s="49"/>
      <c r="L428" s="50">
        <f t="shared" ref="L428:M428" ca="1" si="96">SUM(L429:L430)</f>
        <v>34340</v>
      </c>
      <c r="M428" s="53">
        <f t="shared" si="96"/>
        <v>6140</v>
      </c>
      <c r="N428" s="53">
        <f t="shared" ca="1" si="95"/>
        <v>17.880023296447291</v>
      </c>
    </row>
    <row r="429" spans="1:14" ht="21.75" customHeight="1" x14ac:dyDescent="0.4">
      <c r="A429" s="42"/>
      <c r="B429" s="43"/>
      <c r="C429" s="43"/>
      <c r="D429" s="51"/>
      <c r="E429" s="45"/>
      <c r="F429" s="45"/>
      <c r="G429" s="52" t="s">
        <v>110</v>
      </c>
      <c r="H429" s="47" t="s">
        <v>20</v>
      </c>
      <c r="I429" s="48"/>
      <c r="J429" s="48"/>
      <c r="K429" s="49"/>
      <c r="L429" s="53">
        <f ca="1">IFERROR(__xludf.DUMMYFUNCTION("IMPORTRANGE(""https://docs.google.com/spreadsheets/d/1C3CXT74ZlgGe6_JY_1olB1XN4rF0dxEuIIF-xsYjHgg/edit?usp=sharing"",""งบกองทุน!dn26"")"),0)</f>
        <v>0</v>
      </c>
      <c r="M429" s="53">
        <v>0</v>
      </c>
      <c r="N429" s="53">
        <f t="shared" ca="1" si="95"/>
        <v>0</v>
      </c>
    </row>
    <row r="430" spans="1:14" ht="21.75" customHeight="1" x14ac:dyDescent="0.4">
      <c r="A430" s="42"/>
      <c r="B430" s="43"/>
      <c r="C430" s="43"/>
      <c r="D430" s="51"/>
      <c r="E430" s="45"/>
      <c r="F430" s="45"/>
      <c r="G430" s="52" t="s">
        <v>111</v>
      </c>
      <c r="H430" s="47" t="s">
        <v>20</v>
      </c>
      <c r="I430" s="48"/>
      <c r="J430" s="48"/>
      <c r="K430" s="49"/>
      <c r="L430" s="53">
        <f ca="1">IFERROR(__xludf.DUMMYFUNCTION("IMPORTRANGE(""https://docs.google.com/spreadsheets/d/1C3CXT74ZlgGe6_JY_1olB1XN4rF0dxEuIIF-xsYjHgg/edit?usp=sharing"",""งบกองทุน!do26"")"),34340)</f>
        <v>34340</v>
      </c>
      <c r="M430" s="53">
        <f>SUM(M431:M434)</f>
        <v>6140</v>
      </c>
      <c r="N430" s="53">
        <f t="shared" ca="1" si="95"/>
        <v>17.880023296447291</v>
      </c>
    </row>
    <row r="431" spans="1:14" ht="21.75" customHeight="1" x14ac:dyDescent="0.4">
      <c r="A431" s="230"/>
      <c r="B431" s="231"/>
      <c r="C431" s="43"/>
      <c r="D431" s="232"/>
      <c r="E431" s="45"/>
      <c r="F431" s="45"/>
      <c r="G431" s="46" t="s">
        <v>112</v>
      </c>
      <c r="H431" s="47" t="s">
        <v>20</v>
      </c>
      <c r="I431" s="67"/>
      <c r="J431" s="67"/>
      <c r="K431" s="233"/>
      <c r="L431" s="53"/>
      <c r="M431" s="54">
        <v>0</v>
      </c>
      <c r="N431" s="53"/>
    </row>
    <row r="432" spans="1:14" ht="21.75" customHeight="1" x14ac:dyDescent="0.4">
      <c r="A432" s="230"/>
      <c r="B432" s="231"/>
      <c r="C432" s="43"/>
      <c r="D432" s="232"/>
      <c r="E432" s="45"/>
      <c r="F432" s="45"/>
      <c r="G432" s="46" t="s">
        <v>113</v>
      </c>
      <c r="H432" s="47" t="s">
        <v>20</v>
      </c>
      <c r="I432" s="67"/>
      <c r="J432" s="67"/>
      <c r="K432" s="233"/>
      <c r="L432" s="53"/>
      <c r="M432" s="54">
        <v>0</v>
      </c>
      <c r="N432" s="53"/>
    </row>
    <row r="433" spans="1:14" ht="21.75" customHeight="1" x14ac:dyDescent="0.4">
      <c r="A433" s="230"/>
      <c r="B433" s="231"/>
      <c r="C433" s="43"/>
      <c r="D433" s="232"/>
      <c r="E433" s="45"/>
      <c r="F433" s="45"/>
      <c r="G433" s="46" t="s">
        <v>114</v>
      </c>
      <c r="H433" s="47" t="s">
        <v>20</v>
      </c>
      <c r="I433" s="67"/>
      <c r="J433" s="67"/>
      <c r="K433" s="233"/>
      <c r="L433" s="53"/>
      <c r="M433" s="54">
        <v>0</v>
      </c>
      <c r="N433" s="53"/>
    </row>
    <row r="434" spans="1:14" ht="21.75" customHeight="1" x14ac:dyDescent="0.4">
      <c r="A434" s="230"/>
      <c r="B434" s="231"/>
      <c r="C434" s="43"/>
      <c r="D434" s="232"/>
      <c r="E434" s="45"/>
      <c r="F434" s="45"/>
      <c r="G434" s="46" t="s">
        <v>115</v>
      </c>
      <c r="H434" s="47" t="s">
        <v>20</v>
      </c>
      <c r="I434" s="67"/>
      <c r="J434" s="67"/>
      <c r="K434" s="233"/>
      <c r="L434" s="53"/>
      <c r="M434" s="54">
        <v>6140</v>
      </c>
      <c r="N434" s="53"/>
    </row>
    <row r="435" spans="1:14" ht="21.75" customHeight="1" x14ac:dyDescent="0.4">
      <c r="A435" s="55"/>
      <c r="B435" s="56"/>
      <c r="C435" s="43" t="s">
        <v>17</v>
      </c>
      <c r="D435" s="57" t="s">
        <v>25</v>
      </c>
      <c r="E435" s="58"/>
      <c r="F435" s="58"/>
      <c r="G435" s="59"/>
      <c r="H435" s="60"/>
      <c r="I435" s="48"/>
      <c r="J435" s="48"/>
      <c r="K435" s="49"/>
      <c r="L435" s="61"/>
      <c r="M435" s="61"/>
      <c r="N435" s="61"/>
    </row>
    <row r="436" spans="1:14" ht="21.75" customHeight="1" x14ac:dyDescent="0.4">
      <c r="A436" s="55"/>
      <c r="B436" s="56"/>
      <c r="C436" s="56"/>
      <c r="D436" s="62">
        <v>1</v>
      </c>
      <c r="E436" s="63" t="s">
        <v>26</v>
      </c>
      <c r="F436" s="64"/>
      <c r="G436" s="65"/>
      <c r="H436" s="66"/>
      <c r="I436" s="67"/>
      <c r="J436" s="68">
        <v>0</v>
      </c>
      <c r="K436" s="49"/>
      <c r="L436" s="61"/>
      <c r="M436" s="61"/>
      <c r="N436" s="61"/>
    </row>
    <row r="437" spans="1:14" ht="21.75" customHeight="1" x14ac:dyDescent="0.4">
      <c r="A437" s="55"/>
      <c r="B437" s="56"/>
      <c r="C437" s="56"/>
      <c r="D437" s="69">
        <v>2</v>
      </c>
      <c r="E437" s="70" t="s">
        <v>27</v>
      </c>
      <c r="F437" s="71"/>
      <c r="G437" s="72"/>
      <c r="H437" s="66"/>
      <c r="I437" s="67"/>
      <c r="J437" s="68">
        <v>1</v>
      </c>
      <c r="K437" s="49"/>
      <c r="L437" s="61" t="s">
        <v>21</v>
      </c>
      <c r="M437" s="61" t="s">
        <v>21</v>
      </c>
      <c r="N437" s="61"/>
    </row>
    <row r="438" spans="1:14" ht="21.75" customHeight="1" x14ac:dyDescent="0.4">
      <c r="A438" s="55"/>
      <c r="B438" s="56"/>
      <c r="C438" s="56"/>
      <c r="D438" s="73"/>
      <c r="E438" s="74" t="s">
        <v>28</v>
      </c>
      <c r="F438" s="75"/>
      <c r="G438" s="76"/>
      <c r="H438" s="66"/>
      <c r="I438" s="67"/>
      <c r="J438" s="68">
        <v>1</v>
      </c>
      <c r="K438" s="49"/>
      <c r="L438" s="61"/>
      <c r="M438" s="61"/>
      <c r="N438" s="61"/>
    </row>
    <row r="439" spans="1:14" ht="21.75" customHeight="1" x14ac:dyDescent="0.4">
      <c r="A439" s="55"/>
      <c r="B439" s="56"/>
      <c r="C439" s="56"/>
      <c r="D439" s="73"/>
      <c r="E439" s="74" t="s">
        <v>29</v>
      </c>
      <c r="F439" s="75"/>
      <c r="G439" s="76"/>
      <c r="H439" s="66"/>
      <c r="I439" s="67"/>
      <c r="J439" s="68">
        <v>1</v>
      </c>
      <c r="K439" s="49"/>
      <c r="L439" s="61"/>
      <c r="M439" s="61"/>
      <c r="N439" s="61"/>
    </row>
    <row r="440" spans="1:14" ht="21.75" customHeight="1" x14ac:dyDescent="0.4">
      <c r="A440" s="55"/>
      <c r="B440" s="56"/>
      <c r="C440" s="56"/>
      <c r="D440" s="73"/>
      <c r="E440" s="77"/>
      <c r="F440" s="75"/>
      <c r="G440" s="99" t="s">
        <v>183</v>
      </c>
      <c r="H440" s="66" t="s">
        <v>16</v>
      </c>
      <c r="I440" s="200">
        <f ca="1">IFERROR(__xludf.DUMMYFUNCTION("IMPORTRANGE(""https://docs.google.com/spreadsheets/d/1C3CXT74ZlgGe6_JY_1olB1XN4rF0dxEuIIF-xsYjHgg/edit?usp=sharing"",""งบกองทุน!dq26"")"),22)</f>
        <v>22</v>
      </c>
      <c r="J440" s="68">
        <v>0</v>
      </c>
      <c r="K440" s="49">
        <f t="shared" ref="K440:K441" ca="1" si="97">IF(I440&gt;0,J440*100/I440,0)</f>
        <v>0</v>
      </c>
      <c r="L440" s="61"/>
      <c r="M440" s="61"/>
      <c r="N440" s="61"/>
    </row>
    <row r="441" spans="1:14" ht="21.75" hidden="1" customHeight="1" x14ac:dyDescent="0.4">
      <c r="A441" s="55"/>
      <c r="B441" s="56"/>
      <c r="C441" s="56"/>
      <c r="D441" s="73"/>
      <c r="E441" s="77"/>
      <c r="F441" s="75"/>
      <c r="G441" s="99" t="s">
        <v>184</v>
      </c>
      <c r="H441" s="66" t="s">
        <v>16</v>
      </c>
      <c r="I441" s="200">
        <f ca="1">IFERROR(__xludf.DUMMYFUNCTION("IMPORTRANGE(""https://docs.google.com/spreadsheets/d/1C3CXT74ZlgGe6_JY_1olB1XN4rF0dxEuIIF-xsYjHgg/edit?usp=sharing"",""งบกองทุน!dr26"")"),22)</f>
        <v>22</v>
      </c>
      <c r="J441" s="68">
        <v>0</v>
      </c>
      <c r="K441" s="49">
        <f t="shared" ca="1" si="97"/>
        <v>0</v>
      </c>
      <c r="L441" s="61"/>
      <c r="M441" s="61"/>
      <c r="N441" s="61"/>
    </row>
    <row r="442" spans="1:14" ht="21.75" customHeight="1" x14ac:dyDescent="0.4">
      <c r="A442" s="55"/>
      <c r="B442" s="56"/>
      <c r="C442" s="56"/>
      <c r="D442" s="73"/>
      <c r="E442" s="74" t="s">
        <v>35</v>
      </c>
      <c r="F442" s="75"/>
      <c r="G442" s="76"/>
      <c r="H442" s="66"/>
      <c r="I442" s="67"/>
      <c r="J442" s="68">
        <v>0</v>
      </c>
      <c r="K442" s="49"/>
      <c r="L442" s="61"/>
      <c r="M442" s="61"/>
      <c r="N442" s="61"/>
    </row>
    <row r="443" spans="1:14" ht="21.75" customHeight="1" x14ac:dyDescent="0.4">
      <c r="A443" s="292"/>
      <c r="B443" s="293"/>
      <c r="C443" s="293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309"/>
      <c r="L443" s="300"/>
      <c r="M443" s="300"/>
      <c r="N443" s="300"/>
    </row>
    <row r="444" spans="1:14" ht="21.75" customHeight="1" x14ac:dyDescent="0.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8">SUM(I453,I455)</f>
        <v>0</v>
      </c>
      <c r="J444" s="257">
        <f t="shared" si="98"/>
        <v>0</v>
      </c>
      <c r="K444" s="258">
        <f ca="1">IF(I444&gt;0,J444*100/I444,0)</f>
        <v>0</v>
      </c>
      <c r="L444" s="259">
        <f t="shared" ref="L444:M444" ca="1" si="99">SUM(L445:L446)</f>
        <v>0</v>
      </c>
      <c r="M444" s="259">
        <f t="shared" si="99"/>
        <v>0</v>
      </c>
      <c r="N444" s="259">
        <f t="shared" ref="N444:N448" ca="1" si="100">+IF(L444&gt;0,M444*100/L444,0)</f>
        <v>0</v>
      </c>
    </row>
    <row r="445" spans="1:14" ht="21.75" customHeight="1" x14ac:dyDescent="0.4">
      <c r="A445" s="42"/>
      <c r="B445" s="43"/>
      <c r="C445" s="43" t="s">
        <v>17</v>
      </c>
      <c r="D445" s="44" t="s">
        <v>18</v>
      </c>
      <c r="E445" s="45"/>
      <c r="F445" s="45"/>
      <c r="G445" s="46" t="s">
        <v>19</v>
      </c>
      <c r="H445" s="47" t="s">
        <v>20</v>
      </c>
      <c r="I445" s="48" t="s">
        <v>21</v>
      </c>
      <c r="J445" s="67"/>
      <c r="K445" s="233"/>
      <c r="L445" s="50">
        <v>0</v>
      </c>
      <c r="M445" s="53">
        <v>0</v>
      </c>
      <c r="N445" s="53">
        <f t="shared" si="100"/>
        <v>0</v>
      </c>
    </row>
    <row r="446" spans="1:14" ht="21.75" customHeight="1" x14ac:dyDescent="0.4">
      <c r="A446" s="42"/>
      <c r="B446" s="43"/>
      <c r="C446" s="43"/>
      <c r="D446" s="51"/>
      <c r="E446" s="45"/>
      <c r="F446" s="45" t="s">
        <v>21</v>
      </c>
      <c r="G446" s="46" t="s">
        <v>22</v>
      </c>
      <c r="H446" s="47" t="s">
        <v>20</v>
      </c>
      <c r="I446" s="48"/>
      <c r="J446" s="67"/>
      <c r="K446" s="233"/>
      <c r="L446" s="50">
        <f t="shared" ref="L446:M446" ca="1" si="101">SUM(L447:L448)</f>
        <v>0</v>
      </c>
      <c r="M446" s="53">
        <f t="shared" si="101"/>
        <v>0</v>
      </c>
      <c r="N446" s="53">
        <f t="shared" ca="1" si="100"/>
        <v>0</v>
      </c>
    </row>
    <row r="447" spans="1:14" ht="21.75" customHeight="1" x14ac:dyDescent="0.4">
      <c r="A447" s="42"/>
      <c r="B447" s="43"/>
      <c r="C447" s="43"/>
      <c r="D447" s="51"/>
      <c r="E447" s="45"/>
      <c r="F447" s="45"/>
      <c r="G447" s="52" t="s">
        <v>110</v>
      </c>
      <c r="H447" s="47" t="s">
        <v>20</v>
      </c>
      <c r="I447" s="48"/>
      <c r="J447" s="67"/>
      <c r="K447" s="233"/>
      <c r="L447" s="53">
        <f ca="1">IFERROR(__xludf.DUMMYFUNCTION("IMPORTRANGE(""https://docs.google.com/spreadsheets/d/1C3CXT74ZlgGe6_JY_1olB1XN4rF0dxEuIIF-xsYjHgg/edit?usp=sharing"",""งบกองทุน!dt26"")"),0)</f>
        <v>0</v>
      </c>
      <c r="M447" s="53">
        <v>0</v>
      </c>
      <c r="N447" s="53">
        <f t="shared" ca="1" si="100"/>
        <v>0</v>
      </c>
    </row>
    <row r="448" spans="1:14" ht="21.75" customHeight="1" x14ac:dyDescent="0.4">
      <c r="A448" s="42"/>
      <c r="B448" s="43"/>
      <c r="C448" s="43"/>
      <c r="D448" s="51"/>
      <c r="E448" s="45"/>
      <c r="F448" s="45"/>
      <c r="G448" s="52" t="s">
        <v>111</v>
      </c>
      <c r="H448" s="47" t="s">
        <v>20</v>
      </c>
      <c r="I448" s="48"/>
      <c r="J448" s="67"/>
      <c r="K448" s="233"/>
      <c r="L448" s="53">
        <f ca="1">IFERROR(__xludf.DUMMYFUNCTION("IMPORTRANGE(""https://docs.google.com/spreadsheets/d/1C3CXT74ZlgGe6_JY_1olB1XN4rF0dxEuIIF-xsYjHgg/edit?usp=sharing"",""งบกองทุน!du26"")"),0)</f>
        <v>0</v>
      </c>
      <c r="M448" s="53">
        <f>SUM(M449:M452)</f>
        <v>0</v>
      </c>
      <c r="N448" s="53">
        <f t="shared" ca="1" si="100"/>
        <v>0</v>
      </c>
    </row>
    <row r="449" spans="1:14" ht="21.75" customHeight="1" x14ac:dyDescent="0.4">
      <c r="A449" s="230"/>
      <c r="B449" s="231"/>
      <c r="C449" s="43"/>
      <c r="D449" s="232"/>
      <c r="E449" s="45"/>
      <c r="F449" s="45"/>
      <c r="G449" s="46" t="s">
        <v>112</v>
      </c>
      <c r="H449" s="47" t="s">
        <v>20</v>
      </c>
      <c r="I449" s="67"/>
      <c r="J449" s="67"/>
      <c r="K449" s="233"/>
      <c r="L449" s="53"/>
      <c r="M449" s="53">
        <v>0</v>
      </c>
      <c r="N449" s="53"/>
    </row>
    <row r="450" spans="1:14" ht="21.75" customHeight="1" x14ac:dyDescent="0.4">
      <c r="A450" s="230"/>
      <c r="B450" s="231"/>
      <c r="C450" s="43"/>
      <c r="D450" s="232"/>
      <c r="E450" s="45"/>
      <c r="F450" s="45"/>
      <c r="G450" s="46" t="s">
        <v>113</v>
      </c>
      <c r="H450" s="47" t="s">
        <v>20</v>
      </c>
      <c r="I450" s="67"/>
      <c r="J450" s="67"/>
      <c r="K450" s="233"/>
      <c r="L450" s="53"/>
      <c r="M450" s="53">
        <v>0</v>
      </c>
      <c r="N450" s="53"/>
    </row>
    <row r="451" spans="1:14" ht="21.75" customHeight="1" x14ac:dyDescent="0.4">
      <c r="A451" s="230"/>
      <c r="B451" s="231"/>
      <c r="C451" s="43"/>
      <c r="D451" s="232"/>
      <c r="E451" s="45"/>
      <c r="F451" s="45"/>
      <c r="G451" s="46" t="s">
        <v>114</v>
      </c>
      <c r="H451" s="47" t="s">
        <v>20</v>
      </c>
      <c r="I451" s="67"/>
      <c r="J451" s="67"/>
      <c r="K451" s="233"/>
      <c r="L451" s="53"/>
      <c r="M451" s="53">
        <v>0</v>
      </c>
      <c r="N451" s="53"/>
    </row>
    <row r="452" spans="1:14" ht="21.75" customHeight="1" x14ac:dyDescent="0.4">
      <c r="A452" s="230"/>
      <c r="B452" s="231"/>
      <c r="C452" s="43"/>
      <c r="D452" s="232"/>
      <c r="E452" s="45"/>
      <c r="F452" s="45"/>
      <c r="G452" s="46" t="s">
        <v>115</v>
      </c>
      <c r="H452" s="47" t="s">
        <v>20</v>
      </c>
      <c r="I452" s="67"/>
      <c r="J452" s="67"/>
      <c r="K452" s="233"/>
      <c r="L452" s="53"/>
      <c r="M452" s="53">
        <v>0</v>
      </c>
      <c r="N452" s="53"/>
    </row>
    <row r="453" spans="1:14" ht="21.75" customHeight="1" x14ac:dyDescent="0.4">
      <c r="A453" s="55"/>
      <c r="B453" s="56"/>
      <c r="C453" s="56"/>
      <c r="D453" s="73"/>
      <c r="E453" s="75"/>
      <c r="F453" s="75" t="s">
        <v>186</v>
      </c>
      <c r="G453" s="76"/>
      <c r="H453" s="315" t="s">
        <v>103</v>
      </c>
      <c r="I453" s="48">
        <f ca="1">IFERROR(__xludf.DUMMYFUNCTION("IMPORTRANGE(""https://docs.google.com/spreadsheets/d/1C3CXT74ZlgGe6_JY_1olB1XN4rF0dxEuIIF-xsYjHgg/edit?usp=sharing"",""งบกองทุน!dw26"")"),0)</f>
        <v>0</v>
      </c>
      <c r="J453" s="67">
        <v>0</v>
      </c>
      <c r="K453" s="233">
        <f t="shared" ref="K453:K457" ca="1" si="102">IF(I453&gt;0,J453*100/I453,0)</f>
        <v>0</v>
      </c>
      <c r="L453" s="53"/>
      <c r="M453" s="53"/>
      <c r="N453" s="61"/>
    </row>
    <row r="454" spans="1:14" ht="21.75" customHeight="1" x14ac:dyDescent="0.4">
      <c r="A454" s="55"/>
      <c r="B454" s="56"/>
      <c r="C454" s="56"/>
      <c r="D454" s="73"/>
      <c r="E454" s="75"/>
      <c r="F454" s="75"/>
      <c r="G454" s="76"/>
      <c r="H454" s="315" t="s">
        <v>15</v>
      </c>
      <c r="I454" s="48">
        <f ca="1">IFERROR(__xludf.DUMMYFUNCTION("IMPORTRANGE(""https://docs.google.com/spreadsheets/d/1C3CXT74ZlgGe6_JY_1olB1XN4rF0dxEuIIF-xsYjHgg/edit?usp=sharing"",""งบกองทุน!dx26"")"),0)</f>
        <v>0</v>
      </c>
      <c r="J454" s="67">
        <v>0</v>
      </c>
      <c r="K454" s="233">
        <f t="shared" ca="1" si="102"/>
        <v>0</v>
      </c>
      <c r="L454" s="53"/>
      <c r="M454" s="53"/>
      <c r="N454" s="61"/>
    </row>
    <row r="455" spans="1:14" ht="21.75" customHeight="1" x14ac:dyDescent="0.4">
      <c r="A455" s="55"/>
      <c r="B455" s="56"/>
      <c r="C455" s="56"/>
      <c r="D455" s="73"/>
      <c r="E455" s="75"/>
      <c r="F455" s="75" t="s">
        <v>187</v>
      </c>
      <c r="G455" s="76"/>
      <c r="H455" s="315" t="s">
        <v>103</v>
      </c>
      <c r="I455" s="48">
        <f ca="1">IFERROR(__xludf.DUMMYFUNCTION("IMPORTRANGE(""https://docs.google.com/spreadsheets/d/1C3CXT74ZlgGe6_JY_1olB1XN4rF0dxEuIIF-xsYjHgg/edit?usp=sharing"",""งบกองทุน!dy26"")"),0)</f>
        <v>0</v>
      </c>
      <c r="J455" s="67">
        <v>0</v>
      </c>
      <c r="K455" s="233">
        <f t="shared" ca="1" si="102"/>
        <v>0</v>
      </c>
      <c r="L455" s="53"/>
      <c r="M455" s="53"/>
      <c r="N455" s="61"/>
    </row>
    <row r="456" spans="1:14" ht="21.75" customHeight="1" x14ac:dyDescent="0.4">
      <c r="A456" s="55"/>
      <c r="B456" s="56"/>
      <c r="C456" s="56"/>
      <c r="D456" s="73"/>
      <c r="E456" s="75"/>
      <c r="F456" s="75"/>
      <c r="G456" s="76"/>
      <c r="H456" s="315" t="s">
        <v>15</v>
      </c>
      <c r="I456" s="48">
        <f ca="1">IFERROR(__xludf.DUMMYFUNCTION("IMPORTRANGE(""https://docs.google.com/spreadsheets/d/1C3CXT74ZlgGe6_JY_1olB1XN4rF0dxEuIIF-xsYjHgg/edit?usp=sharing"",""งบกองทุน!dz26"")"),0)</f>
        <v>0</v>
      </c>
      <c r="J456" s="67">
        <v>0</v>
      </c>
      <c r="K456" s="233">
        <f t="shared" ca="1" si="102"/>
        <v>0</v>
      </c>
      <c r="L456" s="53"/>
      <c r="M456" s="53"/>
      <c r="N456" s="61"/>
    </row>
    <row r="457" spans="1:14" ht="21.75" customHeight="1" x14ac:dyDescent="0.4">
      <c r="A457" s="222"/>
      <c r="B457" s="223">
        <v>8</v>
      </c>
      <c r="C457" s="224" t="s">
        <v>188</v>
      </c>
      <c r="D457" s="224"/>
      <c r="E457" s="224"/>
      <c r="F457" s="224"/>
      <c r="G457" s="225"/>
      <c r="H457" s="226" t="s">
        <v>16</v>
      </c>
      <c r="I457" s="227">
        <f ca="1">I466</f>
        <v>1950</v>
      </c>
      <c r="J457" s="227">
        <f>+J466</f>
        <v>281</v>
      </c>
      <c r="K457" s="228">
        <f t="shared" ca="1" si="102"/>
        <v>14.410256410256411</v>
      </c>
      <c r="L457" s="229">
        <f t="shared" ref="L457:M457" ca="1" si="103">SUM(L458:L459)</f>
        <v>142240</v>
      </c>
      <c r="M457" s="229">
        <f t="shared" si="103"/>
        <v>0</v>
      </c>
      <c r="N457" s="229">
        <f t="shared" ref="N457:N461" ca="1" si="104">+IF(L457&gt;0,M457*100/L457,0)</f>
        <v>0</v>
      </c>
    </row>
    <row r="458" spans="1:14" ht="21.75" customHeight="1" x14ac:dyDescent="0.4">
      <c r="A458" s="42"/>
      <c r="B458" s="43"/>
      <c r="C458" s="43" t="s">
        <v>17</v>
      </c>
      <c r="D458" s="44" t="s">
        <v>18</v>
      </c>
      <c r="E458" s="45"/>
      <c r="F458" s="45"/>
      <c r="G458" s="46" t="s">
        <v>19</v>
      </c>
      <c r="H458" s="47" t="s">
        <v>20</v>
      </c>
      <c r="I458" s="48" t="s">
        <v>21</v>
      </c>
      <c r="J458" s="48"/>
      <c r="K458" s="49"/>
      <c r="L458" s="50">
        <v>0</v>
      </c>
      <c r="M458" s="53">
        <v>0</v>
      </c>
      <c r="N458" s="53">
        <f t="shared" si="104"/>
        <v>0</v>
      </c>
    </row>
    <row r="459" spans="1:14" ht="21.75" customHeight="1" x14ac:dyDescent="0.4">
      <c r="A459" s="42"/>
      <c r="B459" s="43"/>
      <c r="C459" s="43"/>
      <c r="D459" s="51"/>
      <c r="E459" s="45"/>
      <c r="F459" s="45" t="s">
        <v>21</v>
      </c>
      <c r="G459" s="46" t="s">
        <v>22</v>
      </c>
      <c r="H459" s="47" t="s">
        <v>20</v>
      </c>
      <c r="I459" s="48"/>
      <c r="J459" s="48"/>
      <c r="K459" s="49"/>
      <c r="L459" s="50">
        <f t="shared" ref="L459:M459" ca="1" si="105">SUM(L460:L461)</f>
        <v>142240</v>
      </c>
      <c r="M459" s="53">
        <f t="shared" si="105"/>
        <v>0</v>
      </c>
      <c r="N459" s="53">
        <f t="shared" ca="1" si="104"/>
        <v>0</v>
      </c>
    </row>
    <row r="460" spans="1:14" ht="21.75" customHeight="1" x14ac:dyDescent="0.4">
      <c r="A460" s="42"/>
      <c r="B460" s="43"/>
      <c r="C460" s="43"/>
      <c r="D460" s="51"/>
      <c r="E460" s="45"/>
      <c r="F460" s="45"/>
      <c r="G460" s="52" t="s">
        <v>110</v>
      </c>
      <c r="H460" s="47" t="s">
        <v>20</v>
      </c>
      <c r="I460" s="48"/>
      <c r="J460" s="48"/>
      <c r="K460" s="49"/>
      <c r="L460" s="53">
        <f ca="1">IFERROR(__xludf.DUMMYFUNCTION("IMPORTRANGE(""https://docs.google.com/spreadsheets/d/1C3CXT74ZlgGe6_JY_1olB1XN4rF0dxEuIIF-xsYjHgg/edit?usp=sharing"",""งบกองทุน!Eb26"")"),0)</f>
        <v>0</v>
      </c>
      <c r="M460" s="53">
        <v>0</v>
      </c>
      <c r="N460" s="53">
        <f t="shared" ca="1" si="104"/>
        <v>0</v>
      </c>
    </row>
    <row r="461" spans="1:14" ht="21.75" customHeight="1" x14ac:dyDescent="0.4">
      <c r="A461" s="42"/>
      <c r="B461" s="43"/>
      <c r="C461" s="43"/>
      <c r="D461" s="51"/>
      <c r="E461" s="45"/>
      <c r="F461" s="45"/>
      <c r="G461" s="52" t="s">
        <v>111</v>
      </c>
      <c r="H461" s="47" t="s">
        <v>20</v>
      </c>
      <c r="I461" s="48"/>
      <c r="J461" s="48"/>
      <c r="K461" s="49"/>
      <c r="L461" s="53">
        <f ca="1">IFERROR(__xludf.DUMMYFUNCTION("IMPORTRANGE(""https://docs.google.com/spreadsheets/d/1C3CXT74ZlgGe6_JY_1olB1XN4rF0dxEuIIF-xsYjHgg/edit?usp=sharing"",""งบกองทุน!Ec26"")"),142240)</f>
        <v>142240</v>
      </c>
      <c r="M461" s="53">
        <f>SUM(M462:M465)</f>
        <v>0</v>
      </c>
      <c r="N461" s="53">
        <f t="shared" ca="1" si="104"/>
        <v>0</v>
      </c>
    </row>
    <row r="462" spans="1:14" ht="21.75" customHeight="1" x14ac:dyDescent="0.4">
      <c r="A462" s="230"/>
      <c r="B462" s="231"/>
      <c r="C462" s="43"/>
      <c r="D462" s="232"/>
      <c r="E462" s="45"/>
      <c r="F462" s="45"/>
      <c r="G462" s="46" t="s">
        <v>112</v>
      </c>
      <c r="H462" s="47" t="s">
        <v>20</v>
      </c>
      <c r="I462" s="67"/>
      <c r="J462" s="67"/>
      <c r="K462" s="233"/>
      <c r="L462" s="53"/>
      <c r="M462" s="53">
        <v>0</v>
      </c>
      <c r="N462" s="53"/>
    </row>
    <row r="463" spans="1:14" ht="21.75" customHeight="1" x14ac:dyDescent="0.4">
      <c r="A463" s="230"/>
      <c r="B463" s="231"/>
      <c r="C463" s="43"/>
      <c r="D463" s="232"/>
      <c r="E463" s="45"/>
      <c r="F463" s="45"/>
      <c r="G463" s="46" t="s">
        <v>113</v>
      </c>
      <c r="H463" s="47" t="s">
        <v>20</v>
      </c>
      <c r="I463" s="67"/>
      <c r="J463" s="67"/>
      <c r="K463" s="233"/>
      <c r="L463" s="53"/>
      <c r="M463" s="53">
        <v>0</v>
      </c>
      <c r="N463" s="53"/>
    </row>
    <row r="464" spans="1:14" ht="21.75" customHeight="1" x14ac:dyDescent="0.4">
      <c r="A464" s="230"/>
      <c r="B464" s="231"/>
      <c r="C464" s="43"/>
      <c r="D464" s="232"/>
      <c r="E464" s="45"/>
      <c r="F464" s="45"/>
      <c r="G464" s="46" t="s">
        <v>114</v>
      </c>
      <c r="H464" s="47" t="s">
        <v>20</v>
      </c>
      <c r="I464" s="67"/>
      <c r="J464" s="67"/>
      <c r="K464" s="233"/>
      <c r="L464" s="53"/>
      <c r="M464" s="54">
        <v>0</v>
      </c>
      <c r="N464" s="53"/>
    </row>
    <row r="465" spans="1:14" ht="21.75" customHeight="1" x14ac:dyDescent="0.4">
      <c r="A465" s="230"/>
      <c r="B465" s="231"/>
      <c r="C465" s="43"/>
      <c r="D465" s="232"/>
      <c r="E465" s="45"/>
      <c r="F465" s="45"/>
      <c r="G465" s="46" t="s">
        <v>115</v>
      </c>
      <c r="H465" s="47" t="s">
        <v>20</v>
      </c>
      <c r="I465" s="67"/>
      <c r="J465" s="67"/>
      <c r="K465" s="233"/>
      <c r="L465" s="53"/>
      <c r="M465" s="54">
        <v>0</v>
      </c>
      <c r="N465" s="53"/>
    </row>
    <row r="466" spans="1:14" ht="21.75" customHeight="1" x14ac:dyDescent="0.4">
      <c r="A466" s="55"/>
      <c r="B466" s="56"/>
      <c r="C466" s="56"/>
      <c r="D466" s="75"/>
      <c r="E466" s="74" t="s">
        <v>21</v>
      </c>
      <c r="F466" s="260" t="s">
        <v>189</v>
      </c>
      <c r="G466" s="240"/>
      <c r="H466" s="314" t="s">
        <v>16</v>
      </c>
      <c r="I466" s="265">
        <f ca="1">IFERROR(__xludf.DUMMYFUNCTION("IMPORTRANGE(""https://docs.google.com/spreadsheets/d/1C3CXT74ZlgGe6_JY_1olB1XN4rF0dxEuIIF-xsYjHgg/edit?usp=sharing"",""งบกองทุน!Ed26"")"),1950)</f>
        <v>1950</v>
      </c>
      <c r="J466" s="265">
        <f>+J469+J470+J471+J472</f>
        <v>281</v>
      </c>
      <c r="K466" s="80">
        <f ca="1">IF(I466&gt;0,J466*100/I466,0)</f>
        <v>14.410256410256411</v>
      </c>
      <c r="L466" s="61"/>
      <c r="M466" s="61"/>
      <c r="N466" s="61"/>
    </row>
    <row r="467" spans="1:14" ht="21.75" customHeight="1" x14ac:dyDescent="0.4">
      <c r="A467" s="55"/>
      <c r="B467" s="56"/>
      <c r="C467" s="56"/>
      <c r="D467" s="75"/>
      <c r="E467" s="75"/>
      <c r="F467" s="74" t="s">
        <v>190</v>
      </c>
      <c r="G467" s="76"/>
      <c r="H467" s="315"/>
      <c r="I467" s="48"/>
      <c r="J467" s="48"/>
      <c r="K467" s="49"/>
      <c r="L467" s="61"/>
      <c r="M467" s="61"/>
      <c r="N467" s="61"/>
    </row>
    <row r="468" spans="1:14" ht="21.75" customHeight="1" x14ac:dyDescent="0.4">
      <c r="A468" s="55"/>
      <c r="B468" s="56"/>
      <c r="C468" s="56"/>
      <c r="D468" s="75"/>
      <c r="E468" s="74" t="s">
        <v>21</v>
      </c>
      <c r="F468" s="74" t="s">
        <v>191</v>
      </c>
      <c r="G468" s="76"/>
      <c r="H468" s="315" t="s">
        <v>57</v>
      </c>
      <c r="I468" s="48">
        <v>0</v>
      </c>
      <c r="J468" s="68">
        <v>0</v>
      </c>
      <c r="K468" s="49">
        <f t="shared" ref="K468:K472" si="106">IF(I468&gt;0,J468*100/I468,0)</f>
        <v>0</v>
      </c>
      <c r="L468" s="61"/>
      <c r="M468" s="61"/>
      <c r="N468" s="61"/>
    </row>
    <row r="469" spans="1:14" ht="21.75" customHeight="1" x14ac:dyDescent="0.4">
      <c r="A469" s="55"/>
      <c r="B469" s="56"/>
      <c r="C469" s="56"/>
      <c r="D469" s="75"/>
      <c r="E469" s="75"/>
      <c r="F469" s="74" t="s">
        <v>192</v>
      </c>
      <c r="G469" s="76"/>
      <c r="H469" s="315" t="s">
        <v>16</v>
      </c>
      <c r="I469" s="48">
        <v>0</v>
      </c>
      <c r="J469" s="68">
        <v>0</v>
      </c>
      <c r="K469" s="49">
        <f t="shared" si="106"/>
        <v>0</v>
      </c>
      <c r="L469" s="61"/>
      <c r="M469" s="61"/>
      <c r="N469" s="61"/>
    </row>
    <row r="470" spans="1:14" ht="21.75" customHeight="1" x14ac:dyDescent="0.4">
      <c r="A470" s="55"/>
      <c r="B470" s="56"/>
      <c r="C470" s="56"/>
      <c r="D470" s="75"/>
      <c r="E470" s="75"/>
      <c r="F470" s="74" t="s">
        <v>193</v>
      </c>
      <c r="G470" s="76"/>
      <c r="H470" s="315" t="s">
        <v>16</v>
      </c>
      <c r="I470" s="48">
        <v>0</v>
      </c>
      <c r="J470" s="68">
        <v>281</v>
      </c>
      <c r="K470" s="49">
        <f t="shared" si="106"/>
        <v>0</v>
      </c>
      <c r="L470" s="61"/>
      <c r="M470" s="61"/>
      <c r="N470" s="61"/>
    </row>
    <row r="471" spans="1:14" ht="21.75" customHeight="1" x14ac:dyDescent="0.4">
      <c r="A471" s="55"/>
      <c r="B471" s="56"/>
      <c r="C471" s="56"/>
      <c r="D471" s="75"/>
      <c r="E471" s="75"/>
      <c r="F471" s="74" t="s">
        <v>194</v>
      </c>
      <c r="G471" s="266"/>
      <c r="H471" s="315" t="s">
        <v>16</v>
      </c>
      <c r="I471" s="48">
        <v>0</v>
      </c>
      <c r="J471" s="68">
        <v>0</v>
      </c>
      <c r="K471" s="49">
        <f t="shared" si="106"/>
        <v>0</v>
      </c>
      <c r="L471" s="61"/>
      <c r="M471" s="61"/>
      <c r="N471" s="61"/>
    </row>
    <row r="472" spans="1:14" ht="21.75" customHeight="1" x14ac:dyDescent="0.4">
      <c r="A472" s="55"/>
      <c r="B472" s="56"/>
      <c r="C472" s="56"/>
      <c r="D472" s="75"/>
      <c r="E472" s="75"/>
      <c r="F472" s="74" t="s">
        <v>195</v>
      </c>
      <c r="G472" s="266"/>
      <c r="H472" s="315" t="s">
        <v>16</v>
      </c>
      <c r="I472" s="48">
        <v>0</v>
      </c>
      <c r="J472" s="68">
        <v>0</v>
      </c>
      <c r="K472" s="49">
        <f t="shared" si="106"/>
        <v>0</v>
      </c>
      <c r="L472" s="61"/>
      <c r="M472" s="61"/>
      <c r="N472" s="61"/>
    </row>
    <row r="473" spans="1:14" ht="21.75" customHeight="1" x14ac:dyDescent="0.4">
      <c r="A473" s="222"/>
      <c r="B473" s="223">
        <v>9</v>
      </c>
      <c r="C473" s="224" t="s">
        <v>196</v>
      </c>
      <c r="D473" s="224"/>
      <c r="E473" s="224"/>
      <c r="F473" s="224"/>
      <c r="G473" s="225"/>
      <c r="H473" s="226" t="s">
        <v>16</v>
      </c>
      <c r="I473" s="227">
        <f ca="1">I484</f>
        <v>40</v>
      </c>
      <c r="J473" s="227">
        <f ca="1">J488</f>
        <v>0</v>
      </c>
      <c r="K473" s="228">
        <f ca="1">IF(I473&gt;0,J473*100/I473,0)</f>
        <v>0</v>
      </c>
      <c r="L473" s="229">
        <f ca="1">SUM(L474,L475)</f>
        <v>138840</v>
      </c>
      <c r="M473" s="229">
        <f>SUM(M474:M475)</f>
        <v>0</v>
      </c>
      <c r="N473" s="229">
        <f t="shared" ref="N473:N477" ca="1" si="107">+IF(L473&gt;0,M473*100/L473,0)</f>
        <v>0</v>
      </c>
    </row>
    <row r="474" spans="1:14" ht="21.75" customHeight="1" x14ac:dyDescent="0.4">
      <c r="A474" s="42"/>
      <c r="B474" s="43"/>
      <c r="C474" s="43" t="s">
        <v>17</v>
      </c>
      <c r="D474" s="44" t="s">
        <v>18</v>
      </c>
      <c r="E474" s="45"/>
      <c r="F474" s="45"/>
      <c r="G474" s="46" t="s">
        <v>19</v>
      </c>
      <c r="H474" s="47" t="s">
        <v>20</v>
      </c>
      <c r="I474" s="48" t="s">
        <v>21</v>
      </c>
      <c r="J474" s="48"/>
      <c r="K474" s="49"/>
      <c r="L474" s="50">
        <v>0</v>
      </c>
      <c r="M474" s="53">
        <v>0</v>
      </c>
      <c r="N474" s="53">
        <f t="shared" si="107"/>
        <v>0</v>
      </c>
    </row>
    <row r="475" spans="1:14" ht="21.75" customHeight="1" x14ac:dyDescent="0.4">
      <c r="A475" s="42"/>
      <c r="B475" s="43"/>
      <c r="C475" s="43"/>
      <c r="D475" s="51"/>
      <c r="E475" s="45"/>
      <c r="F475" s="45" t="s">
        <v>21</v>
      </c>
      <c r="G475" s="46" t="s">
        <v>22</v>
      </c>
      <c r="H475" s="47" t="s">
        <v>20</v>
      </c>
      <c r="I475" s="48"/>
      <c r="J475" s="48"/>
      <c r="K475" s="49"/>
      <c r="L475" s="50">
        <f t="shared" ref="L475:M475" ca="1" si="108">SUM(L476:L477)</f>
        <v>138840</v>
      </c>
      <c r="M475" s="53">
        <f t="shared" si="108"/>
        <v>0</v>
      </c>
      <c r="N475" s="53">
        <f t="shared" ca="1" si="107"/>
        <v>0</v>
      </c>
    </row>
    <row r="476" spans="1:14" ht="21.75" customHeight="1" x14ac:dyDescent="0.4">
      <c r="A476" s="42"/>
      <c r="B476" s="43"/>
      <c r="C476" s="43"/>
      <c r="D476" s="51"/>
      <c r="E476" s="45"/>
      <c r="F476" s="45"/>
      <c r="G476" s="52" t="s">
        <v>110</v>
      </c>
      <c r="H476" s="47" t="s">
        <v>20</v>
      </c>
      <c r="I476" s="48"/>
      <c r="J476" s="48"/>
      <c r="K476" s="49"/>
      <c r="L476" s="53">
        <f ca="1">IFERROR(__xludf.DUMMYFUNCTION("IMPORTRANGE(""https://docs.google.com/spreadsheets/d/1C3CXT74ZlgGe6_JY_1olB1XN4rF0dxEuIIF-xsYjHgg/edit?usp=sharing"",""งบกองทุน!Ek26"")"),0)</f>
        <v>0</v>
      </c>
      <c r="M476" s="53">
        <v>0</v>
      </c>
      <c r="N476" s="53">
        <f t="shared" ca="1" si="107"/>
        <v>0</v>
      </c>
    </row>
    <row r="477" spans="1:14" ht="21.75" customHeight="1" x14ac:dyDescent="0.4">
      <c r="A477" s="42"/>
      <c r="B477" s="43"/>
      <c r="C477" s="43"/>
      <c r="D477" s="51"/>
      <c r="E477" s="45"/>
      <c r="F477" s="45"/>
      <c r="G477" s="52" t="s">
        <v>111</v>
      </c>
      <c r="H477" s="47" t="s">
        <v>20</v>
      </c>
      <c r="I477" s="48"/>
      <c r="J477" s="48"/>
      <c r="K477" s="49"/>
      <c r="L477" s="53">
        <f ca="1">IFERROR(__xludf.DUMMYFUNCTION("IMPORTRANGE(""https://docs.google.com/spreadsheets/d/1C3CXT74ZlgGe6_JY_1olB1XN4rF0dxEuIIF-xsYjHgg/edit?usp=sharing"",""งบกองทุน!El26"")"),138840)</f>
        <v>138840</v>
      </c>
      <c r="M477" s="53">
        <f>SUM(M478:M481)</f>
        <v>0</v>
      </c>
      <c r="N477" s="53">
        <f t="shared" ca="1" si="107"/>
        <v>0</v>
      </c>
    </row>
    <row r="478" spans="1:14" ht="21.75" customHeight="1" x14ac:dyDescent="0.4">
      <c r="A478" s="230"/>
      <c r="B478" s="231"/>
      <c r="C478" s="43"/>
      <c r="D478" s="232"/>
      <c r="E478" s="45"/>
      <c r="F478" s="45"/>
      <c r="G478" s="46" t="s">
        <v>112</v>
      </c>
      <c r="H478" s="47" t="s">
        <v>20</v>
      </c>
      <c r="I478" s="67"/>
      <c r="J478" s="67"/>
      <c r="K478" s="233"/>
      <c r="L478" s="53"/>
      <c r="M478" s="53">
        <v>0</v>
      </c>
      <c r="N478" s="53"/>
    </row>
    <row r="479" spans="1:14" ht="21.75" customHeight="1" x14ac:dyDescent="0.4">
      <c r="A479" s="230"/>
      <c r="B479" s="231"/>
      <c r="C479" s="43"/>
      <c r="D479" s="232"/>
      <c r="E479" s="45"/>
      <c r="F479" s="45"/>
      <c r="G479" s="46" t="s">
        <v>113</v>
      </c>
      <c r="H479" s="47" t="s">
        <v>20</v>
      </c>
      <c r="I479" s="67"/>
      <c r="J479" s="67"/>
      <c r="K479" s="233"/>
      <c r="L479" s="53"/>
      <c r="M479" s="53">
        <v>0</v>
      </c>
      <c r="N479" s="53"/>
    </row>
    <row r="480" spans="1:14" ht="21.75" customHeight="1" x14ac:dyDescent="0.4">
      <c r="A480" s="230"/>
      <c r="B480" s="231"/>
      <c r="C480" s="43"/>
      <c r="D480" s="232"/>
      <c r="E480" s="45"/>
      <c r="F480" s="45"/>
      <c r="G480" s="46" t="s">
        <v>114</v>
      </c>
      <c r="H480" s="47" t="s">
        <v>20</v>
      </c>
      <c r="I480" s="67"/>
      <c r="J480" s="67"/>
      <c r="K480" s="233"/>
      <c r="L480" s="53"/>
      <c r="M480" s="54">
        <v>0</v>
      </c>
      <c r="N480" s="53"/>
    </row>
    <row r="481" spans="1:14" ht="21.75" customHeight="1" x14ac:dyDescent="0.4">
      <c r="A481" s="230"/>
      <c r="B481" s="231"/>
      <c r="C481" s="43"/>
      <c r="D481" s="232"/>
      <c r="E481" s="45"/>
      <c r="F481" s="45"/>
      <c r="G481" s="46" t="s">
        <v>115</v>
      </c>
      <c r="H481" s="47" t="s">
        <v>20</v>
      </c>
      <c r="I481" s="67"/>
      <c r="J481" s="67"/>
      <c r="K481" s="233"/>
      <c r="L481" s="53"/>
      <c r="M481" s="54">
        <v>0</v>
      </c>
      <c r="N481" s="53"/>
    </row>
    <row r="482" spans="1:14" ht="21.75" customHeight="1" x14ac:dyDescent="0.4">
      <c r="A482" s="316"/>
      <c r="B482" s="51"/>
      <c r="C482" s="43"/>
      <c r="D482" s="155"/>
      <c r="E482" s="74" t="s">
        <v>197</v>
      </c>
      <c r="F482" s="75"/>
      <c r="G482" s="76"/>
      <c r="H482" s="60" t="s">
        <v>15</v>
      </c>
      <c r="I482" s="200">
        <f ca="1">IFERROR(__xludf.DUMMYFUNCTION("IMPORTRANGE(""https://docs.google.com/spreadsheets/d/1C3CXT74ZlgGe6_JY_1olB1XN4rF0dxEuIIF-xsYjHgg/edit?usp=sharing"",""งบกองทุน!Em26"")"),40)</f>
        <v>40</v>
      </c>
      <c r="J482" s="67">
        <f ca="1">IFERROR(__xludf.DUMMYFUNCTION("IMPORTRANGE(""https://docs.google.com/spreadsheets/d/1AGHcLOeeYFL3K4b9R1dSzyJy00PE_ra89DNTVfnxSWM/edit?usp=sharing"",""รวมที่ชุมชน!G15"")"),0)</f>
        <v>0</v>
      </c>
      <c r="K482" s="49">
        <f t="shared" ref="K482:K489" ca="1" si="109">IF(I482&gt;0,J482*100/I482,0)</f>
        <v>0</v>
      </c>
      <c r="L482" s="61"/>
      <c r="M482" s="61"/>
      <c r="N482" s="61"/>
    </row>
    <row r="483" spans="1:14" ht="21.75" customHeight="1" x14ac:dyDescent="0.4">
      <c r="A483" s="316"/>
      <c r="B483" s="51"/>
      <c r="C483" s="43"/>
      <c r="D483" s="155"/>
      <c r="E483" s="75"/>
      <c r="F483" s="75"/>
      <c r="G483" s="76"/>
      <c r="H483" s="60" t="s">
        <v>103</v>
      </c>
      <c r="I483" s="200">
        <f ca="1">IFERROR(__xludf.DUMMYFUNCTION("IMPORTRANGE(""https://docs.google.com/spreadsheets/d/1C3CXT74ZlgGe6_JY_1olB1XN4rF0dxEuIIF-xsYjHgg/edit?usp=sharing"",""งบกองทุน!En26"")"),0)</f>
        <v>0</v>
      </c>
      <c r="J483" s="67">
        <f ca="1">IFERROR(__xludf.DUMMYFUNCTION("IMPORTRANGE(""https://docs.google.com/spreadsheets/d/1AGHcLOeeYFL3K4b9R1dSzyJy00PE_ra89DNTVfnxSWM/edit?usp=sharing"",""รวมที่ชุมชน!H15"")"),0)</f>
        <v>0</v>
      </c>
      <c r="K483" s="49">
        <f t="shared" ca="1" si="109"/>
        <v>0</v>
      </c>
      <c r="L483" s="61"/>
      <c r="M483" s="61"/>
      <c r="N483" s="61"/>
    </row>
    <row r="484" spans="1:14" ht="21.75" customHeight="1" x14ac:dyDescent="0.4">
      <c r="A484" s="316"/>
      <c r="B484" s="51"/>
      <c r="C484" s="43"/>
      <c r="D484" s="155"/>
      <c r="E484" s="74" t="s">
        <v>104</v>
      </c>
      <c r="F484" s="75"/>
      <c r="G484" s="76"/>
      <c r="H484" s="60" t="s">
        <v>16</v>
      </c>
      <c r="I484" s="200">
        <f ca="1">IFERROR(__xludf.DUMMYFUNCTION("IMPORTRANGE(""https://docs.google.com/spreadsheets/d/1C3CXT74ZlgGe6_JY_1olB1XN4rF0dxEuIIF-xsYjHgg/edit?usp=sharing"",""งบกองทุน!Eo26"")"),40)</f>
        <v>40</v>
      </c>
      <c r="J484" s="67">
        <f ca="1">IFERROR(__xludf.DUMMYFUNCTION("IMPORTRANGE(""https://docs.google.com/spreadsheets/d/1AGHcLOeeYFL3K4b9R1dSzyJy00PE_ra89DNTVfnxSWM/edit?usp=sharing"",""รวมที่ชุมชน!J15"")"),0)</f>
        <v>0</v>
      </c>
      <c r="K484" s="49">
        <f t="shared" ca="1" si="109"/>
        <v>0</v>
      </c>
      <c r="L484" s="61"/>
      <c r="M484" s="61"/>
      <c r="N484" s="61"/>
    </row>
    <row r="485" spans="1:14" ht="21.75" customHeight="1" x14ac:dyDescent="0.4">
      <c r="A485" s="316"/>
      <c r="B485" s="51"/>
      <c r="C485" s="43"/>
      <c r="D485" s="155"/>
      <c r="E485" s="75"/>
      <c r="F485" s="75"/>
      <c r="G485" s="76"/>
      <c r="H485" s="60" t="s">
        <v>103</v>
      </c>
      <c r="I485" s="200">
        <f ca="1">IFERROR(__xludf.DUMMYFUNCTION("IMPORTRANGE(""https://docs.google.com/spreadsheets/d/1C3CXT74ZlgGe6_JY_1olB1XN4rF0dxEuIIF-xsYjHgg/edit?usp=sharing"",""งบกองทุน!Ep26"")"),0)</f>
        <v>0</v>
      </c>
      <c r="J485" s="67">
        <f ca="1">IFERROR(__xludf.DUMMYFUNCTION("IMPORTRANGE(""https://docs.google.com/spreadsheets/d/1AGHcLOeeYFL3K4b9R1dSzyJy00PE_ra89DNTVfnxSWM/edit?usp=sharing"",""รวมที่ชุมชน!L15"")"),0)</f>
        <v>0</v>
      </c>
      <c r="K485" s="49">
        <f t="shared" ca="1" si="109"/>
        <v>0</v>
      </c>
      <c r="L485" s="61"/>
      <c r="M485" s="61"/>
      <c r="N485" s="61"/>
    </row>
    <row r="486" spans="1:14" ht="21.75" customHeight="1" x14ac:dyDescent="0.4">
      <c r="A486" s="316"/>
      <c r="B486" s="51"/>
      <c r="C486" s="43"/>
      <c r="D486" s="155"/>
      <c r="E486" s="74" t="s">
        <v>105</v>
      </c>
      <c r="F486" s="75"/>
      <c r="G486" s="76"/>
      <c r="H486" s="60" t="s">
        <v>16</v>
      </c>
      <c r="I486" s="200">
        <f ca="1">IFERROR(__xludf.DUMMYFUNCTION("IMPORTRANGE(""https://docs.google.com/spreadsheets/d/1C3CXT74ZlgGe6_JY_1olB1XN4rF0dxEuIIF-xsYjHgg/edit?usp=sharing"",""งบกองทุน!Eq26"")"),40)</f>
        <v>40</v>
      </c>
      <c r="J486" s="67">
        <f ca="1">IFERROR(__xludf.DUMMYFUNCTION("IMPORTRANGE(""https://docs.google.com/spreadsheets/d/1AGHcLOeeYFL3K4b9R1dSzyJy00PE_ra89DNTVfnxSWM/edit?usp=sharing"",""รวมที่ชุมชน!S15"")"),0)</f>
        <v>0</v>
      </c>
      <c r="K486" s="49">
        <f t="shared" ca="1" si="109"/>
        <v>0</v>
      </c>
      <c r="L486" s="61"/>
      <c r="M486" s="61"/>
      <c r="N486" s="61"/>
    </row>
    <row r="487" spans="1:14" ht="21.75" customHeight="1" x14ac:dyDescent="0.4">
      <c r="A487" s="316"/>
      <c r="B487" s="51"/>
      <c r="C487" s="43"/>
      <c r="D487" s="155"/>
      <c r="E487" s="75"/>
      <c r="F487" s="75"/>
      <c r="G487" s="76"/>
      <c r="H487" s="60" t="s">
        <v>103</v>
      </c>
      <c r="I487" s="200">
        <f ca="1">IFERROR(__xludf.DUMMYFUNCTION("IMPORTRANGE(""https://docs.google.com/spreadsheets/d/1C3CXT74ZlgGe6_JY_1olB1XN4rF0dxEuIIF-xsYjHgg/edit?usp=sharing"",""งบกองทุน!Er26"")"),0)</f>
        <v>0</v>
      </c>
      <c r="J487" s="67">
        <f ca="1">IFERROR(__xludf.DUMMYFUNCTION("IMPORTRANGE(""https://docs.google.com/spreadsheets/d/1AGHcLOeeYFL3K4b9R1dSzyJy00PE_ra89DNTVfnxSWM/edit?usp=sharing"",""รวมที่ชุมชน!U15"")"),0)</f>
        <v>0</v>
      </c>
      <c r="K487" s="49">
        <f t="shared" ca="1" si="109"/>
        <v>0</v>
      </c>
      <c r="L487" s="61"/>
      <c r="M487" s="61"/>
      <c r="N487" s="61"/>
    </row>
    <row r="488" spans="1:14" ht="21.75" customHeight="1" x14ac:dyDescent="0.4">
      <c r="A488" s="316"/>
      <c r="B488" s="51"/>
      <c r="C488" s="43"/>
      <c r="D488" s="155"/>
      <c r="E488" s="74" t="s">
        <v>106</v>
      </c>
      <c r="F488" s="75"/>
      <c r="G488" s="76"/>
      <c r="H488" s="60" t="s">
        <v>16</v>
      </c>
      <c r="I488" s="200">
        <f ca="1">IFERROR(__xludf.DUMMYFUNCTION("IMPORTRANGE(""https://docs.google.com/spreadsheets/d/1C3CXT74ZlgGe6_JY_1olB1XN4rF0dxEuIIF-xsYjHgg/edit?usp=sharing"",""งบกองทุน!Es26"")"),40)</f>
        <v>40</v>
      </c>
      <c r="J488" s="67">
        <f ca="1">IFERROR(__xludf.DUMMYFUNCTION("IMPORTRANGE(""https://docs.google.com/spreadsheets/d/1AGHcLOeeYFL3K4b9R1dSzyJy00PE_ra89DNTVfnxSWM/edit?usp=sharing"",""รวมที่ชุมชน!V15"")"),0)</f>
        <v>0</v>
      </c>
      <c r="K488" s="49">
        <f t="shared" ca="1" si="109"/>
        <v>0</v>
      </c>
      <c r="L488" s="61"/>
      <c r="M488" s="61"/>
      <c r="N488" s="61"/>
    </row>
    <row r="489" spans="1:14" ht="21.75" customHeight="1" x14ac:dyDescent="0.4">
      <c r="A489" s="317"/>
      <c r="B489" s="318"/>
      <c r="C489" s="319"/>
      <c r="D489" s="320"/>
      <c r="E489" s="295"/>
      <c r="F489" s="295"/>
      <c r="G489" s="296"/>
      <c r="H489" s="321" t="s">
        <v>103</v>
      </c>
      <c r="I489" s="322">
        <f ca="1">IFERROR(__xludf.DUMMYFUNCTION("IMPORTRANGE(""https://docs.google.com/spreadsheets/d/1C3CXT74ZlgGe6_JY_1olB1XN4rF0dxEuIIF-xsYjHgg/edit?usp=sharing"",""งบกองทุน!Et26"")"),0)</f>
        <v>0</v>
      </c>
      <c r="J489" s="112">
        <f ca="1">IFERROR(__xludf.DUMMYFUNCTION("IMPORTRANGE(""https://docs.google.com/spreadsheets/d/1AGHcLOeeYFL3K4b9R1dSzyJy00PE_ra89DNTVfnxSWM/edit?usp=sharing"",""รวมที่ชุมชน!X15"")"),0)</f>
        <v>0</v>
      </c>
      <c r="K489" s="114">
        <f t="shared" ca="1" si="109"/>
        <v>0</v>
      </c>
      <c r="L489" s="300"/>
      <c r="M489" s="300"/>
      <c r="N489" s="300"/>
    </row>
    <row r="490" spans="1:14" ht="21.75" customHeight="1" x14ac:dyDescent="0.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10">I504</f>
        <v>150</v>
      </c>
      <c r="J490" s="375">
        <f t="shared" si="110"/>
        <v>0</v>
      </c>
      <c r="K490" s="301">
        <f ca="1">IF(I490&gt;0,J490*100/I490,0)</f>
        <v>0</v>
      </c>
      <c r="L490" s="259">
        <f ca="1">SUM(L491,L492)</f>
        <v>14050</v>
      </c>
      <c r="M490" s="259">
        <f>SUM(M491:M492)</f>
        <v>0</v>
      </c>
      <c r="N490" s="259">
        <f t="shared" ref="N490:N494" ca="1" si="111">+IF(L490&gt;0,M490*100/L490,0)</f>
        <v>0</v>
      </c>
    </row>
    <row r="491" spans="1:14" ht="21.75" customHeight="1" x14ac:dyDescent="0.4">
      <c r="A491" s="42"/>
      <c r="B491" s="43"/>
      <c r="C491" s="43" t="s">
        <v>17</v>
      </c>
      <c r="D491" s="44" t="s">
        <v>18</v>
      </c>
      <c r="E491" s="45"/>
      <c r="F491" s="45"/>
      <c r="G491" s="46" t="s">
        <v>19</v>
      </c>
      <c r="H491" s="47" t="s">
        <v>20</v>
      </c>
      <c r="I491" s="48" t="s">
        <v>21</v>
      </c>
      <c r="J491" s="48"/>
      <c r="K491" s="49"/>
      <c r="L491" s="50">
        <v>0</v>
      </c>
      <c r="M491" s="53">
        <v>0</v>
      </c>
      <c r="N491" s="53">
        <f t="shared" si="111"/>
        <v>0</v>
      </c>
    </row>
    <row r="492" spans="1:14" ht="21.75" customHeight="1" x14ac:dyDescent="0.4">
      <c r="A492" s="42"/>
      <c r="B492" s="43"/>
      <c r="C492" s="43"/>
      <c r="D492" s="51"/>
      <c r="E492" s="45"/>
      <c r="F492" s="45" t="s">
        <v>21</v>
      </c>
      <c r="G492" s="46" t="s">
        <v>22</v>
      </c>
      <c r="H492" s="47" t="s">
        <v>20</v>
      </c>
      <c r="I492" s="48"/>
      <c r="J492" s="48"/>
      <c r="K492" s="49"/>
      <c r="L492" s="50">
        <f t="shared" ref="L492:M492" ca="1" si="112">SUM(L493:L494)</f>
        <v>14050</v>
      </c>
      <c r="M492" s="53">
        <f t="shared" si="112"/>
        <v>0</v>
      </c>
      <c r="N492" s="53">
        <f t="shared" ca="1" si="111"/>
        <v>0</v>
      </c>
    </row>
    <row r="493" spans="1:14" ht="21.75" customHeight="1" x14ac:dyDescent="0.4">
      <c r="A493" s="42"/>
      <c r="B493" s="43"/>
      <c r="C493" s="43"/>
      <c r="D493" s="51"/>
      <c r="E493" s="45"/>
      <c r="F493" s="45"/>
      <c r="G493" s="52" t="s">
        <v>110</v>
      </c>
      <c r="H493" s="47" t="s">
        <v>20</v>
      </c>
      <c r="I493" s="48"/>
      <c r="J493" s="48"/>
      <c r="K493" s="49"/>
      <c r="L493" s="53">
        <f ca="1">IFERROR(__xludf.DUMMYFUNCTION("IMPORTRANGE(""https://docs.google.com/spreadsheets/d/1C3CXT74ZlgGe6_JY_1olB1XN4rF0dxEuIIF-xsYjHgg/edit?usp=sharing"",""งบกองทุน!Ev26"")"),0)</f>
        <v>0</v>
      </c>
      <c r="M493" s="53">
        <v>0</v>
      </c>
      <c r="N493" s="53">
        <f t="shared" ca="1" si="111"/>
        <v>0</v>
      </c>
    </row>
    <row r="494" spans="1:14" ht="21.75" customHeight="1" x14ac:dyDescent="0.4">
      <c r="A494" s="42"/>
      <c r="B494" s="43"/>
      <c r="C494" s="43"/>
      <c r="D494" s="51"/>
      <c r="E494" s="45"/>
      <c r="F494" s="45"/>
      <c r="G494" s="52" t="s">
        <v>111</v>
      </c>
      <c r="H494" s="47" t="s">
        <v>20</v>
      </c>
      <c r="I494" s="48"/>
      <c r="J494" s="48"/>
      <c r="K494" s="49"/>
      <c r="L494" s="53">
        <f ca="1">IFERROR(__xludf.DUMMYFUNCTION("IMPORTRANGE(""https://docs.google.com/spreadsheets/d/1C3CXT74ZlgGe6_JY_1olB1XN4rF0dxEuIIF-xsYjHgg/edit?usp=sharing"",""งบกองทุน!Ew26"")"),14050)</f>
        <v>14050</v>
      </c>
      <c r="M494" s="53">
        <f>SUM(M495:M498)</f>
        <v>0</v>
      </c>
      <c r="N494" s="53">
        <f t="shared" ca="1" si="111"/>
        <v>0</v>
      </c>
    </row>
    <row r="495" spans="1:14" ht="21.75" customHeight="1" x14ac:dyDescent="0.4">
      <c r="A495" s="230"/>
      <c r="B495" s="231"/>
      <c r="C495" s="43"/>
      <c r="D495" s="232"/>
      <c r="E495" s="45"/>
      <c r="F495" s="45"/>
      <c r="G495" s="46" t="s">
        <v>112</v>
      </c>
      <c r="H495" s="47" t="s">
        <v>20</v>
      </c>
      <c r="I495" s="67"/>
      <c r="J495" s="67"/>
      <c r="K495" s="233"/>
      <c r="L495" s="53"/>
      <c r="M495" s="53">
        <v>0</v>
      </c>
      <c r="N495" s="53"/>
    </row>
    <row r="496" spans="1:14" ht="21.75" customHeight="1" x14ac:dyDescent="0.4">
      <c r="A496" s="230"/>
      <c r="B496" s="231"/>
      <c r="C496" s="43"/>
      <c r="D496" s="232"/>
      <c r="E496" s="45"/>
      <c r="F496" s="45"/>
      <c r="G496" s="46" t="s">
        <v>113</v>
      </c>
      <c r="H496" s="47" t="s">
        <v>20</v>
      </c>
      <c r="I496" s="67"/>
      <c r="J496" s="67"/>
      <c r="K496" s="233"/>
      <c r="L496" s="53"/>
      <c r="M496" s="53">
        <v>0</v>
      </c>
      <c r="N496" s="53"/>
    </row>
    <row r="497" spans="1:14" ht="21.75" customHeight="1" x14ac:dyDescent="0.4">
      <c r="A497" s="230"/>
      <c r="B497" s="231"/>
      <c r="C497" s="43"/>
      <c r="D497" s="232"/>
      <c r="E497" s="45"/>
      <c r="F497" s="45"/>
      <c r="G497" s="46" t="s">
        <v>114</v>
      </c>
      <c r="H497" s="47" t="s">
        <v>20</v>
      </c>
      <c r="I497" s="67"/>
      <c r="J497" s="67"/>
      <c r="K497" s="233"/>
      <c r="L497" s="53"/>
      <c r="M497" s="54">
        <v>0</v>
      </c>
      <c r="N497" s="53"/>
    </row>
    <row r="498" spans="1:14" ht="21.75" customHeight="1" x14ac:dyDescent="0.4">
      <c r="A498" s="230"/>
      <c r="B498" s="231"/>
      <c r="C498" s="43"/>
      <c r="D498" s="232"/>
      <c r="E498" s="45"/>
      <c r="F498" s="45"/>
      <c r="G498" s="46" t="s">
        <v>115</v>
      </c>
      <c r="H498" s="47" t="s">
        <v>20</v>
      </c>
      <c r="I498" s="67"/>
      <c r="J498" s="67"/>
      <c r="K498" s="233"/>
      <c r="L498" s="53"/>
      <c r="M498" s="54">
        <v>0</v>
      </c>
      <c r="N498" s="53"/>
    </row>
    <row r="499" spans="1:14" ht="21.75" customHeight="1" x14ac:dyDescent="0.4">
      <c r="A499" s="55"/>
      <c r="B499" s="56"/>
      <c r="C499" s="43" t="s">
        <v>17</v>
      </c>
      <c r="D499" s="57" t="s">
        <v>25</v>
      </c>
      <c r="E499" s="58"/>
      <c r="F499" s="58"/>
      <c r="G499" s="59"/>
      <c r="H499" s="60"/>
      <c r="I499" s="48"/>
      <c r="J499" s="48"/>
      <c r="K499" s="49"/>
      <c r="L499" s="61"/>
      <c r="M499" s="61"/>
      <c r="N499" s="61"/>
    </row>
    <row r="500" spans="1:14" ht="21.75" customHeight="1" x14ac:dyDescent="0.4">
      <c r="A500" s="55"/>
      <c r="B500" s="56"/>
      <c r="C500" s="56"/>
      <c r="D500" s="62">
        <v>1</v>
      </c>
      <c r="E500" s="63" t="s">
        <v>26</v>
      </c>
      <c r="F500" s="64"/>
      <c r="G500" s="65"/>
      <c r="H500" s="66"/>
      <c r="I500" s="67"/>
      <c r="J500" s="68">
        <v>0</v>
      </c>
      <c r="K500" s="49"/>
      <c r="L500" s="61"/>
      <c r="M500" s="61"/>
      <c r="N500" s="61"/>
    </row>
    <row r="501" spans="1:14" ht="21.75" customHeight="1" x14ac:dyDescent="0.4">
      <c r="A501" s="55"/>
      <c r="B501" s="56"/>
      <c r="C501" s="56"/>
      <c r="D501" s="69">
        <v>2</v>
      </c>
      <c r="E501" s="70" t="s">
        <v>27</v>
      </c>
      <c r="F501" s="71"/>
      <c r="G501" s="72"/>
      <c r="H501" s="66"/>
      <c r="I501" s="67"/>
      <c r="J501" s="68">
        <v>1</v>
      </c>
      <c r="K501" s="49"/>
      <c r="L501" s="61" t="s">
        <v>21</v>
      </c>
      <c r="M501" s="61" t="s">
        <v>21</v>
      </c>
      <c r="N501" s="61"/>
    </row>
    <row r="502" spans="1:14" ht="21.75" hidden="1" customHeight="1" x14ac:dyDescent="0.4">
      <c r="A502" s="376"/>
      <c r="B502" s="377"/>
      <c r="C502" s="377"/>
      <c r="D502" s="378"/>
      <c r="E502" s="379" t="s">
        <v>28</v>
      </c>
      <c r="F502" s="380"/>
      <c r="G502" s="381"/>
      <c r="H502" s="330"/>
      <c r="I502" s="331"/>
      <c r="J502" s="331">
        <v>0</v>
      </c>
      <c r="K502" s="382"/>
      <c r="L502" s="383"/>
      <c r="M502" s="383"/>
      <c r="N502" s="383"/>
    </row>
    <row r="503" spans="1:14" ht="21.75" hidden="1" customHeight="1" x14ac:dyDescent="0.4">
      <c r="A503" s="376"/>
      <c r="B503" s="377"/>
      <c r="C503" s="377"/>
      <c r="D503" s="378"/>
      <c r="E503" s="379" t="s">
        <v>29</v>
      </c>
      <c r="F503" s="380"/>
      <c r="G503" s="381"/>
      <c r="H503" s="330"/>
      <c r="I503" s="331"/>
      <c r="J503" s="331">
        <v>0</v>
      </c>
      <c r="K503" s="382"/>
      <c r="L503" s="383"/>
      <c r="M503" s="383"/>
      <c r="N503" s="383"/>
    </row>
    <row r="504" spans="1:14" ht="21.75" customHeight="1" x14ac:dyDescent="0.4">
      <c r="A504" s="55"/>
      <c r="B504" s="56"/>
      <c r="C504" s="56"/>
      <c r="D504" s="73"/>
      <c r="E504" s="75"/>
      <c r="F504" s="75" t="s">
        <v>199</v>
      </c>
      <c r="G504" s="76"/>
      <c r="H504" s="60" t="s">
        <v>103</v>
      </c>
      <c r="I504" s="67">
        <f ca="1">IFERROR(__xludf.DUMMYFUNCTION("IMPORTRANGE(""https://docs.google.com/spreadsheets/d/1C3CXT74ZlgGe6_JY_1olB1XN4rF0dxEuIIF-xsYjHgg/edit?usp=sharing"",""งบกองทุน!EZ26"")"),150)</f>
        <v>150</v>
      </c>
      <c r="J504" s="48">
        <f>+J510</f>
        <v>0</v>
      </c>
      <c r="K504" s="49">
        <f t="shared" ref="K504:K512" ca="1" si="113">IF(I$504&gt;0,J504*100/I$504,0)</f>
        <v>0</v>
      </c>
      <c r="L504" s="61"/>
      <c r="M504" s="61"/>
      <c r="N504" s="61"/>
    </row>
    <row r="505" spans="1:14" ht="21.75" customHeight="1" x14ac:dyDescent="0.4">
      <c r="A505" s="55"/>
      <c r="B505" s="56"/>
      <c r="C505" s="56"/>
      <c r="D505" s="73"/>
      <c r="E505" s="77"/>
      <c r="F505" s="75"/>
      <c r="G505" s="99" t="s">
        <v>200</v>
      </c>
      <c r="H505" s="60" t="s">
        <v>103</v>
      </c>
      <c r="I505" s="67">
        <v>0</v>
      </c>
      <c r="J505" s="68">
        <v>0</v>
      </c>
      <c r="K505" s="49">
        <f t="shared" ca="1" si="113"/>
        <v>0</v>
      </c>
      <c r="L505" s="61"/>
      <c r="M505" s="61"/>
      <c r="N505" s="61"/>
    </row>
    <row r="506" spans="1:14" ht="21.75" customHeight="1" x14ac:dyDescent="0.4">
      <c r="A506" s="55"/>
      <c r="B506" s="56"/>
      <c r="C506" s="56"/>
      <c r="D506" s="73"/>
      <c r="E506" s="77"/>
      <c r="F506" s="75"/>
      <c r="G506" s="99" t="s">
        <v>201</v>
      </c>
      <c r="H506" s="60" t="s">
        <v>103</v>
      </c>
      <c r="I506" s="67">
        <v>0</v>
      </c>
      <c r="J506" s="68">
        <v>0</v>
      </c>
      <c r="K506" s="49">
        <f t="shared" ca="1" si="113"/>
        <v>0</v>
      </c>
      <c r="L506" s="61"/>
      <c r="M506" s="61"/>
      <c r="N506" s="61"/>
    </row>
    <row r="507" spans="1:14" ht="21.75" customHeight="1" x14ac:dyDescent="0.4">
      <c r="A507" s="55"/>
      <c r="B507" s="56"/>
      <c r="C507" s="56"/>
      <c r="D507" s="73"/>
      <c r="E507" s="77"/>
      <c r="F507" s="75"/>
      <c r="G507" s="99" t="s">
        <v>202</v>
      </c>
      <c r="H507" s="60" t="s">
        <v>103</v>
      </c>
      <c r="I507" s="67">
        <v>0</v>
      </c>
      <c r="J507" s="68">
        <v>0</v>
      </c>
      <c r="K507" s="49">
        <f t="shared" ca="1" si="113"/>
        <v>0</v>
      </c>
      <c r="L507" s="61"/>
      <c r="M507" s="61"/>
      <c r="N507" s="61"/>
    </row>
    <row r="508" spans="1:14" ht="21.75" customHeight="1" x14ac:dyDescent="0.4">
      <c r="A508" s="55"/>
      <c r="B508" s="56"/>
      <c r="C508" s="56"/>
      <c r="D508" s="73"/>
      <c r="E508" s="77"/>
      <c r="F508" s="75"/>
      <c r="G508" s="99" t="s">
        <v>203</v>
      </c>
      <c r="H508" s="60" t="s">
        <v>103</v>
      </c>
      <c r="I508" s="67">
        <v>0</v>
      </c>
      <c r="J508" s="68">
        <v>0</v>
      </c>
      <c r="K508" s="49">
        <f t="shared" ca="1" si="113"/>
        <v>0</v>
      </c>
      <c r="L508" s="61"/>
      <c r="M508" s="61"/>
      <c r="N508" s="61"/>
    </row>
    <row r="509" spans="1:14" ht="21.75" customHeight="1" x14ac:dyDescent="0.4">
      <c r="A509" s="55"/>
      <c r="B509" s="56"/>
      <c r="C509" s="56"/>
      <c r="D509" s="73"/>
      <c r="E509" s="77"/>
      <c r="F509" s="75"/>
      <c r="G509" s="74" t="s">
        <v>204</v>
      </c>
      <c r="H509" s="60" t="s">
        <v>103</v>
      </c>
      <c r="I509" s="67">
        <v>0</v>
      </c>
      <c r="J509" s="68">
        <v>0</v>
      </c>
      <c r="K509" s="49">
        <f t="shared" ca="1" si="113"/>
        <v>0</v>
      </c>
      <c r="L509" s="61"/>
      <c r="M509" s="61"/>
      <c r="N509" s="61"/>
    </row>
    <row r="510" spans="1:14" ht="21.75" customHeight="1" x14ac:dyDescent="0.4">
      <c r="A510" s="55"/>
      <c r="B510" s="56"/>
      <c r="C510" s="56"/>
      <c r="D510" s="73"/>
      <c r="E510" s="77"/>
      <c r="F510" s="75"/>
      <c r="G510" s="74" t="s">
        <v>205</v>
      </c>
      <c r="H510" s="60" t="s">
        <v>103</v>
      </c>
      <c r="I510" s="67">
        <f t="shared" ref="I510:J510" si="114">I511+I512</f>
        <v>0</v>
      </c>
      <c r="J510" s="67">
        <f t="shared" si="114"/>
        <v>0</v>
      </c>
      <c r="K510" s="49">
        <f t="shared" ca="1" si="113"/>
        <v>0</v>
      </c>
      <c r="L510" s="61"/>
      <c r="M510" s="61"/>
      <c r="N510" s="61"/>
    </row>
    <row r="511" spans="1:14" ht="21.75" customHeight="1" x14ac:dyDescent="0.4">
      <c r="A511" s="55"/>
      <c r="B511" s="56"/>
      <c r="C511" s="56"/>
      <c r="D511" s="73"/>
      <c r="E511" s="77"/>
      <c r="F511" s="75"/>
      <c r="G511" s="334" t="s">
        <v>206</v>
      </c>
      <c r="H511" s="60" t="s">
        <v>103</v>
      </c>
      <c r="I511" s="67">
        <v>0</v>
      </c>
      <c r="J511" s="68">
        <v>0</v>
      </c>
      <c r="K511" s="49">
        <f t="shared" ca="1" si="113"/>
        <v>0</v>
      </c>
      <c r="L511" s="61"/>
      <c r="M511" s="61"/>
      <c r="N511" s="61"/>
    </row>
    <row r="512" spans="1:14" ht="21.75" customHeight="1" x14ac:dyDescent="0.4">
      <c r="A512" s="55"/>
      <c r="B512" s="56"/>
      <c r="C512" s="56"/>
      <c r="D512" s="73"/>
      <c r="E512" s="77"/>
      <c r="F512" s="75"/>
      <c r="G512" s="334" t="s">
        <v>207</v>
      </c>
      <c r="H512" s="60" t="s">
        <v>103</v>
      </c>
      <c r="I512" s="67">
        <v>0</v>
      </c>
      <c r="J512" s="68">
        <v>0</v>
      </c>
      <c r="K512" s="49">
        <f t="shared" ca="1" si="113"/>
        <v>0</v>
      </c>
      <c r="L512" s="61"/>
      <c r="M512" s="61"/>
      <c r="N512" s="61"/>
    </row>
    <row r="513" spans="1:14" ht="21.75" customHeight="1" x14ac:dyDescent="0.4">
      <c r="A513" s="55"/>
      <c r="B513" s="56"/>
      <c r="C513" s="56"/>
      <c r="D513" s="73"/>
      <c r="E513" s="75"/>
      <c r="F513" s="74" t="s">
        <v>208</v>
      </c>
      <c r="G513" s="76"/>
      <c r="H513" s="60" t="s">
        <v>103</v>
      </c>
      <c r="I513" s="67">
        <f ca="1">IFERROR(__xludf.DUMMYFUNCTION("IMPORTRANGE(""https://docs.google.com/spreadsheets/d/1C3CXT74ZlgGe6_JY_1olB1XN4rF0dxEuIIF-xsYjHgg/edit?usp=sharing"",""งบกองทุน!ff26"")"),0)</f>
        <v>0</v>
      </c>
      <c r="J513" s="48">
        <f>J514</f>
        <v>0</v>
      </c>
      <c r="K513" s="49">
        <f t="shared" ref="K513:K519" ca="1" si="115">IF(I$513&gt;0,J513*100/I$513,0)</f>
        <v>0</v>
      </c>
      <c r="L513" s="61"/>
      <c r="M513" s="61"/>
      <c r="N513" s="61"/>
    </row>
    <row r="514" spans="1:14" ht="21.75" customHeight="1" x14ac:dyDescent="0.4">
      <c r="A514" s="55"/>
      <c r="B514" s="56"/>
      <c r="C514" s="56"/>
      <c r="D514" s="73"/>
      <c r="E514" s="77"/>
      <c r="F514" s="75"/>
      <c r="G514" s="99" t="s">
        <v>205</v>
      </c>
      <c r="H514" s="60" t="s">
        <v>103</v>
      </c>
      <c r="I514" s="48">
        <f t="shared" ref="I514:J514" si="116">I515+I516</f>
        <v>0</v>
      </c>
      <c r="J514" s="48">
        <f t="shared" si="116"/>
        <v>0</v>
      </c>
      <c r="K514" s="49">
        <f t="shared" ca="1" si="115"/>
        <v>0</v>
      </c>
      <c r="L514" s="61"/>
      <c r="M514" s="61"/>
      <c r="N514" s="61"/>
    </row>
    <row r="515" spans="1:14" ht="21.75" customHeight="1" x14ac:dyDescent="0.4">
      <c r="A515" s="55"/>
      <c r="B515" s="56"/>
      <c r="C515" s="56"/>
      <c r="D515" s="73"/>
      <c r="E515" s="77"/>
      <c r="F515" s="75"/>
      <c r="G515" s="334" t="s">
        <v>206</v>
      </c>
      <c r="H515" s="60" t="s">
        <v>103</v>
      </c>
      <c r="I515" s="67">
        <v>0</v>
      </c>
      <c r="J515" s="68">
        <v>0</v>
      </c>
      <c r="K515" s="49">
        <f t="shared" ca="1" si="115"/>
        <v>0</v>
      </c>
      <c r="L515" s="61"/>
      <c r="M515" s="61"/>
      <c r="N515" s="61"/>
    </row>
    <row r="516" spans="1:14" ht="21.75" customHeight="1" x14ac:dyDescent="0.4">
      <c r="A516" s="55"/>
      <c r="B516" s="56"/>
      <c r="C516" s="56"/>
      <c r="D516" s="73"/>
      <c r="E516" s="77"/>
      <c r="F516" s="75"/>
      <c r="G516" s="334" t="s">
        <v>207</v>
      </c>
      <c r="H516" s="60" t="s">
        <v>103</v>
      </c>
      <c r="I516" s="67">
        <v>0</v>
      </c>
      <c r="J516" s="68">
        <v>0</v>
      </c>
      <c r="K516" s="49">
        <f t="shared" ca="1" si="115"/>
        <v>0</v>
      </c>
      <c r="L516" s="61"/>
      <c r="M516" s="61"/>
      <c r="N516" s="61"/>
    </row>
    <row r="517" spans="1:14" ht="21.75" customHeight="1" x14ac:dyDescent="0.4">
      <c r="A517" s="55"/>
      <c r="B517" s="56"/>
      <c r="C517" s="56"/>
      <c r="D517" s="73"/>
      <c r="E517" s="77"/>
      <c r="F517" s="75"/>
      <c r="G517" s="99" t="s">
        <v>209</v>
      </c>
      <c r="H517" s="60" t="s">
        <v>103</v>
      </c>
      <c r="I517" s="67">
        <f t="shared" ref="I517:J517" si="117">SUM(I518:I519)</f>
        <v>0</v>
      </c>
      <c r="J517" s="67">
        <f t="shared" si="117"/>
        <v>0</v>
      </c>
      <c r="K517" s="49">
        <f t="shared" ca="1" si="115"/>
        <v>0</v>
      </c>
      <c r="L517" s="61"/>
      <c r="M517" s="61"/>
      <c r="N517" s="61"/>
    </row>
    <row r="518" spans="1:14" ht="21.75" customHeight="1" x14ac:dyDescent="0.4">
      <c r="A518" s="55"/>
      <c r="B518" s="56"/>
      <c r="C518" s="56"/>
      <c r="D518" s="73"/>
      <c r="E518" s="77"/>
      <c r="F518" s="75"/>
      <c r="G518" s="334" t="s">
        <v>210</v>
      </c>
      <c r="H518" s="60" t="s">
        <v>103</v>
      </c>
      <c r="I518" s="67">
        <v>0</v>
      </c>
      <c r="J518" s="68">
        <v>0</v>
      </c>
      <c r="K518" s="49">
        <f t="shared" ca="1" si="115"/>
        <v>0</v>
      </c>
      <c r="L518" s="61"/>
      <c r="M518" s="61"/>
      <c r="N518" s="61"/>
    </row>
    <row r="519" spans="1:14" ht="21.75" customHeight="1" x14ac:dyDescent="0.4">
      <c r="A519" s="55"/>
      <c r="B519" s="56"/>
      <c r="C519" s="56"/>
      <c r="D519" s="73"/>
      <c r="E519" s="77"/>
      <c r="F519" s="75"/>
      <c r="G519" s="334" t="s">
        <v>211</v>
      </c>
      <c r="H519" s="60" t="s">
        <v>103</v>
      </c>
      <c r="I519" s="67">
        <v>0</v>
      </c>
      <c r="J519" s="68">
        <v>0</v>
      </c>
      <c r="K519" s="49">
        <f t="shared" ca="1" si="115"/>
        <v>0</v>
      </c>
      <c r="L519" s="61"/>
      <c r="M519" s="61"/>
      <c r="N519" s="61"/>
    </row>
    <row r="520" spans="1:14" ht="21.75" customHeight="1" x14ac:dyDescent="0.4">
      <c r="A520" s="335" t="s">
        <v>212</v>
      </c>
      <c r="B520" s="336"/>
      <c r="C520" s="336"/>
      <c r="D520" s="336"/>
      <c r="E520" s="336"/>
      <c r="F520" s="336"/>
      <c r="G520" s="337"/>
      <c r="H520" s="338"/>
      <c r="I520" s="339"/>
      <c r="J520" s="339"/>
      <c r="K520" s="340"/>
      <c r="L520" s="340"/>
      <c r="M520" s="340"/>
      <c r="N520" s="341"/>
    </row>
    <row r="521" spans="1:14" ht="21.75" customHeight="1" x14ac:dyDescent="0.4">
      <c r="A521" s="316"/>
      <c r="B521" s="45" t="s">
        <v>213</v>
      </c>
      <c r="C521" s="43"/>
      <c r="D521" s="51"/>
      <c r="E521" s="45"/>
      <c r="F521" s="45"/>
      <c r="G521" s="46"/>
      <c r="H521" s="342" t="s">
        <v>20</v>
      </c>
      <c r="I521" s="200">
        <f ca="1">IFERROR(__xludf.DUMMYFUNCTION("IMPORTRANGE(""https://docs.google.com/spreadsheets/d/1muirlRDkqiswvy_NRZ3Yh955hx-PF6_HhssUYiSJj8o/edit?usp=sharing"",""กองทุน!D26"")"),4799661.59)</f>
        <v>4799661.59</v>
      </c>
      <c r="J521" s="200">
        <f ca="1">IFERROR(__xludf.DUMMYFUNCTION("IMPORTRANGE(""https://docs.google.com/spreadsheets/d/1muirlRDkqiswvy_NRZ3Yh955hx-PF6_HhssUYiSJj8o/edit?usp=sharing"",""กองทุน!F26"")"),4362.85)</f>
        <v>4362.8500000000004</v>
      </c>
      <c r="K521" s="201">
        <f t="shared" ref="K521:K528" ca="1" si="118">IF(I521&gt;0,J521*100/I521,0)</f>
        <v>9.0899116910448691E-2</v>
      </c>
      <c r="L521" s="201"/>
      <c r="M521" s="201"/>
      <c r="N521" s="53"/>
    </row>
    <row r="522" spans="1:14" ht="21.75" customHeight="1" x14ac:dyDescent="0.4">
      <c r="A522" s="316"/>
      <c r="B522" s="43"/>
      <c r="C522" s="43"/>
      <c r="D522" s="51"/>
      <c r="E522" s="45"/>
      <c r="F522" s="45"/>
      <c r="G522" s="46"/>
      <c r="H522" s="342" t="s">
        <v>16</v>
      </c>
      <c r="I522" s="200">
        <f ca="1">IFERROR(__xludf.DUMMYFUNCTION("IMPORTRANGE(""https://docs.google.com/spreadsheets/d/1muirlRDkqiswvy_NRZ3Yh955hx-PF6_HhssUYiSJj8o/edit?usp=sharing"",""กองทุน!C26"")"),454)</f>
        <v>454</v>
      </c>
      <c r="J522" s="200">
        <f ca="1">IFERROR(__xludf.DUMMYFUNCTION("IMPORTRANGE(""https://docs.google.com/spreadsheets/d/1muirlRDkqiswvy_NRZ3Yh955hx-PF6_HhssUYiSJj8o/edit?usp=sharing"",""กองทุน!E26"")"),3)</f>
        <v>3</v>
      </c>
      <c r="K522" s="201">
        <f t="shared" ca="1" si="118"/>
        <v>0.66079295154185025</v>
      </c>
      <c r="L522" s="201"/>
      <c r="M522" s="201"/>
      <c r="N522" s="53"/>
    </row>
    <row r="523" spans="1:14" ht="21.75" customHeight="1" x14ac:dyDescent="0.4">
      <c r="A523" s="316"/>
      <c r="B523" s="45" t="s">
        <v>214</v>
      </c>
      <c r="C523" s="43"/>
      <c r="D523" s="51"/>
      <c r="E523" s="45"/>
      <c r="F523" s="45"/>
      <c r="G523" s="46"/>
      <c r="H523" s="342" t="s">
        <v>20</v>
      </c>
      <c r="I523" s="200">
        <f ca="1">IFERROR(__xludf.DUMMYFUNCTION("IMPORTRANGE(""https://docs.google.com/spreadsheets/d/1muirlRDkqiswvy_NRZ3Yh955hx-PF6_HhssUYiSJj8o/edit?usp=sharing"",""กองทุน!I26"")"),9920324.39)</f>
        <v>9920324.3900000006</v>
      </c>
      <c r="J523" s="200">
        <f ca="1">IFERROR(__xludf.DUMMYFUNCTION("IMPORTRANGE(""https://docs.google.com/spreadsheets/d/1muirlRDkqiswvy_NRZ3Yh955hx-PF6_HhssUYiSJj8o/edit?usp=sharing"",""กองทุน!K26"")"),34221.52)</f>
        <v>34221.519999999997</v>
      </c>
      <c r="K523" s="201">
        <f t="shared" ca="1" si="118"/>
        <v>0.34496371947772558</v>
      </c>
      <c r="L523" s="201"/>
      <c r="M523" s="201"/>
      <c r="N523" s="53"/>
    </row>
    <row r="524" spans="1:14" ht="21.75" customHeight="1" x14ac:dyDescent="0.4">
      <c r="A524" s="316"/>
      <c r="B524" s="43"/>
      <c r="C524" s="43"/>
      <c r="D524" s="51"/>
      <c r="E524" s="45"/>
      <c r="F524" s="45"/>
      <c r="G524" s="46"/>
      <c r="H524" s="342" t="s">
        <v>16</v>
      </c>
      <c r="I524" s="200">
        <f ca="1">IFERROR(__xludf.DUMMYFUNCTION("IMPORTRANGE(""https://docs.google.com/spreadsheets/d/1muirlRDkqiswvy_NRZ3Yh955hx-PF6_HhssUYiSJj8o/edit?usp=sharing"",""กองทุน!H26"")"),332)</f>
        <v>332</v>
      </c>
      <c r="J524" s="200">
        <f ca="1">IFERROR(__xludf.DUMMYFUNCTION("IMPORTRANGE(""https://docs.google.com/spreadsheets/d/1muirlRDkqiswvy_NRZ3Yh955hx-PF6_HhssUYiSJj8o/edit?usp=sharing"",""กองทุน!J26"")"),5)</f>
        <v>5</v>
      </c>
      <c r="K524" s="201">
        <f t="shared" ca="1" si="118"/>
        <v>1.5060240963855422</v>
      </c>
      <c r="L524" s="201"/>
      <c r="M524" s="201"/>
      <c r="N524" s="53"/>
    </row>
    <row r="525" spans="1:14" ht="21.75" customHeight="1" x14ac:dyDescent="0.4">
      <c r="A525" s="316"/>
      <c r="B525" s="45" t="s">
        <v>215</v>
      </c>
      <c r="C525" s="43"/>
      <c r="D525" s="51"/>
      <c r="E525" s="45"/>
      <c r="F525" s="45"/>
      <c r="G525" s="46"/>
      <c r="H525" s="342" t="s">
        <v>20</v>
      </c>
      <c r="I525" s="200">
        <f ca="1">IFERROR(__xludf.DUMMYFUNCTION("IMPORTRANGE(""https://docs.google.com/spreadsheets/d/1muirlRDkqiswvy_NRZ3Yh955hx-PF6_HhssUYiSJj8o/edit?usp=sharing"",""กองทุน!N26"")"),0)</f>
        <v>0</v>
      </c>
      <c r="J525" s="200">
        <f ca="1">IFERROR(__xludf.DUMMYFUNCTION("IMPORTRANGE(""https://docs.google.com/spreadsheets/d/1muirlRDkqiswvy_NRZ3Yh955hx-PF6_HhssUYiSJj8o/edit?usp=sharing"",""กองทุน!P26"")"),0)</f>
        <v>0</v>
      </c>
      <c r="K525" s="201">
        <f t="shared" ca="1" si="118"/>
        <v>0</v>
      </c>
      <c r="L525" s="201"/>
      <c r="M525" s="201"/>
      <c r="N525" s="53"/>
    </row>
    <row r="526" spans="1:14" ht="21.75" customHeight="1" x14ac:dyDescent="0.4">
      <c r="A526" s="316"/>
      <c r="B526" s="45"/>
      <c r="C526" s="43"/>
      <c r="D526" s="51"/>
      <c r="E526" s="45"/>
      <c r="F526" s="45"/>
      <c r="G526" s="46"/>
      <c r="H526" s="342" t="s">
        <v>16</v>
      </c>
      <c r="I526" s="200">
        <f ca="1">IFERROR(__xludf.DUMMYFUNCTION("IMPORTRANGE(""https://docs.google.com/spreadsheets/d/1muirlRDkqiswvy_NRZ3Yh955hx-PF6_HhssUYiSJj8o/edit?usp=sharing"",""กองทุน!M26"")"),0)</f>
        <v>0</v>
      </c>
      <c r="J526" s="200">
        <f ca="1">IFERROR(__xludf.DUMMYFUNCTION("IMPORTRANGE(""https://docs.google.com/spreadsheets/d/1muirlRDkqiswvy_NRZ3Yh955hx-PF6_HhssUYiSJj8o/edit?usp=sharing"",""กองทุน!O26"")"),0)</f>
        <v>0</v>
      </c>
      <c r="K526" s="201">
        <f t="shared" ca="1" si="118"/>
        <v>0</v>
      </c>
      <c r="L526" s="201"/>
      <c r="M526" s="201"/>
      <c r="N526" s="53"/>
    </row>
    <row r="527" spans="1:14" ht="21.75" customHeight="1" x14ac:dyDescent="0.4">
      <c r="A527" s="316"/>
      <c r="B527" s="45" t="s">
        <v>216</v>
      </c>
      <c r="C527" s="43"/>
      <c r="D527" s="51"/>
      <c r="E527" s="45"/>
      <c r="F527" s="45"/>
      <c r="G527" s="46"/>
      <c r="H527" s="342" t="s">
        <v>20</v>
      </c>
      <c r="I527" s="200">
        <f ca="1">IFERROR(__xludf.DUMMYFUNCTION("IMPORTRANGE(""https://docs.google.com/spreadsheets/d/1muirlRDkqiswvy_NRZ3Yh955hx-PF6_HhssUYiSJj8o/edit?usp=sharing"",""กองทุน!S26"")"),6000000)</f>
        <v>6000000</v>
      </c>
      <c r="J527" s="200">
        <f ca="1">IFERROR(__xludf.DUMMYFUNCTION("IMPORTRANGE(""https://docs.google.com/spreadsheets/d/1muirlRDkqiswvy_NRZ3Yh955hx-PF6_HhssUYiSJj8o/edit?usp=sharing"",""กองทุน!U26"")"),0)</f>
        <v>0</v>
      </c>
      <c r="K527" s="201">
        <f t="shared" ca="1" si="118"/>
        <v>0</v>
      </c>
      <c r="L527" s="201"/>
      <c r="M527" s="201"/>
      <c r="N527" s="53"/>
    </row>
    <row r="528" spans="1:14" ht="21.75" customHeight="1" x14ac:dyDescent="0.4">
      <c r="A528" s="317"/>
      <c r="B528" s="319"/>
      <c r="C528" s="319"/>
      <c r="D528" s="318"/>
      <c r="E528" s="343"/>
      <c r="F528" s="343"/>
      <c r="G528" s="344"/>
      <c r="H528" s="345" t="s">
        <v>16</v>
      </c>
      <c r="I528" s="322">
        <f ca="1">IFERROR(__xludf.DUMMYFUNCTION("IMPORTRANGE(""https://docs.google.com/spreadsheets/d/1muirlRDkqiswvy_NRZ3Yh955hx-PF6_HhssUYiSJj8o/edit?usp=sharing"",""กองทุน!R26"")"),120)</f>
        <v>120</v>
      </c>
      <c r="J528" s="322">
        <f ca="1">IFERROR(__xludf.DUMMYFUNCTION("IMPORTRANGE(""https://docs.google.com/spreadsheets/d/1muirlRDkqiswvy_NRZ3Yh955hx-PF6_HhssUYiSJj8o/edit?usp=sharing"",""กองทุน!T26"")"),0)</f>
        <v>0</v>
      </c>
      <c r="K528" s="323">
        <f t="shared" ca="1" si="118"/>
        <v>0</v>
      </c>
      <c r="L528" s="323"/>
      <c r="M528" s="323"/>
      <c r="N528" s="346"/>
    </row>
    <row r="529" spans="1:14" ht="21.75" customHeight="1" x14ac:dyDescent="0.4">
      <c r="A529" s="347"/>
      <c r="B529" s="347"/>
      <c r="C529" s="347"/>
      <c r="D529" s="347"/>
      <c r="E529" s="348" t="s">
        <v>217</v>
      </c>
      <c r="F529" s="348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&amp;P/&amp;N&amp;R&amp;F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L18" sqref="L18"/>
      <selection pane="bottomLeft" activeCell="L18" sqref="L18"/>
    </sheetView>
  </sheetViews>
  <sheetFormatPr defaultColWidth="12.625" defaultRowHeight="15" customHeight="1" x14ac:dyDescent="0.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4">
      <c r="A1" s="403" t="s">
        <v>0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</row>
    <row r="2" spans="1:14" ht="18" customHeight="1" x14ac:dyDescent="0.4">
      <c r="A2" s="403" t="s">
        <v>236</v>
      </c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404"/>
    </row>
    <row r="3" spans="1:14" ht="18" customHeight="1" x14ac:dyDescent="0.4">
      <c r="A3" s="403" t="s">
        <v>249</v>
      </c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04"/>
    </row>
    <row r="4" spans="1:14" ht="33.75" customHeight="1" x14ac:dyDescent="0.4">
      <c r="A4" s="2"/>
      <c r="B4" s="2"/>
      <c r="C4" s="2"/>
      <c r="D4" s="2"/>
      <c r="E4" s="2"/>
      <c r="F4" s="2"/>
      <c r="G4" s="2"/>
      <c r="H4" s="2"/>
      <c r="I4" s="2"/>
      <c r="J4" s="354" t="s">
        <v>2</v>
      </c>
      <c r="K4" s="4"/>
      <c r="L4" s="5"/>
      <c r="M4" s="355" t="s">
        <v>3</v>
      </c>
      <c r="N4" s="2"/>
    </row>
    <row r="5" spans="1:14" ht="21.75" customHeight="1" x14ac:dyDescent="0.55000000000000004">
      <c r="A5" s="405" t="s">
        <v>4</v>
      </c>
      <c r="B5" s="406"/>
      <c r="C5" s="406"/>
      <c r="D5" s="406"/>
      <c r="E5" s="406"/>
      <c r="F5" s="406"/>
      <c r="G5" s="407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1257365</v>
      </c>
      <c r="M6" s="16">
        <f t="shared" si="0"/>
        <v>91552.28</v>
      </c>
      <c r="N6" s="17">
        <f ca="1">IF(L6&gt;0,M6*100/L6,0)</f>
        <v>7.2812810918070729</v>
      </c>
    </row>
    <row r="7" spans="1:14" ht="21.75" customHeight="1" x14ac:dyDescent="0.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41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41">
        <f ca="1">IF(L9&gt;0,M9*100/L9,0)</f>
        <v>0</v>
      </c>
    </row>
    <row r="10" spans="1:14" ht="21.75" customHeight="1" x14ac:dyDescent="0.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41">
        <f t="shared" ca="1" si="2"/>
        <v>0</v>
      </c>
      <c r="L10" s="40"/>
      <c r="M10" s="40"/>
      <c r="N10" s="41"/>
    </row>
    <row r="11" spans="1:14" ht="21.75" customHeight="1" x14ac:dyDescent="0.4">
      <c r="A11" s="42"/>
      <c r="B11" s="43"/>
      <c r="C11" s="43" t="s">
        <v>17</v>
      </c>
      <c r="D11" s="44" t="s">
        <v>18</v>
      </c>
      <c r="E11" s="45"/>
      <c r="F11" s="45"/>
      <c r="G11" s="46" t="s">
        <v>19</v>
      </c>
      <c r="H11" s="47" t="s">
        <v>20</v>
      </c>
      <c r="I11" s="48" t="s">
        <v>21</v>
      </c>
      <c r="J11" s="48"/>
      <c r="K11" s="49"/>
      <c r="L11" s="50">
        <v>0</v>
      </c>
      <c r="M11" s="50">
        <v>0</v>
      </c>
      <c r="N11" s="50">
        <f t="shared" ref="N11:N14" si="4">+IF(L11&gt;0,M11*100/L11,0)</f>
        <v>0</v>
      </c>
    </row>
    <row r="12" spans="1:14" ht="21.75" customHeight="1" x14ac:dyDescent="0.4">
      <c r="A12" s="42"/>
      <c r="B12" s="43"/>
      <c r="C12" s="43"/>
      <c r="D12" s="51"/>
      <c r="E12" s="45"/>
      <c r="F12" s="45" t="s">
        <v>21</v>
      </c>
      <c r="G12" s="46" t="s">
        <v>22</v>
      </c>
      <c r="H12" s="47" t="s">
        <v>20</v>
      </c>
      <c r="I12" s="48"/>
      <c r="J12" s="48"/>
      <c r="K12" s="49"/>
      <c r="L12" s="53">
        <f ca="1">IFERROR(__xludf.DUMMYFUNCTION("IMPORTRANGE(""https://docs.google.com/spreadsheets/d/1C3CXT74ZlgGe6_JY_1olB1XN4rF0dxEuIIF-xsYjHgg/edit?usp=sharing"",""พรบ!C27"")"),0)</f>
        <v>0</v>
      </c>
      <c r="M12" s="50">
        <f>SUM(M13:M14)</f>
        <v>0</v>
      </c>
      <c r="N12" s="50">
        <f t="shared" ca="1" si="4"/>
        <v>0</v>
      </c>
    </row>
    <row r="13" spans="1:14" ht="21.75" customHeight="1" x14ac:dyDescent="0.4">
      <c r="A13" s="42"/>
      <c r="B13" s="43"/>
      <c r="C13" s="43"/>
      <c r="D13" s="51"/>
      <c r="E13" s="45"/>
      <c r="F13" s="45"/>
      <c r="G13" s="52" t="s">
        <v>23</v>
      </c>
      <c r="H13" s="47" t="s">
        <v>20</v>
      </c>
      <c r="I13" s="48"/>
      <c r="J13" s="67"/>
      <c r="K13" s="233"/>
      <c r="L13" s="53">
        <f ca="1">IFERROR(__xludf.DUMMYFUNCTION("IMPORTRANGE(""https://docs.google.com/spreadsheets/d/1C3CXT74ZlgGe6_JY_1olB1XN4rF0dxEuIIF-xsYjHgg/edit?usp=sharing"",""พรบ!D27"")"),0)</f>
        <v>0</v>
      </c>
      <c r="M13" s="53">
        <v>0</v>
      </c>
      <c r="N13" s="53">
        <f t="shared" ca="1" si="4"/>
        <v>0</v>
      </c>
    </row>
    <row r="14" spans="1:14" ht="21.75" customHeight="1" x14ac:dyDescent="0.4">
      <c r="A14" s="42"/>
      <c r="B14" s="43"/>
      <c r="C14" s="43"/>
      <c r="D14" s="51"/>
      <c r="E14" s="45"/>
      <c r="F14" s="45"/>
      <c r="G14" s="52" t="s">
        <v>24</v>
      </c>
      <c r="H14" s="47" t="s">
        <v>20</v>
      </c>
      <c r="I14" s="48"/>
      <c r="J14" s="67"/>
      <c r="K14" s="233"/>
      <c r="L14" s="53">
        <f ca="1">IFERROR(__xludf.DUMMYFUNCTION("IMPORTRANGE(""https://docs.google.com/spreadsheets/d/1C3CXT74ZlgGe6_JY_1olB1XN4rF0dxEuIIF-xsYjHgg/edit?usp=sharing"",""พรบ!E27"")"),0)</f>
        <v>0</v>
      </c>
      <c r="M14" s="53">
        <v>0</v>
      </c>
      <c r="N14" s="53">
        <f t="shared" ca="1" si="4"/>
        <v>0</v>
      </c>
    </row>
    <row r="15" spans="1:14" ht="21.75" customHeight="1" x14ac:dyDescent="0.4">
      <c r="A15" s="55"/>
      <c r="B15" s="56"/>
      <c r="C15" s="43" t="s">
        <v>17</v>
      </c>
      <c r="D15" s="57" t="s">
        <v>25</v>
      </c>
      <c r="E15" s="58"/>
      <c r="F15" s="58"/>
      <c r="G15" s="59"/>
      <c r="H15" s="60"/>
      <c r="I15" s="48"/>
      <c r="J15" s="67"/>
      <c r="K15" s="233"/>
      <c r="L15" s="53"/>
      <c r="M15" s="53"/>
      <c r="N15" s="61"/>
    </row>
    <row r="16" spans="1:14" ht="21.75" customHeight="1" x14ac:dyDescent="0.4">
      <c r="A16" s="55"/>
      <c r="B16" s="56"/>
      <c r="C16" s="56"/>
      <c r="D16" s="62">
        <v>1</v>
      </c>
      <c r="E16" s="63" t="s">
        <v>26</v>
      </c>
      <c r="F16" s="64"/>
      <c r="G16" s="65"/>
      <c r="H16" s="66"/>
      <c r="I16" s="67"/>
      <c r="J16" s="67">
        <v>0</v>
      </c>
      <c r="K16" s="233"/>
      <c r="L16" s="53"/>
      <c r="M16" s="53"/>
      <c r="N16" s="61"/>
    </row>
    <row r="17" spans="1:14" ht="21.75" customHeight="1" x14ac:dyDescent="0.4">
      <c r="A17" s="55"/>
      <c r="B17" s="56"/>
      <c r="C17" s="56"/>
      <c r="D17" s="69">
        <v>2</v>
      </c>
      <c r="E17" s="70" t="s">
        <v>27</v>
      </c>
      <c r="F17" s="71"/>
      <c r="G17" s="72"/>
      <c r="H17" s="66"/>
      <c r="I17" s="67"/>
      <c r="J17" s="67">
        <v>0</v>
      </c>
      <c r="K17" s="233"/>
      <c r="L17" s="53" t="s">
        <v>21</v>
      </c>
      <c r="M17" s="53" t="s">
        <v>21</v>
      </c>
      <c r="N17" s="61"/>
    </row>
    <row r="18" spans="1:14" ht="21.75" customHeight="1" x14ac:dyDescent="0.4">
      <c r="A18" s="55"/>
      <c r="B18" s="56"/>
      <c r="C18" s="56"/>
      <c r="D18" s="73"/>
      <c r="E18" s="74" t="s">
        <v>28</v>
      </c>
      <c r="F18" s="75"/>
      <c r="G18" s="76"/>
      <c r="H18" s="66"/>
      <c r="I18" s="67"/>
      <c r="J18" s="67">
        <v>0</v>
      </c>
      <c r="K18" s="233"/>
      <c r="L18" s="53"/>
      <c r="M18" s="53"/>
      <c r="N18" s="61"/>
    </row>
    <row r="19" spans="1:14" ht="21.75" customHeight="1" x14ac:dyDescent="0.4">
      <c r="A19" s="55"/>
      <c r="B19" s="56"/>
      <c r="C19" s="56"/>
      <c r="D19" s="73"/>
      <c r="E19" s="74" t="s">
        <v>29</v>
      </c>
      <c r="F19" s="75"/>
      <c r="G19" s="76"/>
      <c r="H19" s="66"/>
      <c r="I19" s="67"/>
      <c r="J19" s="67">
        <v>0</v>
      </c>
      <c r="K19" s="233"/>
      <c r="L19" s="53"/>
      <c r="M19" s="53"/>
      <c r="N19" s="61"/>
    </row>
    <row r="20" spans="1:14" ht="21.75" customHeight="1" x14ac:dyDescent="0.4">
      <c r="A20" s="55"/>
      <c r="B20" s="56"/>
      <c r="C20" s="56"/>
      <c r="D20" s="73"/>
      <c r="E20" s="77"/>
      <c r="F20" s="74" t="s">
        <v>30</v>
      </c>
      <c r="G20" s="75"/>
      <c r="H20" s="78" t="s">
        <v>15</v>
      </c>
      <c r="I20" s="79">
        <f t="shared" ref="I20:J20" ca="1" si="5">+I22+I24+I26</f>
        <v>0</v>
      </c>
      <c r="J20" s="79">
        <f t="shared" si="5"/>
        <v>0</v>
      </c>
      <c r="K20" s="362">
        <f t="shared" ref="K20:K28" ca="1" si="6">IF(I20&gt;0,J20*100/I20,0)</f>
        <v>0</v>
      </c>
      <c r="L20" s="53"/>
      <c r="M20" s="53"/>
      <c r="N20" s="61"/>
    </row>
    <row r="21" spans="1:14" ht="21.75" customHeight="1" x14ac:dyDescent="0.4">
      <c r="A21" s="55"/>
      <c r="B21" s="56"/>
      <c r="C21" s="56"/>
      <c r="D21" s="73"/>
      <c r="E21" s="77"/>
      <c r="F21" s="75"/>
      <c r="G21" s="76"/>
      <c r="H21" s="78" t="s">
        <v>16</v>
      </c>
      <c r="I21" s="79">
        <f t="shared" ref="I21:J21" ca="1" si="7">+I23+I25+I27</f>
        <v>0</v>
      </c>
      <c r="J21" s="79">
        <f t="shared" si="7"/>
        <v>0</v>
      </c>
      <c r="K21" s="362">
        <f t="shared" ca="1" si="6"/>
        <v>0</v>
      </c>
      <c r="L21" s="53"/>
      <c r="M21" s="53"/>
      <c r="N21" s="61"/>
    </row>
    <row r="22" spans="1:14" ht="21.75" customHeight="1" x14ac:dyDescent="0.4">
      <c r="A22" s="55"/>
      <c r="B22" s="56"/>
      <c r="C22" s="56"/>
      <c r="D22" s="73"/>
      <c r="E22" s="77"/>
      <c r="F22" s="75"/>
      <c r="G22" s="75" t="s">
        <v>31</v>
      </c>
      <c r="H22" s="60" t="s">
        <v>15</v>
      </c>
      <c r="I22" s="48">
        <f ca="1">IFERROR(__xludf.DUMMYFUNCTION("IMPORTRANGE(""https://docs.google.com/spreadsheets/d/1C3CXT74ZlgGe6_JY_1olB1XN4rF0dxEuIIF-xsYjHgg/edit?usp=sharing"",""พรบ!H27"")"),0)</f>
        <v>0</v>
      </c>
      <c r="J22" s="67">
        <v>0</v>
      </c>
      <c r="K22" s="233">
        <f t="shared" ca="1" si="6"/>
        <v>0</v>
      </c>
      <c r="L22" s="53"/>
      <c r="M22" s="53"/>
      <c r="N22" s="61"/>
    </row>
    <row r="23" spans="1:14" ht="21.75" customHeight="1" x14ac:dyDescent="0.4">
      <c r="A23" s="55"/>
      <c r="B23" s="56"/>
      <c r="C23" s="56"/>
      <c r="D23" s="73"/>
      <c r="E23" s="77"/>
      <c r="F23" s="75"/>
      <c r="G23" s="76"/>
      <c r="H23" s="60" t="s">
        <v>16</v>
      </c>
      <c r="I23" s="48">
        <f ca="1">IFERROR(__xludf.DUMMYFUNCTION("IMPORTRANGE(""https://docs.google.com/spreadsheets/d/1C3CXT74ZlgGe6_JY_1olB1XN4rF0dxEuIIF-xsYjHgg/edit?usp=sharing"",""พรบ!I27"")"),0)</f>
        <v>0</v>
      </c>
      <c r="J23" s="67">
        <v>0</v>
      </c>
      <c r="K23" s="233">
        <f t="shared" ca="1" si="6"/>
        <v>0</v>
      </c>
      <c r="L23" s="53"/>
      <c r="M23" s="53"/>
      <c r="N23" s="61"/>
    </row>
    <row r="24" spans="1:14" ht="21.75" customHeight="1" x14ac:dyDescent="0.4">
      <c r="A24" s="55"/>
      <c r="B24" s="56"/>
      <c r="C24" s="56"/>
      <c r="D24" s="73"/>
      <c r="E24" s="77"/>
      <c r="F24" s="75"/>
      <c r="G24" s="75" t="s">
        <v>32</v>
      </c>
      <c r="H24" s="60" t="s">
        <v>15</v>
      </c>
      <c r="I24" s="48">
        <f ca="1">IFERROR(__xludf.DUMMYFUNCTION("IMPORTRANGE(""https://docs.google.com/spreadsheets/d/1C3CXT74ZlgGe6_JY_1olB1XN4rF0dxEuIIF-xsYjHgg/edit?usp=sharing"",""พรบ!J27"")"),0)</f>
        <v>0</v>
      </c>
      <c r="J24" s="67">
        <v>0</v>
      </c>
      <c r="K24" s="233">
        <f t="shared" ca="1" si="6"/>
        <v>0</v>
      </c>
      <c r="L24" s="53"/>
      <c r="M24" s="53"/>
      <c r="N24" s="61"/>
    </row>
    <row r="25" spans="1:14" ht="21.75" customHeight="1" x14ac:dyDescent="0.4">
      <c r="A25" s="55"/>
      <c r="B25" s="56"/>
      <c r="C25" s="56"/>
      <c r="D25" s="73"/>
      <c r="E25" s="77"/>
      <c r="F25" s="75"/>
      <c r="G25" s="76"/>
      <c r="H25" s="60" t="s">
        <v>16</v>
      </c>
      <c r="I25" s="48">
        <f ca="1">IFERROR(__xludf.DUMMYFUNCTION("IMPORTRANGE(""https://docs.google.com/spreadsheets/d/1C3CXT74ZlgGe6_JY_1olB1XN4rF0dxEuIIF-xsYjHgg/edit?usp=sharing"",""พรบ!K27"")"),0)</f>
        <v>0</v>
      </c>
      <c r="J25" s="67">
        <v>0</v>
      </c>
      <c r="K25" s="233">
        <f t="shared" ca="1" si="6"/>
        <v>0</v>
      </c>
      <c r="L25" s="53"/>
      <c r="M25" s="53"/>
      <c r="N25" s="61"/>
    </row>
    <row r="26" spans="1:14" ht="21.75" customHeight="1" x14ac:dyDescent="0.4">
      <c r="A26" s="55"/>
      <c r="B26" s="56"/>
      <c r="C26" s="56"/>
      <c r="D26" s="73"/>
      <c r="E26" s="77"/>
      <c r="F26" s="75"/>
      <c r="G26" s="75" t="s">
        <v>33</v>
      </c>
      <c r="H26" s="60" t="s">
        <v>15</v>
      </c>
      <c r="I26" s="48">
        <f ca="1">IFERROR(__xludf.DUMMYFUNCTION("IMPORTRANGE(""https://docs.google.com/spreadsheets/d/1C3CXT74ZlgGe6_JY_1olB1XN4rF0dxEuIIF-xsYjHgg/edit?usp=sharing"",""พรบ!L27"")"),0)</f>
        <v>0</v>
      </c>
      <c r="J26" s="67">
        <v>0</v>
      </c>
      <c r="K26" s="233">
        <f t="shared" ca="1" si="6"/>
        <v>0</v>
      </c>
      <c r="L26" s="53"/>
      <c r="M26" s="53"/>
      <c r="N26" s="61"/>
    </row>
    <row r="27" spans="1:14" ht="21.75" customHeight="1" x14ac:dyDescent="0.4">
      <c r="A27" s="55"/>
      <c r="B27" s="56"/>
      <c r="C27" s="56"/>
      <c r="D27" s="73"/>
      <c r="E27" s="77"/>
      <c r="F27" s="75"/>
      <c r="G27" s="76"/>
      <c r="H27" s="60" t="s">
        <v>16</v>
      </c>
      <c r="I27" s="48">
        <f ca="1">IFERROR(__xludf.DUMMYFUNCTION("IMPORTRANGE(""https://docs.google.com/spreadsheets/d/1C3CXT74ZlgGe6_JY_1olB1XN4rF0dxEuIIF-xsYjHgg/edit?usp=sharing"",""พรบ!M27"")"),0)</f>
        <v>0</v>
      </c>
      <c r="J27" s="67">
        <v>0</v>
      </c>
      <c r="K27" s="233">
        <f t="shared" ca="1" si="6"/>
        <v>0</v>
      </c>
      <c r="L27" s="53"/>
      <c r="M27" s="53"/>
      <c r="N27" s="61"/>
    </row>
    <row r="28" spans="1:14" ht="21.75" customHeight="1" x14ac:dyDescent="0.4">
      <c r="A28" s="55"/>
      <c r="B28" s="56"/>
      <c r="C28" s="56"/>
      <c r="D28" s="73"/>
      <c r="E28" s="77"/>
      <c r="F28" s="74" t="s">
        <v>34</v>
      </c>
      <c r="G28" s="75"/>
      <c r="H28" s="60" t="s">
        <v>16</v>
      </c>
      <c r="I28" s="48">
        <f ca="1">IFERROR(__xludf.DUMMYFUNCTION("IMPORTRANGE(""https://docs.google.com/spreadsheets/d/1C3CXT74ZlgGe6_JY_1olB1XN4rF0dxEuIIF-xsYjHgg/edit?usp=sharing"",""พรบ!N27"")"),0)</f>
        <v>0</v>
      </c>
      <c r="J28" s="67">
        <v>0</v>
      </c>
      <c r="K28" s="233">
        <f t="shared" ca="1" si="6"/>
        <v>0</v>
      </c>
      <c r="L28" s="53"/>
      <c r="M28" s="53"/>
      <c r="N28" s="61"/>
    </row>
    <row r="29" spans="1:14" ht="21.75" customHeight="1" x14ac:dyDescent="0.4">
      <c r="A29" s="55"/>
      <c r="B29" s="56"/>
      <c r="C29" s="56"/>
      <c r="D29" s="73"/>
      <c r="E29" s="74" t="s">
        <v>35</v>
      </c>
      <c r="F29" s="75"/>
      <c r="G29" s="76"/>
      <c r="H29" s="66"/>
      <c r="I29" s="67"/>
      <c r="J29" s="67">
        <v>0</v>
      </c>
      <c r="K29" s="233"/>
      <c r="L29" s="53"/>
      <c r="M29" s="53"/>
      <c r="N29" s="61"/>
    </row>
    <row r="30" spans="1:14" ht="21.75" customHeight="1" x14ac:dyDescent="0.4">
      <c r="A30" s="55"/>
      <c r="B30" s="56"/>
      <c r="C30" s="56"/>
      <c r="D30" s="81">
        <v>3</v>
      </c>
      <c r="E30" s="82" t="s">
        <v>36</v>
      </c>
      <c r="F30" s="83"/>
      <c r="G30" s="84"/>
      <c r="H30" s="66"/>
      <c r="I30" s="67"/>
      <c r="J30" s="360">
        <v>0</v>
      </c>
      <c r="K30" s="233"/>
      <c r="L30" s="53"/>
      <c r="M30" s="53"/>
      <c r="N30" s="61"/>
    </row>
    <row r="31" spans="1:14" ht="21.75" customHeight="1" x14ac:dyDescent="0.4">
      <c r="A31" s="86" t="s">
        <v>37</v>
      </c>
      <c r="B31" s="87"/>
      <c r="C31" s="88"/>
      <c r="D31" s="87"/>
      <c r="E31" s="89"/>
      <c r="F31" s="89"/>
      <c r="G31" s="90"/>
      <c r="H31" s="91"/>
      <c r="I31" s="92"/>
      <c r="J31" s="92"/>
      <c r="K31" s="93"/>
      <c r="L31" s="94"/>
      <c r="M31" s="94"/>
      <c r="N31" s="95"/>
    </row>
    <row r="32" spans="1:14" ht="21.75" customHeight="1" x14ac:dyDescent="0.4">
      <c r="A32" s="34"/>
      <c r="B32" s="35" t="s">
        <v>38</v>
      </c>
      <c r="C32" s="35"/>
      <c r="D32" s="36"/>
      <c r="E32" s="35"/>
      <c r="F32" s="35"/>
      <c r="G32" s="96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41">
        <f t="shared" ref="K32:K33" ca="1" si="9">IF(I32&gt;0,J32*100/I32,0)</f>
        <v>0</v>
      </c>
      <c r="L32" s="97">
        <f ca="1">L34+L35</f>
        <v>0</v>
      </c>
      <c r="M32" s="97">
        <f>SUM(M34:M35)</f>
        <v>0</v>
      </c>
      <c r="N32" s="41">
        <f ca="1">IF(L32&gt;0,M32*100/L32,0)</f>
        <v>0</v>
      </c>
    </row>
    <row r="33" spans="1:14" ht="21.75" customHeight="1" x14ac:dyDescent="0.4">
      <c r="A33" s="34"/>
      <c r="B33" s="35"/>
      <c r="C33" s="35"/>
      <c r="D33" s="36" t="s">
        <v>39</v>
      </c>
      <c r="E33" s="35"/>
      <c r="F33" s="35"/>
      <c r="G33" s="96"/>
      <c r="H33" s="37" t="s">
        <v>40</v>
      </c>
      <c r="I33" s="38">
        <f ca="1">I48</f>
        <v>0</v>
      </c>
      <c r="J33" s="38">
        <f>+J48</f>
        <v>0</v>
      </c>
      <c r="K33" s="41">
        <f t="shared" ca="1" si="9"/>
        <v>0</v>
      </c>
      <c r="L33" s="97"/>
      <c r="M33" s="97"/>
      <c r="N33" s="41"/>
    </row>
    <row r="34" spans="1:14" ht="21.75" customHeight="1" x14ac:dyDescent="0.4">
      <c r="A34" s="42"/>
      <c r="B34" s="43"/>
      <c r="C34" s="43" t="s">
        <v>17</v>
      </c>
      <c r="D34" s="44" t="s">
        <v>18</v>
      </c>
      <c r="E34" s="45"/>
      <c r="F34" s="45"/>
      <c r="G34" s="46" t="s">
        <v>19</v>
      </c>
      <c r="H34" s="47" t="s">
        <v>20</v>
      </c>
      <c r="I34" s="48" t="s">
        <v>21</v>
      </c>
      <c r="J34" s="48"/>
      <c r="K34" s="49"/>
      <c r="L34" s="53">
        <v>0</v>
      </c>
      <c r="M34" s="50">
        <v>0</v>
      </c>
      <c r="N34" s="50">
        <f t="shared" ref="N34:N37" si="10">+IF(L34&gt;0,M34*100/L34,0)</f>
        <v>0</v>
      </c>
    </row>
    <row r="35" spans="1:14" ht="21.75" customHeight="1" x14ac:dyDescent="0.4">
      <c r="A35" s="42"/>
      <c r="B35" s="43"/>
      <c r="C35" s="43"/>
      <c r="D35" s="51"/>
      <c r="E35" s="45"/>
      <c r="F35" s="45" t="s">
        <v>21</v>
      </c>
      <c r="G35" s="46" t="s">
        <v>22</v>
      </c>
      <c r="H35" s="47" t="s">
        <v>20</v>
      </c>
      <c r="I35" s="48"/>
      <c r="J35" s="48"/>
      <c r="K35" s="49"/>
      <c r="L35" s="53">
        <f ca="1">IFERROR(__xludf.DUMMYFUNCTION("IMPORTRANGE(""https://docs.google.com/spreadsheets/d/1C3CXT74ZlgGe6_JY_1olB1XN4rF0dxEuIIF-xsYjHgg/edit?usp=sharing"",""พรบ!O27"")"),0)</f>
        <v>0</v>
      </c>
      <c r="M35" s="50">
        <f>SUM(M36:M37)</f>
        <v>0</v>
      </c>
      <c r="N35" s="50">
        <f t="shared" ca="1" si="10"/>
        <v>0</v>
      </c>
    </row>
    <row r="36" spans="1:14" ht="21.75" customHeight="1" x14ac:dyDescent="0.4">
      <c r="A36" s="42"/>
      <c r="B36" s="43"/>
      <c r="C36" s="43"/>
      <c r="D36" s="51"/>
      <c r="E36" s="45"/>
      <c r="F36" s="45"/>
      <c r="G36" s="52" t="s">
        <v>23</v>
      </c>
      <c r="H36" s="47" t="s">
        <v>20</v>
      </c>
      <c r="I36" s="48"/>
      <c r="J36" s="48"/>
      <c r="K36" s="49"/>
      <c r="L36" s="53">
        <f ca="1">IFERROR(__xludf.DUMMYFUNCTION("IMPORTRANGE(""https://docs.google.com/spreadsheets/d/1C3CXT74ZlgGe6_JY_1olB1XN4rF0dxEuIIF-xsYjHgg/edit?usp=sharing"",""พรบ!P27"")"),0)</f>
        <v>0</v>
      </c>
      <c r="M36" s="53">
        <v>0</v>
      </c>
      <c r="N36" s="53">
        <f t="shared" ca="1" si="10"/>
        <v>0</v>
      </c>
    </row>
    <row r="37" spans="1:14" ht="21.75" customHeight="1" x14ac:dyDescent="0.4">
      <c r="A37" s="42"/>
      <c r="B37" s="43"/>
      <c r="C37" s="43"/>
      <c r="D37" s="51"/>
      <c r="E37" s="45"/>
      <c r="F37" s="45"/>
      <c r="G37" s="52" t="s">
        <v>24</v>
      </c>
      <c r="H37" s="47" t="s">
        <v>20</v>
      </c>
      <c r="I37" s="48"/>
      <c r="J37" s="67"/>
      <c r="K37" s="233"/>
      <c r="L37" s="53">
        <f ca="1">IFERROR(__xludf.DUMMYFUNCTION("IMPORTRANGE(""https://docs.google.com/spreadsheets/d/1C3CXT74ZlgGe6_JY_1olB1XN4rF0dxEuIIF-xsYjHgg/edit?usp=sharing"",""พรบ!Q27"")"),0)</f>
        <v>0</v>
      </c>
      <c r="M37" s="53">
        <v>0</v>
      </c>
      <c r="N37" s="53">
        <f t="shared" ca="1" si="10"/>
        <v>0</v>
      </c>
    </row>
    <row r="38" spans="1:14" ht="21.75" customHeight="1" x14ac:dyDescent="0.4">
      <c r="A38" s="55"/>
      <c r="B38" s="56"/>
      <c r="C38" s="43" t="s">
        <v>17</v>
      </c>
      <c r="D38" s="57" t="s">
        <v>25</v>
      </c>
      <c r="E38" s="58"/>
      <c r="F38" s="58"/>
      <c r="G38" s="59"/>
      <c r="H38" s="60"/>
      <c r="I38" s="48"/>
      <c r="J38" s="67"/>
      <c r="K38" s="233"/>
      <c r="L38" s="53"/>
      <c r="M38" s="53"/>
      <c r="N38" s="61"/>
    </row>
    <row r="39" spans="1:14" ht="21.75" customHeight="1" x14ac:dyDescent="0.4">
      <c r="A39" s="55"/>
      <c r="B39" s="56"/>
      <c r="C39" s="56"/>
      <c r="D39" s="62">
        <v>1</v>
      </c>
      <c r="E39" s="63" t="s">
        <v>26</v>
      </c>
      <c r="F39" s="64"/>
      <c r="G39" s="65"/>
      <c r="H39" s="66"/>
      <c r="I39" s="67"/>
      <c r="J39" s="67">
        <v>0</v>
      </c>
      <c r="K39" s="233"/>
      <c r="L39" s="53"/>
      <c r="M39" s="53"/>
      <c r="N39" s="61"/>
    </row>
    <row r="40" spans="1:14" ht="21.75" customHeight="1" x14ac:dyDescent="0.4">
      <c r="A40" s="55"/>
      <c r="B40" s="56"/>
      <c r="C40" s="56"/>
      <c r="D40" s="69">
        <v>2</v>
      </c>
      <c r="E40" s="70" t="s">
        <v>27</v>
      </c>
      <c r="F40" s="71"/>
      <c r="G40" s="72"/>
      <c r="H40" s="66"/>
      <c r="I40" s="67"/>
      <c r="J40" s="67">
        <v>0</v>
      </c>
      <c r="K40" s="233"/>
      <c r="L40" s="53" t="s">
        <v>21</v>
      </c>
      <c r="M40" s="53" t="s">
        <v>21</v>
      </c>
      <c r="N40" s="61"/>
    </row>
    <row r="41" spans="1:14" ht="21.75" customHeight="1" x14ac:dyDescent="0.4">
      <c r="A41" s="55"/>
      <c r="B41" s="56"/>
      <c r="C41" s="56"/>
      <c r="D41" s="73"/>
      <c r="E41" s="74" t="s">
        <v>28</v>
      </c>
      <c r="F41" s="75"/>
      <c r="G41" s="76"/>
      <c r="H41" s="66"/>
      <c r="I41" s="67"/>
      <c r="J41" s="67">
        <v>0</v>
      </c>
      <c r="K41" s="233"/>
      <c r="L41" s="53"/>
      <c r="M41" s="53"/>
      <c r="N41" s="61"/>
    </row>
    <row r="42" spans="1:14" ht="21.75" customHeight="1" x14ac:dyDescent="0.4">
      <c r="A42" s="55"/>
      <c r="B42" s="56"/>
      <c r="C42" s="56"/>
      <c r="D42" s="73"/>
      <c r="E42" s="74" t="s">
        <v>29</v>
      </c>
      <c r="F42" s="75"/>
      <c r="G42" s="76"/>
      <c r="H42" s="66"/>
      <c r="I42" s="67"/>
      <c r="J42" s="67">
        <v>0</v>
      </c>
      <c r="K42" s="233"/>
      <c r="L42" s="53"/>
      <c r="M42" s="53"/>
      <c r="N42" s="61"/>
    </row>
    <row r="43" spans="1:14" ht="21.75" customHeight="1" x14ac:dyDescent="0.4">
      <c r="A43" s="55"/>
      <c r="B43" s="56"/>
      <c r="C43" s="56"/>
      <c r="D43" s="73"/>
      <c r="E43" s="75"/>
      <c r="F43" s="75" t="s">
        <v>41</v>
      </c>
      <c r="G43" s="75"/>
      <c r="H43" s="60" t="s">
        <v>42</v>
      </c>
      <c r="I43" s="48">
        <f ca="1">IFERROR(__xludf.DUMMYFUNCTION("IMPORTRANGE(""https://docs.google.com/spreadsheets/d/1C3CXT74ZlgGe6_JY_1olB1XN4rF0dxEuIIF-xsYjHgg/edit?usp=sharing"",""พรบ!R27"")"),0)</f>
        <v>0</v>
      </c>
      <c r="J43" s="67">
        <v>0</v>
      </c>
      <c r="K43" s="233">
        <f t="shared" ref="K43:K48" ca="1" si="11">IF(I43&gt;0,J43*100/I43,0)</f>
        <v>0</v>
      </c>
      <c r="L43" s="53"/>
      <c r="M43" s="53"/>
      <c r="N43" s="61"/>
    </row>
    <row r="44" spans="1:14" ht="21.75" customHeight="1" x14ac:dyDescent="0.4">
      <c r="A44" s="55"/>
      <c r="B44" s="56"/>
      <c r="C44" s="56"/>
      <c r="D44" s="73"/>
      <c r="E44" s="77"/>
      <c r="F44" s="74" t="s">
        <v>43</v>
      </c>
      <c r="G44" s="75"/>
      <c r="H44" s="60" t="s">
        <v>16</v>
      </c>
      <c r="I44" s="48">
        <f ca="1">IFERROR(__xludf.DUMMYFUNCTION("IMPORTRANGE(""https://docs.google.com/spreadsheets/d/1C3CXT74ZlgGe6_JY_1olB1XN4rF0dxEuIIF-xsYjHgg/edit?usp=sharing"",""พรบ!S27"")"),0)</f>
        <v>0</v>
      </c>
      <c r="J44" s="67">
        <v>0</v>
      </c>
      <c r="K44" s="233">
        <f t="shared" ca="1" si="11"/>
        <v>0</v>
      </c>
      <c r="L44" s="53"/>
      <c r="M44" s="53"/>
      <c r="N44" s="61"/>
    </row>
    <row r="45" spans="1:14" ht="21.75" customHeight="1" x14ac:dyDescent="0.4">
      <c r="A45" s="55"/>
      <c r="B45" s="56"/>
      <c r="C45" s="56"/>
      <c r="D45" s="73"/>
      <c r="E45" s="77"/>
      <c r="F45" s="75"/>
      <c r="G45" s="98" t="s">
        <v>44</v>
      </c>
      <c r="H45" s="60" t="s">
        <v>16</v>
      </c>
      <c r="I45" s="48">
        <f ca="1">IFERROR(__xludf.DUMMYFUNCTION("IMPORTRANGE(""https://docs.google.com/spreadsheets/d/1C3CXT74ZlgGe6_JY_1olB1XN4rF0dxEuIIF-xsYjHgg/edit?usp=sharing"",""พรบ!T27"")"),0)</f>
        <v>0</v>
      </c>
      <c r="J45" s="67">
        <v>0</v>
      </c>
      <c r="K45" s="233">
        <f t="shared" ca="1" si="11"/>
        <v>0</v>
      </c>
      <c r="L45" s="53"/>
      <c r="M45" s="53"/>
      <c r="N45" s="61"/>
    </row>
    <row r="46" spans="1:14" ht="21.75" customHeight="1" x14ac:dyDescent="0.4">
      <c r="A46" s="55"/>
      <c r="B46" s="56"/>
      <c r="C46" s="56"/>
      <c r="D46" s="73"/>
      <c r="E46" s="77"/>
      <c r="F46" s="75"/>
      <c r="G46" s="98" t="s">
        <v>45</v>
      </c>
      <c r="H46" s="60" t="s">
        <v>16</v>
      </c>
      <c r="I46" s="48">
        <f ca="1">IFERROR(__xludf.DUMMYFUNCTION("IMPORTRANGE(""https://docs.google.com/spreadsheets/d/1C3CXT74ZlgGe6_JY_1olB1XN4rF0dxEuIIF-xsYjHgg/edit?usp=sharing"",""พรบ!U27"")"),0)</f>
        <v>0</v>
      </c>
      <c r="J46" s="67">
        <v>0</v>
      </c>
      <c r="K46" s="233">
        <f t="shared" ca="1" si="11"/>
        <v>0</v>
      </c>
      <c r="L46" s="53"/>
      <c r="M46" s="53"/>
      <c r="N46" s="61"/>
    </row>
    <row r="47" spans="1:14" ht="21.75" customHeight="1" x14ac:dyDescent="0.4">
      <c r="A47" s="55"/>
      <c r="B47" s="56"/>
      <c r="C47" s="56"/>
      <c r="D47" s="73"/>
      <c r="E47" s="77"/>
      <c r="F47" s="75"/>
      <c r="G47" s="99" t="s">
        <v>46</v>
      </c>
      <c r="H47" s="60" t="s">
        <v>16</v>
      </c>
      <c r="I47" s="48">
        <f ca="1">IFERROR(__xludf.DUMMYFUNCTION("IMPORTRANGE(""https://docs.google.com/spreadsheets/d/1C3CXT74ZlgGe6_JY_1olB1XN4rF0dxEuIIF-xsYjHgg/edit?usp=sharing"",""พรบ!V27"")"),0)</f>
        <v>0</v>
      </c>
      <c r="J47" s="67">
        <v>0</v>
      </c>
      <c r="K47" s="233">
        <f t="shared" ca="1" si="11"/>
        <v>0</v>
      </c>
      <c r="L47" s="53"/>
      <c r="M47" s="53"/>
      <c r="N47" s="61"/>
    </row>
    <row r="48" spans="1:14" ht="21.75" customHeight="1" x14ac:dyDescent="0.4">
      <c r="A48" s="55"/>
      <c r="B48" s="56"/>
      <c r="C48" s="56"/>
      <c r="D48" s="73"/>
      <c r="E48" s="77"/>
      <c r="F48" s="75" t="s">
        <v>47</v>
      </c>
      <c r="G48" s="75"/>
      <c r="H48" s="60" t="s">
        <v>40</v>
      </c>
      <c r="I48" s="48">
        <f ca="1">IFERROR(__xludf.DUMMYFUNCTION("IMPORTRANGE(""https://docs.google.com/spreadsheets/d/1C3CXT74ZlgGe6_JY_1olB1XN4rF0dxEuIIF-xsYjHgg/edit?usp=sharing"",""พรบ!W27"")"),0)</f>
        <v>0</v>
      </c>
      <c r="J48" s="67">
        <v>0</v>
      </c>
      <c r="K48" s="233">
        <f t="shared" ca="1" si="11"/>
        <v>0</v>
      </c>
      <c r="L48" s="53"/>
      <c r="M48" s="53"/>
      <c r="N48" s="61"/>
    </row>
    <row r="49" spans="1:14" ht="21.75" customHeight="1" x14ac:dyDescent="0.4">
      <c r="A49" s="55"/>
      <c r="B49" s="56"/>
      <c r="C49" s="56"/>
      <c r="D49" s="73"/>
      <c r="E49" s="74" t="s">
        <v>35</v>
      </c>
      <c r="F49" s="75"/>
      <c r="G49" s="76"/>
      <c r="H49" s="66"/>
      <c r="I49" s="67"/>
      <c r="J49" s="67">
        <v>0</v>
      </c>
      <c r="K49" s="233"/>
      <c r="L49" s="53"/>
      <c r="M49" s="53"/>
      <c r="N49" s="61"/>
    </row>
    <row r="50" spans="1:14" ht="21.75" customHeight="1" x14ac:dyDescent="0.4">
      <c r="A50" s="55"/>
      <c r="B50" s="56"/>
      <c r="C50" s="56"/>
      <c r="D50" s="81">
        <v>3</v>
      </c>
      <c r="E50" s="82" t="s">
        <v>36</v>
      </c>
      <c r="F50" s="83"/>
      <c r="G50" s="84"/>
      <c r="H50" s="66"/>
      <c r="I50" s="67"/>
      <c r="J50" s="360">
        <v>0</v>
      </c>
      <c r="K50" s="233"/>
      <c r="L50" s="53"/>
      <c r="M50" s="53"/>
      <c r="N50" s="61"/>
    </row>
    <row r="51" spans="1:14" ht="21.75" customHeight="1" x14ac:dyDescent="0.4">
      <c r="A51" s="86" t="s">
        <v>48</v>
      </c>
      <c r="B51" s="100"/>
      <c r="C51" s="101"/>
      <c r="D51" s="100"/>
      <c r="E51" s="102"/>
      <c r="F51" s="102"/>
      <c r="G51" s="103"/>
      <c r="H51" s="91"/>
      <c r="I51" s="92"/>
      <c r="J51" s="92"/>
      <c r="K51" s="93"/>
      <c r="L51" s="94"/>
      <c r="M51" s="94"/>
      <c r="N51" s="95"/>
    </row>
    <row r="52" spans="1:14" ht="21.75" customHeight="1" x14ac:dyDescent="0.4">
      <c r="A52" s="34"/>
      <c r="B52" s="35" t="s">
        <v>49</v>
      </c>
      <c r="C52" s="104"/>
      <c r="D52" s="36"/>
      <c r="E52" s="35"/>
      <c r="F52" s="35"/>
      <c r="G52" s="96"/>
      <c r="H52" s="37" t="s">
        <v>16</v>
      </c>
      <c r="I52" s="38">
        <f ca="1">I62</f>
        <v>0</v>
      </c>
      <c r="J52" s="38">
        <f>+J62</f>
        <v>0</v>
      </c>
      <c r="K52" s="41">
        <f ca="1">IF(I52&gt;0,J52*100/I52,0)</f>
        <v>0</v>
      </c>
      <c r="L52" s="40">
        <f ca="1">L53+L54</f>
        <v>0</v>
      </c>
      <c r="M52" s="40">
        <f>SUM(M53:M54)</f>
        <v>0</v>
      </c>
      <c r="N52" s="41">
        <f ca="1">IF(L52&gt;0,M52*100/L52,0)</f>
        <v>0</v>
      </c>
    </row>
    <row r="53" spans="1:14" ht="21.75" customHeight="1" x14ac:dyDescent="0.4">
      <c r="A53" s="42"/>
      <c r="B53" s="43"/>
      <c r="C53" s="43" t="s">
        <v>17</v>
      </c>
      <c r="D53" s="44" t="s">
        <v>18</v>
      </c>
      <c r="E53" s="45"/>
      <c r="F53" s="45"/>
      <c r="G53" s="46" t="s">
        <v>19</v>
      </c>
      <c r="H53" s="47" t="s">
        <v>20</v>
      </c>
      <c r="I53" s="48" t="s">
        <v>21</v>
      </c>
      <c r="J53" s="48"/>
      <c r="K53" s="49"/>
      <c r="L53" s="50">
        <v>0</v>
      </c>
      <c r="M53" s="50">
        <v>0</v>
      </c>
      <c r="N53" s="50">
        <f t="shared" ref="N53:N56" si="12">+IF(L53&gt;0,M53*100/L53,0)</f>
        <v>0</v>
      </c>
    </row>
    <row r="54" spans="1:14" ht="21.75" customHeight="1" x14ac:dyDescent="0.4">
      <c r="A54" s="42"/>
      <c r="B54" s="43"/>
      <c r="C54" s="43"/>
      <c r="D54" s="51"/>
      <c r="E54" s="45"/>
      <c r="F54" s="45" t="s">
        <v>21</v>
      </c>
      <c r="G54" s="46" t="s">
        <v>22</v>
      </c>
      <c r="H54" s="47" t="s">
        <v>20</v>
      </c>
      <c r="I54" s="48"/>
      <c r="J54" s="48"/>
      <c r="K54" s="49"/>
      <c r="L54" s="50">
        <f t="shared" ref="L54:M54" ca="1" si="13">SUM(L55:L56)</f>
        <v>0</v>
      </c>
      <c r="M54" s="50">
        <f t="shared" si="13"/>
        <v>0</v>
      </c>
      <c r="N54" s="50">
        <f t="shared" ca="1" si="12"/>
        <v>0</v>
      </c>
    </row>
    <row r="55" spans="1:14" ht="21.75" customHeight="1" x14ac:dyDescent="0.4">
      <c r="A55" s="42"/>
      <c r="B55" s="43"/>
      <c r="C55" s="43"/>
      <c r="D55" s="51"/>
      <c r="E55" s="45"/>
      <c r="F55" s="45"/>
      <c r="G55" s="52" t="s">
        <v>23</v>
      </c>
      <c r="H55" s="47" t="s">
        <v>20</v>
      </c>
      <c r="I55" s="48"/>
      <c r="J55" s="48"/>
      <c r="K55" s="49"/>
      <c r="L55" s="53">
        <f ca="1">IFERROR(__xludf.DUMMYFUNCTION("IMPORTRANGE(""https://docs.google.com/spreadsheets/d/1C3CXT74ZlgGe6_JY_1olB1XN4rF0dxEuIIF-xsYjHgg/edit?usp=sharing"",""พรบ!Y27"")"),0)</f>
        <v>0</v>
      </c>
      <c r="M55" s="53">
        <v>0</v>
      </c>
      <c r="N55" s="53">
        <f t="shared" ca="1" si="12"/>
        <v>0</v>
      </c>
    </row>
    <row r="56" spans="1:14" ht="21.75" customHeight="1" x14ac:dyDescent="0.4">
      <c r="A56" s="42"/>
      <c r="B56" s="43"/>
      <c r="C56" s="43"/>
      <c r="D56" s="51"/>
      <c r="E56" s="45"/>
      <c r="F56" s="45"/>
      <c r="G56" s="52" t="s">
        <v>24</v>
      </c>
      <c r="H56" s="47" t="s">
        <v>20</v>
      </c>
      <c r="I56" s="48"/>
      <c r="J56" s="67"/>
      <c r="K56" s="233"/>
      <c r="L56" s="53">
        <f ca="1">IFERROR(__xludf.DUMMYFUNCTION("IMPORTRANGE(""https://docs.google.com/spreadsheets/d/1C3CXT74ZlgGe6_JY_1olB1XN4rF0dxEuIIF-xsYjHgg/edit?usp=sharing"",""พรบ!Z27"")"),0)</f>
        <v>0</v>
      </c>
      <c r="M56" s="53">
        <v>0</v>
      </c>
      <c r="N56" s="53">
        <f t="shared" ca="1" si="12"/>
        <v>0</v>
      </c>
    </row>
    <row r="57" spans="1:14" ht="21.75" customHeight="1" x14ac:dyDescent="0.4">
      <c r="A57" s="55"/>
      <c r="B57" s="56"/>
      <c r="C57" s="43" t="s">
        <v>17</v>
      </c>
      <c r="D57" s="57" t="s">
        <v>250</v>
      </c>
      <c r="E57" s="58"/>
      <c r="F57" s="58"/>
      <c r="G57" s="59"/>
      <c r="H57" s="60"/>
      <c r="I57" s="48"/>
      <c r="J57" s="67"/>
      <c r="K57" s="233"/>
      <c r="L57" s="53"/>
      <c r="M57" s="53"/>
      <c r="N57" s="61"/>
    </row>
    <row r="58" spans="1:14" ht="21.75" customHeight="1" x14ac:dyDescent="0.4">
      <c r="A58" s="55"/>
      <c r="B58" s="56"/>
      <c r="C58" s="56"/>
      <c r="D58" s="62">
        <v>1</v>
      </c>
      <c r="E58" s="63" t="s">
        <v>26</v>
      </c>
      <c r="F58" s="64"/>
      <c r="G58" s="65"/>
      <c r="H58" s="66"/>
      <c r="I58" s="67"/>
      <c r="J58" s="67">
        <v>0</v>
      </c>
      <c r="K58" s="233"/>
      <c r="L58" s="53"/>
      <c r="M58" s="53"/>
      <c r="N58" s="61"/>
    </row>
    <row r="59" spans="1:14" ht="21.75" customHeight="1" x14ac:dyDescent="0.4">
      <c r="A59" s="55"/>
      <c r="B59" s="56"/>
      <c r="C59" s="56"/>
      <c r="D59" s="69">
        <v>2</v>
      </c>
      <c r="E59" s="70" t="s">
        <v>27</v>
      </c>
      <c r="F59" s="71"/>
      <c r="G59" s="72"/>
      <c r="H59" s="66"/>
      <c r="I59" s="67"/>
      <c r="J59" s="67">
        <v>0</v>
      </c>
      <c r="K59" s="233"/>
      <c r="L59" s="53" t="s">
        <v>21</v>
      </c>
      <c r="M59" s="53" t="s">
        <v>21</v>
      </c>
      <c r="N59" s="61"/>
    </row>
    <row r="60" spans="1:14" ht="21.75" customHeight="1" x14ac:dyDescent="0.4">
      <c r="A60" s="55"/>
      <c r="B60" s="56"/>
      <c r="C60" s="56"/>
      <c r="D60" s="73"/>
      <c r="E60" s="74" t="s">
        <v>28</v>
      </c>
      <c r="F60" s="75"/>
      <c r="G60" s="76"/>
      <c r="H60" s="66"/>
      <c r="I60" s="67"/>
      <c r="J60" s="67">
        <v>0</v>
      </c>
      <c r="K60" s="233"/>
      <c r="L60" s="53"/>
      <c r="M60" s="53"/>
      <c r="N60" s="61"/>
    </row>
    <row r="61" spans="1:14" ht="21.75" customHeight="1" x14ac:dyDescent="0.4">
      <c r="A61" s="55"/>
      <c r="B61" s="56"/>
      <c r="C61" s="56"/>
      <c r="D61" s="73"/>
      <c r="E61" s="74" t="s">
        <v>29</v>
      </c>
      <c r="F61" s="75"/>
      <c r="G61" s="76"/>
      <c r="H61" s="66"/>
      <c r="I61" s="67"/>
      <c r="J61" s="67">
        <v>0</v>
      </c>
      <c r="K61" s="233"/>
      <c r="L61" s="53"/>
      <c r="M61" s="53"/>
      <c r="N61" s="61"/>
    </row>
    <row r="62" spans="1:14" ht="21.75" customHeight="1" x14ac:dyDescent="0.4">
      <c r="A62" s="55"/>
      <c r="B62" s="56"/>
      <c r="C62" s="56"/>
      <c r="D62" s="73"/>
      <c r="E62" s="77"/>
      <c r="F62" s="74" t="s">
        <v>50</v>
      </c>
      <c r="G62" s="76"/>
      <c r="H62" s="60" t="s">
        <v>16</v>
      </c>
      <c r="I62" s="67">
        <f ca="1">IFERROR(__xludf.DUMMYFUNCTION("IMPORTRANGE(""https://docs.google.com/spreadsheets/d/1C3CXT74ZlgGe6_JY_1olB1XN4rF0dxEuIIF-xsYjHgg/edit?usp=sharing"",""พรบ!AA27"")"),0)</f>
        <v>0</v>
      </c>
      <c r="J62" s="67">
        <v>0</v>
      </c>
      <c r="K62" s="233">
        <f t="shared" ref="K62:K63" ca="1" si="14">IF(I62&gt;0,J62*100/I62,0)</f>
        <v>0</v>
      </c>
      <c r="L62" s="53"/>
      <c r="M62" s="53"/>
      <c r="N62" s="61"/>
    </row>
    <row r="63" spans="1:14" ht="21.75" customHeight="1" x14ac:dyDescent="0.4">
      <c r="A63" s="55"/>
      <c r="B63" s="56"/>
      <c r="C63" s="56"/>
      <c r="D63" s="73"/>
      <c r="E63" s="77"/>
      <c r="F63" s="74" t="s">
        <v>51</v>
      </c>
      <c r="G63" s="76"/>
      <c r="H63" s="60" t="s">
        <v>16</v>
      </c>
      <c r="I63" s="67">
        <f ca="1">I62</f>
        <v>0</v>
      </c>
      <c r="J63" s="67">
        <v>0</v>
      </c>
      <c r="K63" s="233">
        <f t="shared" ca="1" si="14"/>
        <v>0</v>
      </c>
      <c r="L63" s="53"/>
      <c r="M63" s="53"/>
      <c r="N63" s="61"/>
    </row>
    <row r="64" spans="1:14" ht="21.75" customHeight="1" x14ac:dyDescent="0.4">
      <c r="A64" s="55"/>
      <c r="B64" s="56"/>
      <c r="C64" s="56"/>
      <c r="D64" s="73"/>
      <c r="E64" s="74" t="s">
        <v>35</v>
      </c>
      <c r="F64" s="75"/>
      <c r="G64" s="76"/>
      <c r="H64" s="66"/>
      <c r="I64" s="67"/>
      <c r="J64" s="67">
        <v>0</v>
      </c>
      <c r="K64" s="233"/>
      <c r="L64" s="53"/>
      <c r="M64" s="53"/>
      <c r="N64" s="61"/>
    </row>
    <row r="65" spans="1:14" ht="21.75" customHeight="1" x14ac:dyDescent="0.4">
      <c r="A65" s="105"/>
      <c r="B65" s="106"/>
      <c r="C65" s="106"/>
      <c r="D65" s="107">
        <v>3</v>
      </c>
      <c r="E65" s="108" t="s">
        <v>36</v>
      </c>
      <c r="F65" s="109"/>
      <c r="G65" s="110"/>
      <c r="H65" s="111"/>
      <c r="I65" s="112"/>
      <c r="J65" s="356">
        <v>0</v>
      </c>
      <c r="K65" s="357"/>
      <c r="L65" s="358"/>
      <c r="M65" s="358"/>
      <c r="N65" s="115"/>
    </row>
    <row r="66" spans="1:14" ht="21.75" customHeight="1" x14ac:dyDescent="0.4">
      <c r="A66" s="116" t="s">
        <v>52</v>
      </c>
      <c r="B66" s="117"/>
      <c r="C66" s="117"/>
      <c r="D66" s="117"/>
      <c r="E66" s="118"/>
      <c r="F66" s="118"/>
      <c r="G66" s="119"/>
      <c r="H66" s="120"/>
      <c r="I66" s="121"/>
      <c r="J66" s="121"/>
      <c r="K66" s="122"/>
      <c r="L66" s="123"/>
      <c r="M66" s="123"/>
      <c r="N66" s="123"/>
    </row>
    <row r="67" spans="1:14" ht="21.75" customHeight="1" x14ac:dyDescent="0.4">
      <c r="A67" s="124" t="s">
        <v>53</v>
      </c>
      <c r="B67" s="125"/>
      <c r="C67" s="125"/>
      <c r="D67" s="126"/>
      <c r="E67" s="126"/>
      <c r="F67" s="126"/>
      <c r="G67" s="127"/>
      <c r="H67" s="128"/>
      <c r="I67" s="129"/>
      <c r="J67" s="129"/>
      <c r="K67" s="130"/>
      <c r="L67" s="130"/>
      <c r="M67" s="130"/>
      <c r="N67" s="131"/>
    </row>
    <row r="68" spans="1:14" ht="21.75" customHeight="1" x14ac:dyDescent="0.4">
      <c r="A68" s="132"/>
      <c r="B68" s="133" t="s">
        <v>54</v>
      </c>
      <c r="C68" s="134"/>
      <c r="D68" s="133"/>
      <c r="E68" s="133"/>
      <c r="F68" s="133"/>
      <c r="G68" s="135"/>
      <c r="H68" s="136" t="s">
        <v>16</v>
      </c>
      <c r="I68" s="137">
        <f t="shared" ref="I68:J68" ca="1" si="15">I126+I129</f>
        <v>0</v>
      </c>
      <c r="J68" s="137">
        <f t="shared" si="15"/>
        <v>0</v>
      </c>
      <c r="K68" s="138">
        <f ca="1">IF(I68&gt;0,J68*100/I68,0)</f>
        <v>0</v>
      </c>
      <c r="L68" s="139">
        <f t="shared" ref="L68:M68" ca="1" si="16">SUM(L70:L71)</f>
        <v>58500</v>
      </c>
      <c r="M68" s="139">
        <f t="shared" si="16"/>
        <v>0</v>
      </c>
      <c r="N68" s="138">
        <f ca="1">IF(L68&gt;0,M68*100/L68,0)</f>
        <v>0</v>
      </c>
    </row>
    <row r="69" spans="1:14" ht="21.75" customHeight="1" x14ac:dyDescent="0.4">
      <c r="A69" s="132"/>
      <c r="B69" s="133" t="s">
        <v>55</v>
      </c>
      <c r="C69" s="134"/>
      <c r="D69" s="133"/>
      <c r="E69" s="133"/>
      <c r="F69" s="133"/>
      <c r="G69" s="135"/>
      <c r="H69" s="136"/>
      <c r="I69" s="137"/>
      <c r="J69" s="137"/>
      <c r="K69" s="138"/>
      <c r="L69" s="139"/>
      <c r="M69" s="139"/>
      <c r="N69" s="138"/>
    </row>
    <row r="70" spans="1:14" ht="21.75" customHeight="1" x14ac:dyDescent="0.4">
      <c r="A70" s="42"/>
      <c r="B70" s="43"/>
      <c r="C70" s="43" t="s">
        <v>17</v>
      </c>
      <c r="D70" s="44" t="s">
        <v>18</v>
      </c>
      <c r="E70" s="45"/>
      <c r="F70" s="45"/>
      <c r="G70" s="46" t="s">
        <v>19</v>
      </c>
      <c r="H70" s="47" t="s">
        <v>20</v>
      </c>
      <c r="I70" s="48" t="s">
        <v>21</v>
      </c>
      <c r="J70" s="48"/>
      <c r="K70" s="49"/>
      <c r="L70" s="50">
        <v>0</v>
      </c>
      <c r="M70" s="50">
        <v>0</v>
      </c>
      <c r="N70" s="50">
        <f t="shared" ref="N70:N77" si="17">+IF(L70&gt;0,M70*100/L70,0)</f>
        <v>0</v>
      </c>
    </row>
    <row r="71" spans="1:14" ht="21.75" customHeight="1" x14ac:dyDescent="0.4">
      <c r="A71" s="42"/>
      <c r="B71" s="43"/>
      <c r="C71" s="43"/>
      <c r="D71" s="51"/>
      <c r="E71" s="45"/>
      <c r="F71" s="45" t="s">
        <v>21</v>
      </c>
      <c r="G71" s="46" t="s">
        <v>22</v>
      </c>
      <c r="H71" s="47" t="s">
        <v>20</v>
      </c>
      <c r="I71" s="48"/>
      <c r="J71" s="48"/>
      <c r="K71" s="49"/>
      <c r="L71" s="50">
        <f ca="1">L72+L73</f>
        <v>58500</v>
      </c>
      <c r="M71" s="140">
        <f>SUM(M72:M73)</f>
        <v>0</v>
      </c>
      <c r="N71" s="50">
        <f t="shared" ca="1" si="17"/>
        <v>0</v>
      </c>
    </row>
    <row r="72" spans="1:14" ht="21.75" customHeight="1" x14ac:dyDescent="0.4">
      <c r="A72" s="42"/>
      <c r="B72" s="43"/>
      <c r="C72" s="43"/>
      <c r="D72" s="51"/>
      <c r="E72" s="45"/>
      <c r="F72" s="45"/>
      <c r="G72" s="52" t="s">
        <v>23</v>
      </c>
      <c r="H72" s="47" t="s">
        <v>20</v>
      </c>
      <c r="I72" s="48"/>
      <c r="J72" s="48"/>
      <c r="K72" s="49"/>
      <c r="L72" s="53">
        <f ca="1">IFERROR(__xludf.DUMMYFUNCTION("IMPORTRANGE(""https://docs.google.com/spreadsheets/d/1C3CXT74ZlgGe6_JY_1olB1XN4rF0dxEuIIF-xsYjHgg/edit?usp=sharing"",""พรบ!AD27"")"),0)</f>
        <v>0</v>
      </c>
      <c r="M72" s="53">
        <v>0</v>
      </c>
      <c r="N72" s="53">
        <f t="shared" ca="1" si="17"/>
        <v>0</v>
      </c>
    </row>
    <row r="73" spans="1:14" ht="21.75" customHeight="1" x14ac:dyDescent="0.4">
      <c r="A73" s="42"/>
      <c r="B73" s="43"/>
      <c r="C73" s="43"/>
      <c r="D73" s="51"/>
      <c r="E73" s="45"/>
      <c r="F73" s="45"/>
      <c r="G73" s="52" t="s">
        <v>24</v>
      </c>
      <c r="H73" s="47" t="s">
        <v>20</v>
      </c>
      <c r="I73" s="48"/>
      <c r="J73" s="48"/>
      <c r="K73" s="49"/>
      <c r="L73" s="53">
        <f t="shared" ref="L73:M73" ca="1" si="18">L77+L92+L104+L117+L132</f>
        <v>58500</v>
      </c>
      <c r="M73" s="53">
        <f t="shared" si="18"/>
        <v>0</v>
      </c>
      <c r="N73" s="53">
        <f t="shared" ca="1" si="17"/>
        <v>0</v>
      </c>
    </row>
    <row r="74" spans="1:14" ht="21.75" customHeight="1" x14ac:dyDescent="0.4">
      <c r="A74" s="141"/>
      <c r="B74" s="142"/>
      <c r="C74" s="143" t="s">
        <v>56</v>
      </c>
      <c r="D74" s="143"/>
      <c r="E74" s="143"/>
      <c r="F74" s="143"/>
      <c r="G74" s="144"/>
      <c r="H74" s="145" t="s">
        <v>57</v>
      </c>
      <c r="I74" s="146">
        <f t="shared" ref="I74:J74" ca="1" si="19">I83</f>
        <v>4</v>
      </c>
      <c r="J74" s="146">
        <f t="shared" si="19"/>
        <v>0</v>
      </c>
      <c r="K74" s="147">
        <f ca="1">IF(I74&gt;0,J74*100/I74,0)</f>
        <v>0</v>
      </c>
      <c r="L74" s="148">
        <f ca="1">L75+L76</f>
        <v>7500</v>
      </c>
      <c r="M74" s="148">
        <f>SUM(M75:M76)</f>
        <v>0</v>
      </c>
      <c r="N74" s="148">
        <f t="shared" ca="1" si="17"/>
        <v>0</v>
      </c>
    </row>
    <row r="75" spans="1:14" ht="21.75" customHeight="1" x14ac:dyDescent="0.4">
      <c r="A75" s="42"/>
      <c r="B75" s="43"/>
      <c r="C75" s="43" t="s">
        <v>17</v>
      </c>
      <c r="D75" s="44" t="s">
        <v>18</v>
      </c>
      <c r="E75" s="45"/>
      <c r="F75" s="45"/>
      <c r="G75" s="46" t="s">
        <v>19</v>
      </c>
      <c r="H75" s="47" t="s">
        <v>20</v>
      </c>
      <c r="I75" s="48" t="s">
        <v>21</v>
      </c>
      <c r="J75" s="48"/>
      <c r="K75" s="49"/>
      <c r="L75" s="50">
        <v>0</v>
      </c>
      <c r="M75" s="50">
        <v>0</v>
      </c>
      <c r="N75" s="50">
        <f t="shared" si="17"/>
        <v>0</v>
      </c>
    </row>
    <row r="76" spans="1:14" ht="21.75" customHeight="1" x14ac:dyDescent="0.4">
      <c r="A76" s="42"/>
      <c r="B76" s="43"/>
      <c r="C76" s="43"/>
      <c r="D76" s="51"/>
      <c r="E76" s="45"/>
      <c r="F76" s="45" t="s">
        <v>21</v>
      </c>
      <c r="G76" s="46" t="s">
        <v>22</v>
      </c>
      <c r="H76" s="47" t="s">
        <v>20</v>
      </c>
      <c r="I76" s="48"/>
      <c r="J76" s="48"/>
      <c r="K76" s="49"/>
      <c r="L76" s="50">
        <f t="shared" ref="L76:M76" ca="1" si="20">L77</f>
        <v>7500</v>
      </c>
      <c r="M76" s="50">
        <f t="shared" si="20"/>
        <v>0</v>
      </c>
      <c r="N76" s="50">
        <f t="shared" ca="1" si="17"/>
        <v>0</v>
      </c>
    </row>
    <row r="77" spans="1:14" ht="21.75" customHeight="1" x14ac:dyDescent="0.4">
      <c r="A77" s="42"/>
      <c r="B77" s="43"/>
      <c r="C77" s="43"/>
      <c r="D77" s="51"/>
      <c r="E77" s="45"/>
      <c r="F77" s="45"/>
      <c r="G77" s="52" t="s">
        <v>24</v>
      </c>
      <c r="H77" s="47" t="s">
        <v>20</v>
      </c>
      <c r="I77" s="48"/>
      <c r="J77" s="48"/>
      <c r="K77" s="49"/>
      <c r="L77" s="53">
        <f ca="1">IFERROR(__xludf.DUMMYFUNCTION("IMPORTRANGE(""https://docs.google.com/spreadsheets/d/1C3CXT74ZlgGe6_JY_1olB1XN4rF0dxEuIIF-xsYjHgg/edit?usp=sharing"",""พรบ!AF27"")"),7500)</f>
        <v>7500</v>
      </c>
      <c r="M77" s="54">
        <v>0</v>
      </c>
      <c r="N77" s="53">
        <f t="shared" ca="1" si="17"/>
        <v>0</v>
      </c>
    </row>
    <row r="78" spans="1:14" ht="21.75" customHeight="1" x14ac:dyDescent="0.4">
      <c r="A78" s="55"/>
      <c r="B78" s="56"/>
      <c r="C78" s="43" t="s">
        <v>17</v>
      </c>
      <c r="D78" s="57" t="s">
        <v>25</v>
      </c>
      <c r="E78" s="58"/>
      <c r="F78" s="58"/>
      <c r="G78" s="59"/>
      <c r="H78" s="60"/>
      <c r="I78" s="48"/>
      <c r="J78" s="48"/>
      <c r="K78" s="49"/>
      <c r="L78" s="61"/>
      <c r="M78" s="61"/>
      <c r="N78" s="61"/>
    </row>
    <row r="79" spans="1:14" ht="21.75" customHeight="1" x14ac:dyDescent="0.4">
      <c r="A79" s="55"/>
      <c r="B79" s="56"/>
      <c r="C79" s="56"/>
      <c r="D79" s="62">
        <v>1</v>
      </c>
      <c r="E79" s="63" t="s">
        <v>26</v>
      </c>
      <c r="F79" s="64"/>
      <c r="G79" s="65"/>
      <c r="H79" s="66"/>
      <c r="I79" s="67"/>
      <c r="J79" s="68">
        <v>0</v>
      </c>
      <c r="K79" s="49"/>
      <c r="L79" s="61"/>
      <c r="M79" s="61"/>
      <c r="N79" s="61"/>
    </row>
    <row r="80" spans="1:14" ht="21.75" customHeight="1" x14ac:dyDescent="0.4">
      <c r="A80" s="55"/>
      <c r="B80" s="56"/>
      <c r="C80" s="56"/>
      <c r="D80" s="69">
        <v>2</v>
      </c>
      <c r="E80" s="70" t="s">
        <v>27</v>
      </c>
      <c r="F80" s="71"/>
      <c r="G80" s="72"/>
      <c r="H80" s="66"/>
      <c r="I80" s="67"/>
      <c r="J80" s="68">
        <v>0</v>
      </c>
      <c r="K80" s="49"/>
      <c r="L80" s="61" t="s">
        <v>21</v>
      </c>
      <c r="M80" s="61" t="s">
        <v>21</v>
      </c>
      <c r="N80" s="61"/>
    </row>
    <row r="81" spans="1:14" ht="21.75" customHeight="1" x14ac:dyDescent="0.4">
      <c r="A81" s="55"/>
      <c r="B81" s="56"/>
      <c r="C81" s="56"/>
      <c r="D81" s="73"/>
      <c r="E81" s="74" t="s">
        <v>28</v>
      </c>
      <c r="F81" s="75"/>
      <c r="G81" s="76"/>
      <c r="H81" s="66"/>
      <c r="I81" s="67"/>
      <c r="J81" s="68">
        <v>0</v>
      </c>
      <c r="K81" s="49"/>
      <c r="L81" s="61"/>
      <c r="M81" s="61"/>
      <c r="N81" s="61"/>
    </row>
    <row r="82" spans="1:14" ht="21.75" customHeight="1" x14ac:dyDescent="0.4">
      <c r="A82" s="55"/>
      <c r="B82" s="56"/>
      <c r="C82" s="56"/>
      <c r="D82" s="73"/>
      <c r="E82" s="74" t="s">
        <v>29</v>
      </c>
      <c r="F82" s="75"/>
      <c r="G82" s="76"/>
      <c r="H82" s="66"/>
      <c r="I82" s="67"/>
      <c r="J82" s="68">
        <v>0</v>
      </c>
      <c r="K82" s="49"/>
      <c r="L82" s="61"/>
      <c r="M82" s="61"/>
      <c r="N82" s="61"/>
    </row>
    <row r="83" spans="1:14" ht="21.75" customHeight="1" x14ac:dyDescent="0.4">
      <c r="A83" s="55"/>
      <c r="B83" s="56"/>
      <c r="C83" s="56"/>
      <c r="D83" s="73"/>
      <c r="E83" s="77"/>
      <c r="F83" s="74" t="s">
        <v>58</v>
      </c>
      <c r="G83" s="76"/>
      <c r="H83" s="60" t="s">
        <v>57</v>
      </c>
      <c r="I83" s="67">
        <f ca="1">IFERROR(__xludf.DUMMYFUNCTION("IMPORTRANGE(""https://docs.google.com/spreadsheets/d/1C3CXT74ZlgGe6_JY_1olB1XN4rF0dxEuIIF-xsYjHgg/edit?usp=sharing"",""พรบ!AG27"")"),4)</f>
        <v>4</v>
      </c>
      <c r="J83" s="68">
        <v>0</v>
      </c>
      <c r="K83" s="49">
        <f ca="1">IF(I83&gt;0,J83*100/I83,0)</f>
        <v>0</v>
      </c>
      <c r="L83" s="61"/>
      <c r="M83" s="61"/>
      <c r="N83" s="61"/>
    </row>
    <row r="84" spans="1:14" ht="21.75" customHeight="1" x14ac:dyDescent="0.4">
      <c r="A84" s="55"/>
      <c r="B84" s="56"/>
      <c r="C84" s="56"/>
      <c r="D84" s="73"/>
      <c r="E84" s="75"/>
      <c r="F84" s="75" t="s">
        <v>59</v>
      </c>
      <c r="G84" s="76"/>
      <c r="H84" s="66" t="s">
        <v>16</v>
      </c>
      <c r="I84" s="67"/>
      <c r="J84" s="67">
        <f>J85+J86</f>
        <v>0</v>
      </c>
      <c r="K84" s="49"/>
      <c r="L84" s="61"/>
      <c r="M84" s="61"/>
      <c r="N84" s="61"/>
    </row>
    <row r="85" spans="1:14" ht="21.75" customHeight="1" x14ac:dyDescent="0.4">
      <c r="A85" s="55"/>
      <c r="B85" s="56"/>
      <c r="C85" s="56"/>
      <c r="D85" s="73"/>
      <c r="E85" s="75"/>
      <c r="F85" s="75"/>
      <c r="G85" s="76" t="s">
        <v>60</v>
      </c>
      <c r="H85" s="66" t="s">
        <v>16</v>
      </c>
      <c r="I85" s="67"/>
      <c r="J85" s="68">
        <v>0</v>
      </c>
      <c r="K85" s="49"/>
      <c r="L85" s="61"/>
      <c r="M85" s="61"/>
      <c r="N85" s="61"/>
    </row>
    <row r="86" spans="1:14" ht="21.75" customHeight="1" x14ac:dyDescent="0.4">
      <c r="A86" s="55"/>
      <c r="B86" s="56"/>
      <c r="C86" s="56"/>
      <c r="D86" s="73"/>
      <c r="E86" s="75"/>
      <c r="F86" s="75"/>
      <c r="G86" s="76" t="s">
        <v>61</v>
      </c>
      <c r="H86" s="66" t="s">
        <v>16</v>
      </c>
      <c r="I86" s="67"/>
      <c r="J86" s="68">
        <v>0</v>
      </c>
      <c r="K86" s="49"/>
      <c r="L86" s="61"/>
      <c r="M86" s="61"/>
      <c r="N86" s="61"/>
    </row>
    <row r="87" spans="1:14" ht="21.75" customHeight="1" x14ac:dyDescent="0.4">
      <c r="A87" s="55"/>
      <c r="B87" s="56"/>
      <c r="C87" s="56"/>
      <c r="D87" s="73"/>
      <c r="E87" s="74" t="s">
        <v>35</v>
      </c>
      <c r="F87" s="75"/>
      <c r="G87" s="76"/>
      <c r="H87" s="66"/>
      <c r="I87" s="67"/>
      <c r="J87" s="68">
        <v>0</v>
      </c>
      <c r="K87" s="49"/>
      <c r="L87" s="61"/>
      <c r="M87" s="61"/>
      <c r="N87" s="61"/>
    </row>
    <row r="88" spans="1:14" ht="21.75" customHeight="1" x14ac:dyDescent="0.4">
      <c r="A88" s="55"/>
      <c r="B88" s="56"/>
      <c r="C88" s="56"/>
      <c r="D88" s="81">
        <v>3</v>
      </c>
      <c r="E88" s="82" t="s">
        <v>36</v>
      </c>
      <c r="F88" s="83"/>
      <c r="G88" s="84"/>
      <c r="H88" s="66"/>
      <c r="I88" s="67"/>
      <c r="J88" s="85">
        <v>0</v>
      </c>
      <c r="K88" s="49"/>
      <c r="L88" s="61"/>
      <c r="M88" s="61"/>
      <c r="N88" s="61"/>
    </row>
    <row r="89" spans="1:14" ht="21.75" customHeight="1" x14ac:dyDescent="0.4">
      <c r="A89" s="141"/>
      <c r="B89" s="142"/>
      <c r="C89" s="143" t="s">
        <v>62</v>
      </c>
      <c r="D89" s="143"/>
      <c r="E89" s="143"/>
      <c r="F89" s="143"/>
      <c r="G89" s="144"/>
      <c r="H89" s="149" t="s">
        <v>63</v>
      </c>
      <c r="I89" s="150">
        <f t="shared" ref="I89:J89" ca="1" si="21">I98</f>
        <v>3</v>
      </c>
      <c r="J89" s="150">
        <f t="shared" si="21"/>
        <v>0</v>
      </c>
      <c r="K89" s="151">
        <f ca="1">IF(I89&gt;0,J89*100/I89,0)</f>
        <v>0</v>
      </c>
      <c r="L89" s="148">
        <f ca="1">L90+L91</f>
        <v>42000</v>
      </c>
      <c r="M89" s="148">
        <f>SUM(M90:M91)</f>
        <v>0</v>
      </c>
      <c r="N89" s="148">
        <f t="shared" ref="N89:N92" ca="1" si="22">+IF(L89&gt;0,M89*100/L89,0)</f>
        <v>0</v>
      </c>
    </row>
    <row r="90" spans="1:14" ht="21.75" customHeight="1" x14ac:dyDescent="0.4">
      <c r="A90" s="42"/>
      <c r="B90" s="43"/>
      <c r="C90" s="43" t="s">
        <v>17</v>
      </c>
      <c r="D90" s="44" t="s">
        <v>18</v>
      </c>
      <c r="E90" s="45"/>
      <c r="F90" s="45"/>
      <c r="G90" s="46" t="s">
        <v>19</v>
      </c>
      <c r="H90" s="47" t="s">
        <v>20</v>
      </c>
      <c r="I90" s="48" t="s">
        <v>21</v>
      </c>
      <c r="J90" s="48"/>
      <c r="K90" s="49"/>
      <c r="L90" s="50">
        <v>0</v>
      </c>
      <c r="M90" s="50">
        <v>0</v>
      </c>
      <c r="N90" s="50">
        <f t="shared" si="22"/>
        <v>0</v>
      </c>
    </row>
    <row r="91" spans="1:14" ht="21.75" customHeight="1" x14ac:dyDescent="0.4">
      <c r="A91" s="42"/>
      <c r="B91" s="43"/>
      <c r="C91" s="43"/>
      <c r="D91" s="51"/>
      <c r="E91" s="45"/>
      <c r="F91" s="45" t="s">
        <v>21</v>
      </c>
      <c r="G91" s="46" t="s">
        <v>22</v>
      </c>
      <c r="H91" s="47" t="s">
        <v>20</v>
      </c>
      <c r="I91" s="48"/>
      <c r="J91" s="48"/>
      <c r="K91" s="49"/>
      <c r="L91" s="50">
        <f t="shared" ref="L91:M91" ca="1" si="23">L92</f>
        <v>42000</v>
      </c>
      <c r="M91" s="50">
        <f t="shared" si="23"/>
        <v>0</v>
      </c>
      <c r="N91" s="50">
        <f t="shared" ca="1" si="22"/>
        <v>0</v>
      </c>
    </row>
    <row r="92" spans="1:14" ht="21.75" customHeight="1" x14ac:dyDescent="0.4">
      <c r="A92" s="42"/>
      <c r="B92" s="43"/>
      <c r="C92" s="43"/>
      <c r="D92" s="51"/>
      <c r="E92" s="45"/>
      <c r="F92" s="45"/>
      <c r="G92" s="52" t="s">
        <v>24</v>
      </c>
      <c r="H92" s="47" t="s">
        <v>20</v>
      </c>
      <c r="I92" s="48"/>
      <c r="J92" s="48"/>
      <c r="K92" s="49"/>
      <c r="L92" s="53">
        <f ca="1">IFERROR(__xludf.DUMMYFUNCTION("IMPORTRANGE(""https://docs.google.com/spreadsheets/d/1C3CXT74ZlgGe6_JY_1olB1XN4rF0dxEuIIF-xsYjHgg/edit?usp=sharing"",""พรบ!AH27"")"),42000)</f>
        <v>42000</v>
      </c>
      <c r="M92" s="54">
        <v>0</v>
      </c>
      <c r="N92" s="53">
        <f t="shared" ca="1" si="22"/>
        <v>0</v>
      </c>
    </row>
    <row r="93" spans="1:14" ht="21.75" customHeight="1" x14ac:dyDescent="0.4">
      <c r="A93" s="55"/>
      <c r="B93" s="56"/>
      <c r="C93" s="43" t="s">
        <v>17</v>
      </c>
      <c r="D93" s="57" t="s">
        <v>25</v>
      </c>
      <c r="E93" s="58"/>
      <c r="F93" s="58"/>
      <c r="G93" s="59"/>
      <c r="H93" s="60"/>
      <c r="I93" s="48"/>
      <c r="J93" s="48"/>
      <c r="K93" s="49"/>
      <c r="L93" s="61"/>
      <c r="M93" s="61"/>
      <c r="N93" s="61"/>
    </row>
    <row r="94" spans="1:14" ht="21.75" customHeight="1" x14ac:dyDescent="0.4">
      <c r="A94" s="55"/>
      <c r="B94" s="56"/>
      <c r="C94" s="56"/>
      <c r="D94" s="62">
        <v>1</v>
      </c>
      <c r="E94" s="63" t="s">
        <v>26</v>
      </c>
      <c r="F94" s="64"/>
      <c r="G94" s="65"/>
      <c r="H94" s="66"/>
      <c r="I94" s="67"/>
      <c r="J94" s="68">
        <v>1</v>
      </c>
      <c r="K94" s="49"/>
      <c r="L94" s="61"/>
      <c r="M94" s="61"/>
      <c r="N94" s="61"/>
    </row>
    <row r="95" spans="1:14" ht="21.75" customHeight="1" x14ac:dyDescent="0.4">
      <c r="A95" s="55"/>
      <c r="B95" s="56"/>
      <c r="C95" s="56"/>
      <c r="D95" s="69">
        <v>2</v>
      </c>
      <c r="E95" s="70" t="s">
        <v>27</v>
      </c>
      <c r="F95" s="71"/>
      <c r="G95" s="72"/>
      <c r="H95" s="66"/>
      <c r="I95" s="67"/>
      <c r="J95" s="68">
        <v>0</v>
      </c>
      <c r="K95" s="49"/>
      <c r="L95" s="61" t="s">
        <v>21</v>
      </c>
      <c r="M95" s="61" t="s">
        <v>21</v>
      </c>
      <c r="N95" s="61"/>
    </row>
    <row r="96" spans="1:14" ht="21.75" customHeight="1" x14ac:dyDescent="0.4">
      <c r="A96" s="55"/>
      <c r="B96" s="56"/>
      <c r="C96" s="56"/>
      <c r="D96" s="73"/>
      <c r="E96" s="74" t="s">
        <v>28</v>
      </c>
      <c r="F96" s="75"/>
      <c r="G96" s="76"/>
      <c r="H96" s="66"/>
      <c r="I96" s="67"/>
      <c r="J96" s="68">
        <v>0</v>
      </c>
      <c r="K96" s="49"/>
      <c r="L96" s="61"/>
      <c r="M96" s="61"/>
      <c r="N96" s="61"/>
    </row>
    <row r="97" spans="1:14" ht="21.75" customHeight="1" x14ac:dyDescent="0.4">
      <c r="A97" s="55"/>
      <c r="B97" s="56"/>
      <c r="C97" s="56"/>
      <c r="D97" s="73"/>
      <c r="E97" s="74" t="s">
        <v>29</v>
      </c>
      <c r="F97" s="75"/>
      <c r="G97" s="76"/>
      <c r="H97" s="66"/>
      <c r="I97" s="67"/>
      <c r="J97" s="68">
        <v>0</v>
      </c>
      <c r="K97" s="49"/>
      <c r="L97" s="61"/>
      <c r="M97" s="61"/>
      <c r="N97" s="61"/>
    </row>
    <row r="98" spans="1:14" ht="21.75" customHeight="1" x14ac:dyDescent="0.4">
      <c r="A98" s="55"/>
      <c r="B98" s="56"/>
      <c r="C98" s="56"/>
      <c r="D98" s="73"/>
      <c r="E98" s="77"/>
      <c r="F98" s="74" t="s">
        <v>64</v>
      </c>
      <c r="G98" s="76"/>
      <c r="H98" s="60" t="s">
        <v>63</v>
      </c>
      <c r="I98" s="67">
        <f ca="1">IFERROR(__xludf.DUMMYFUNCTION("IMPORTRANGE(""https://docs.google.com/spreadsheets/d/1C3CXT74ZlgGe6_JY_1olB1XN4rF0dxEuIIF-xsYjHgg/edit?usp=sharing"",""พรบ!AI27"")"),3)</f>
        <v>3</v>
      </c>
      <c r="J98" s="68">
        <v>0</v>
      </c>
      <c r="K98" s="49">
        <f ca="1">IF(I98&gt;0,J98*100/I98,0)</f>
        <v>0</v>
      </c>
      <c r="L98" s="53">
        <f ca="1">IFERROR(__xludf.DUMMYFUNCTION("IMPORTRANGE(""https://docs.google.com/spreadsheets/d/1C3CXT74ZlgGe6_JY_1olB1XN4rF0dxEuIIF-xsYjHgg/edit?usp=sharing"",""กปร!C27"")"),36000)</f>
        <v>36000</v>
      </c>
      <c r="M98" s="359">
        <v>0</v>
      </c>
      <c r="N98" s="53">
        <f ca="1">+IF(L98&gt;0,M98*100/L98,0)</f>
        <v>0</v>
      </c>
    </row>
    <row r="99" spans="1:14" ht="21.75" customHeight="1" x14ac:dyDescent="0.4">
      <c r="A99" s="55"/>
      <c r="B99" s="56"/>
      <c r="C99" s="56"/>
      <c r="D99" s="73"/>
      <c r="E99" s="74" t="s">
        <v>35</v>
      </c>
      <c r="F99" s="75"/>
      <c r="G99" s="76"/>
      <c r="H99" s="66"/>
      <c r="I99" s="67"/>
      <c r="J99" s="68">
        <v>0</v>
      </c>
      <c r="K99" s="49"/>
      <c r="L99" s="61"/>
      <c r="M99" s="61"/>
      <c r="N99" s="61"/>
    </row>
    <row r="100" spans="1:14" ht="21.75" customHeight="1" x14ac:dyDescent="0.4">
      <c r="A100" s="55"/>
      <c r="B100" s="56"/>
      <c r="C100" s="56"/>
      <c r="D100" s="81">
        <v>3</v>
      </c>
      <c r="E100" s="82" t="s">
        <v>36</v>
      </c>
      <c r="F100" s="83"/>
      <c r="G100" s="84"/>
      <c r="H100" s="66"/>
      <c r="I100" s="67"/>
      <c r="J100" s="85">
        <v>0</v>
      </c>
      <c r="K100" s="49"/>
      <c r="L100" s="61"/>
      <c r="M100" s="61"/>
      <c r="N100" s="61"/>
    </row>
    <row r="101" spans="1:14" ht="21.75" customHeight="1" x14ac:dyDescent="0.4">
      <c r="A101" s="141"/>
      <c r="B101" s="142"/>
      <c r="C101" s="143" t="s">
        <v>65</v>
      </c>
      <c r="D101" s="143"/>
      <c r="E101" s="143"/>
      <c r="F101" s="143"/>
      <c r="G101" s="144"/>
      <c r="H101" s="149" t="s">
        <v>63</v>
      </c>
      <c r="I101" s="150">
        <f t="shared" ref="I101:J101" ca="1" si="24">I111</f>
        <v>0</v>
      </c>
      <c r="J101" s="150">
        <f t="shared" si="24"/>
        <v>0</v>
      </c>
      <c r="K101" s="151">
        <f ca="1">IF(I101&gt;0,J101*100/I101,0)</f>
        <v>0</v>
      </c>
      <c r="L101" s="148">
        <f ca="1">L102+L103</f>
        <v>0</v>
      </c>
      <c r="M101" s="148">
        <f>SUM(M102:M103)</f>
        <v>0</v>
      </c>
      <c r="N101" s="148">
        <f t="shared" ref="N101:N104" ca="1" si="25">+IF(L101&gt;0,M101*100/L101,0)</f>
        <v>0</v>
      </c>
    </row>
    <row r="102" spans="1:14" ht="21.75" customHeight="1" x14ac:dyDescent="0.4">
      <c r="A102" s="42"/>
      <c r="B102" s="43"/>
      <c r="C102" s="43" t="s">
        <v>17</v>
      </c>
      <c r="D102" s="44" t="s">
        <v>18</v>
      </c>
      <c r="E102" s="45"/>
      <c r="F102" s="45"/>
      <c r="G102" s="46" t="s">
        <v>19</v>
      </c>
      <c r="H102" s="47" t="s">
        <v>20</v>
      </c>
      <c r="I102" s="48" t="s">
        <v>21</v>
      </c>
      <c r="J102" s="48"/>
      <c r="K102" s="49"/>
      <c r="L102" s="50">
        <v>0</v>
      </c>
      <c r="M102" s="50">
        <v>0</v>
      </c>
      <c r="N102" s="50">
        <f t="shared" si="25"/>
        <v>0</v>
      </c>
    </row>
    <row r="103" spans="1:14" ht="21.75" customHeight="1" x14ac:dyDescent="0.4">
      <c r="A103" s="42"/>
      <c r="B103" s="43"/>
      <c r="C103" s="43"/>
      <c r="D103" s="51"/>
      <c r="E103" s="45"/>
      <c r="F103" s="45" t="s">
        <v>21</v>
      </c>
      <c r="G103" s="46" t="s">
        <v>22</v>
      </c>
      <c r="H103" s="47" t="s">
        <v>20</v>
      </c>
      <c r="I103" s="48"/>
      <c r="J103" s="48"/>
      <c r="K103" s="49"/>
      <c r="L103" s="50">
        <f ca="1">SUM(L104)</f>
        <v>0</v>
      </c>
      <c r="M103" s="50">
        <f>M104</f>
        <v>0</v>
      </c>
      <c r="N103" s="50">
        <f t="shared" ca="1" si="25"/>
        <v>0</v>
      </c>
    </row>
    <row r="104" spans="1:14" ht="21.75" customHeight="1" x14ac:dyDescent="0.4">
      <c r="A104" s="42"/>
      <c r="B104" s="43"/>
      <c r="C104" s="43"/>
      <c r="D104" s="51"/>
      <c r="E104" s="45"/>
      <c r="F104" s="45"/>
      <c r="G104" s="52" t="s">
        <v>24</v>
      </c>
      <c r="H104" s="47" t="s">
        <v>20</v>
      </c>
      <c r="I104" s="48"/>
      <c r="J104" s="67"/>
      <c r="K104" s="233"/>
      <c r="L104" s="53">
        <f ca="1">IFERROR(__xludf.DUMMYFUNCTION("IMPORTRANGE(""https://docs.google.com/spreadsheets/d/1C3CXT74ZlgGe6_JY_1olB1XN4rF0dxEuIIF-xsYjHgg/edit?usp=sharing"",""พรบ!AJ27"")"),0)</f>
        <v>0</v>
      </c>
      <c r="M104" s="53">
        <v>0</v>
      </c>
      <c r="N104" s="53">
        <f t="shared" ca="1" si="25"/>
        <v>0</v>
      </c>
    </row>
    <row r="105" spans="1:14" ht="21.75" customHeight="1" x14ac:dyDescent="0.4">
      <c r="A105" s="55"/>
      <c r="B105" s="56"/>
      <c r="C105" s="43" t="s">
        <v>17</v>
      </c>
      <c r="D105" s="57" t="s">
        <v>25</v>
      </c>
      <c r="E105" s="58"/>
      <c r="F105" s="58"/>
      <c r="G105" s="59"/>
      <c r="H105" s="60"/>
      <c r="I105" s="48"/>
      <c r="J105" s="67"/>
      <c r="K105" s="233"/>
      <c r="L105" s="53"/>
      <c r="M105" s="53"/>
      <c r="N105" s="61"/>
    </row>
    <row r="106" spans="1:14" ht="21.75" customHeight="1" x14ac:dyDescent="0.4">
      <c r="A106" s="55"/>
      <c r="B106" s="56"/>
      <c r="C106" s="56"/>
      <c r="D106" s="62">
        <v>1</v>
      </c>
      <c r="E106" s="63" t="s">
        <v>26</v>
      </c>
      <c r="F106" s="64"/>
      <c r="G106" s="65"/>
      <c r="H106" s="66"/>
      <c r="I106" s="67"/>
      <c r="J106" s="67">
        <v>0</v>
      </c>
      <c r="K106" s="233"/>
      <c r="L106" s="53"/>
      <c r="M106" s="53"/>
      <c r="N106" s="61"/>
    </row>
    <row r="107" spans="1:14" ht="21.75" customHeight="1" x14ac:dyDescent="0.4">
      <c r="A107" s="55"/>
      <c r="B107" s="56"/>
      <c r="C107" s="56"/>
      <c r="D107" s="69">
        <v>2</v>
      </c>
      <c r="E107" s="70" t="s">
        <v>27</v>
      </c>
      <c r="F107" s="71"/>
      <c r="G107" s="72"/>
      <c r="H107" s="66"/>
      <c r="I107" s="67"/>
      <c r="J107" s="67">
        <v>0</v>
      </c>
      <c r="K107" s="233"/>
      <c r="L107" s="53" t="s">
        <v>21</v>
      </c>
      <c r="M107" s="53" t="s">
        <v>21</v>
      </c>
      <c r="N107" s="61"/>
    </row>
    <row r="108" spans="1:14" ht="21.75" customHeight="1" x14ac:dyDescent="0.4">
      <c r="A108" s="55"/>
      <c r="B108" s="56"/>
      <c r="C108" s="56"/>
      <c r="D108" s="73"/>
      <c r="E108" s="74" t="s">
        <v>28</v>
      </c>
      <c r="F108" s="75"/>
      <c r="G108" s="76"/>
      <c r="H108" s="66"/>
      <c r="I108" s="67"/>
      <c r="J108" s="67">
        <v>0</v>
      </c>
      <c r="K108" s="233"/>
      <c r="L108" s="53"/>
      <c r="M108" s="53"/>
      <c r="N108" s="61"/>
    </row>
    <row r="109" spans="1:14" ht="21.75" customHeight="1" x14ac:dyDescent="0.4">
      <c r="A109" s="55"/>
      <c r="B109" s="56"/>
      <c r="C109" s="56"/>
      <c r="D109" s="73"/>
      <c r="E109" s="74" t="s">
        <v>29</v>
      </c>
      <c r="F109" s="75"/>
      <c r="G109" s="76"/>
      <c r="H109" s="66"/>
      <c r="I109" s="67"/>
      <c r="J109" s="67">
        <v>0</v>
      </c>
      <c r="K109" s="233"/>
      <c r="L109" s="53"/>
      <c r="M109" s="53"/>
      <c r="N109" s="61"/>
    </row>
    <row r="110" spans="1:14" ht="21.75" customHeight="1" x14ac:dyDescent="0.4">
      <c r="A110" s="55"/>
      <c r="B110" s="56"/>
      <c r="C110" s="56"/>
      <c r="D110" s="73"/>
      <c r="E110" s="77"/>
      <c r="F110" s="74" t="s">
        <v>66</v>
      </c>
      <c r="G110" s="76"/>
      <c r="H110" s="60" t="s">
        <v>63</v>
      </c>
      <c r="I110" s="67">
        <f ca="1">IFERROR(__xludf.DUMMYFUNCTION("IMPORTRANGE(""https://docs.google.com/spreadsheets/d/1C3CXT74ZlgGe6_JY_1olB1XN4rF0dxEuIIF-xsYjHgg/edit?usp=sharing"",""พรบ!AK27"")"),0)</f>
        <v>0</v>
      </c>
      <c r="J110" s="67">
        <v>0</v>
      </c>
      <c r="K110" s="233">
        <f t="shared" ref="K110:K111" ca="1" si="26">IF(I110&gt;0,J110*100/I110,0)</f>
        <v>0</v>
      </c>
      <c r="L110" s="53">
        <f ca="1">IFERROR(__xludf.DUMMYFUNCTION("IMPORTRANGE(""https://docs.google.com/spreadsheets/d/1C3CXT74ZlgGe6_JY_1olB1XN4rF0dxEuIIF-xsYjHgg/edit?usp=sharing"",""กปร!D27"")"),0)</f>
        <v>0</v>
      </c>
      <c r="M110" s="53">
        <v>0</v>
      </c>
      <c r="N110" s="53">
        <f t="shared" ref="N110:N111" ca="1" si="27">+IF(L110&gt;0,M110*100/L110,0)</f>
        <v>0</v>
      </c>
    </row>
    <row r="111" spans="1:14" ht="21.75" customHeight="1" x14ac:dyDescent="0.4">
      <c r="A111" s="55"/>
      <c r="B111" s="56"/>
      <c r="C111" s="56"/>
      <c r="D111" s="73"/>
      <c r="E111" s="77"/>
      <c r="F111" s="74" t="s">
        <v>67</v>
      </c>
      <c r="G111" s="76"/>
      <c r="H111" s="60" t="s">
        <v>63</v>
      </c>
      <c r="I111" s="67">
        <f ca="1">IFERROR(__xludf.DUMMYFUNCTION("IMPORTRANGE(""https://docs.google.com/spreadsheets/d/1C3CXT74ZlgGe6_JY_1olB1XN4rF0dxEuIIF-xsYjHgg/edit?usp=sharing"",""พรบ!AL27"")"),0)</f>
        <v>0</v>
      </c>
      <c r="J111" s="67">
        <v>0</v>
      </c>
      <c r="K111" s="233">
        <f t="shared" ca="1" si="26"/>
        <v>0</v>
      </c>
      <c r="L111" s="53">
        <f ca="1">IFERROR(__xludf.DUMMYFUNCTION("IMPORTRANGE(""https://docs.google.com/spreadsheets/d/1C3CXT74ZlgGe6_JY_1olB1XN4rF0dxEuIIF-xsYjHgg/edit?usp=sharing"",""กปร!E27"")"),0)</f>
        <v>0</v>
      </c>
      <c r="M111" s="53">
        <v>0</v>
      </c>
      <c r="N111" s="53">
        <f t="shared" ca="1" si="27"/>
        <v>0</v>
      </c>
    </row>
    <row r="112" spans="1:14" ht="21.75" customHeight="1" x14ac:dyDescent="0.4">
      <c r="A112" s="55"/>
      <c r="B112" s="56"/>
      <c r="C112" s="56"/>
      <c r="D112" s="73"/>
      <c r="E112" s="74" t="s">
        <v>35</v>
      </c>
      <c r="F112" s="75"/>
      <c r="G112" s="76"/>
      <c r="H112" s="66"/>
      <c r="I112" s="67"/>
      <c r="J112" s="67">
        <v>0</v>
      </c>
      <c r="K112" s="233"/>
      <c r="L112" s="53"/>
      <c r="M112" s="53"/>
      <c r="N112" s="61"/>
    </row>
    <row r="113" spans="1:14" ht="21.75" customHeight="1" x14ac:dyDescent="0.4">
      <c r="A113" s="55"/>
      <c r="B113" s="56"/>
      <c r="C113" s="56"/>
      <c r="D113" s="81">
        <v>3</v>
      </c>
      <c r="E113" s="82" t="s">
        <v>36</v>
      </c>
      <c r="F113" s="83"/>
      <c r="G113" s="84"/>
      <c r="H113" s="66"/>
      <c r="I113" s="67"/>
      <c r="J113" s="360">
        <v>0</v>
      </c>
      <c r="K113" s="233"/>
      <c r="L113" s="53"/>
      <c r="M113" s="53"/>
      <c r="N113" s="61"/>
    </row>
    <row r="114" spans="1:14" ht="21.75" customHeight="1" x14ac:dyDescent="0.4">
      <c r="A114" s="141"/>
      <c r="B114" s="142"/>
      <c r="C114" s="143" t="s">
        <v>68</v>
      </c>
      <c r="D114" s="143"/>
      <c r="E114" s="143"/>
      <c r="F114" s="143"/>
      <c r="G114" s="144"/>
      <c r="H114" s="152" t="s">
        <v>69</v>
      </c>
      <c r="I114" s="150">
        <f t="shared" ref="I114:J114" ca="1" si="28">I125</f>
        <v>20000</v>
      </c>
      <c r="J114" s="150">
        <f t="shared" si="28"/>
        <v>0</v>
      </c>
      <c r="K114" s="151">
        <f ca="1">IF(I114&gt;0,J114*100/I114,0)</f>
        <v>0</v>
      </c>
      <c r="L114" s="148">
        <f ca="1">L115+L116</f>
        <v>9000</v>
      </c>
      <c r="M114" s="148">
        <f>SUM(M115:M116)</f>
        <v>0</v>
      </c>
      <c r="N114" s="148">
        <f t="shared" ref="N114:N117" ca="1" si="29">+IF(L114&gt;0,M114*100/L114,0)</f>
        <v>0</v>
      </c>
    </row>
    <row r="115" spans="1:14" ht="21.75" customHeight="1" x14ac:dyDescent="0.4">
      <c r="A115" s="42"/>
      <c r="B115" s="43"/>
      <c r="C115" s="43" t="s">
        <v>17</v>
      </c>
      <c r="D115" s="44" t="s">
        <v>18</v>
      </c>
      <c r="E115" s="45"/>
      <c r="F115" s="45"/>
      <c r="G115" s="46" t="s">
        <v>19</v>
      </c>
      <c r="H115" s="47" t="s">
        <v>20</v>
      </c>
      <c r="I115" s="48" t="s">
        <v>21</v>
      </c>
      <c r="J115" s="48"/>
      <c r="K115" s="49"/>
      <c r="L115" s="50">
        <v>0</v>
      </c>
      <c r="M115" s="50">
        <v>0</v>
      </c>
      <c r="N115" s="50">
        <f t="shared" si="29"/>
        <v>0</v>
      </c>
    </row>
    <row r="116" spans="1:14" ht="21.75" customHeight="1" x14ac:dyDescent="0.4">
      <c r="A116" s="42"/>
      <c r="B116" s="43"/>
      <c r="C116" s="43"/>
      <c r="D116" s="51"/>
      <c r="E116" s="45"/>
      <c r="F116" s="45" t="s">
        <v>21</v>
      </c>
      <c r="G116" s="46" t="s">
        <v>22</v>
      </c>
      <c r="H116" s="47" t="s">
        <v>20</v>
      </c>
      <c r="I116" s="48"/>
      <c r="J116" s="48"/>
      <c r="K116" s="49"/>
      <c r="L116" s="50">
        <f ca="1">SUM(L117)</f>
        <v>9000</v>
      </c>
      <c r="M116" s="50">
        <f>M117</f>
        <v>0</v>
      </c>
      <c r="N116" s="50">
        <f t="shared" ca="1" si="29"/>
        <v>0</v>
      </c>
    </row>
    <row r="117" spans="1:14" ht="21.75" customHeight="1" x14ac:dyDescent="0.4">
      <c r="A117" s="42"/>
      <c r="B117" s="43"/>
      <c r="C117" s="43"/>
      <c r="D117" s="51"/>
      <c r="E117" s="45"/>
      <c r="F117" s="45"/>
      <c r="G117" s="52" t="s">
        <v>24</v>
      </c>
      <c r="H117" s="47" t="s">
        <v>20</v>
      </c>
      <c r="I117" s="48"/>
      <c r="J117" s="48"/>
      <c r="K117" s="49"/>
      <c r="L117" s="53">
        <f ca="1">IFERROR(__xludf.DUMMYFUNCTION("IMPORTRANGE(""https://docs.google.com/spreadsheets/d/1C3CXT74ZlgGe6_JY_1olB1XN4rF0dxEuIIF-xsYjHgg/edit?usp=sharing"",""พรบ!AM27"")"),9000)</f>
        <v>9000</v>
      </c>
      <c r="M117" s="54">
        <v>0</v>
      </c>
      <c r="N117" s="53">
        <f t="shared" ca="1" si="29"/>
        <v>0</v>
      </c>
    </row>
    <row r="118" spans="1:14" ht="21.75" customHeight="1" x14ac:dyDescent="0.4">
      <c r="A118" s="55"/>
      <c r="B118" s="56"/>
      <c r="C118" s="43" t="s">
        <v>17</v>
      </c>
      <c r="D118" s="57" t="s">
        <v>25</v>
      </c>
      <c r="E118" s="58"/>
      <c r="F118" s="58"/>
      <c r="G118" s="59"/>
      <c r="H118" s="60"/>
      <c r="I118" s="48"/>
      <c r="J118" s="48"/>
      <c r="K118" s="49"/>
      <c r="L118" s="61"/>
      <c r="M118" s="61"/>
      <c r="N118" s="61"/>
    </row>
    <row r="119" spans="1:14" ht="21.75" customHeight="1" x14ac:dyDescent="0.4">
      <c r="A119" s="55"/>
      <c r="B119" s="56"/>
      <c r="C119" s="56"/>
      <c r="D119" s="62">
        <v>1</v>
      </c>
      <c r="E119" s="63" t="s">
        <v>26</v>
      </c>
      <c r="F119" s="64"/>
      <c r="G119" s="65"/>
      <c r="H119" s="66"/>
      <c r="I119" s="67"/>
      <c r="J119" s="68">
        <v>0</v>
      </c>
      <c r="K119" s="49"/>
      <c r="L119" s="61"/>
      <c r="M119" s="61"/>
      <c r="N119" s="61"/>
    </row>
    <row r="120" spans="1:14" ht="21.75" customHeight="1" x14ac:dyDescent="0.4">
      <c r="A120" s="55"/>
      <c r="B120" s="56"/>
      <c r="C120" s="56"/>
      <c r="D120" s="69">
        <v>2</v>
      </c>
      <c r="E120" s="70" t="s">
        <v>27</v>
      </c>
      <c r="F120" s="71"/>
      <c r="G120" s="72"/>
      <c r="H120" s="66"/>
      <c r="I120" s="67"/>
      <c r="J120" s="68">
        <v>0</v>
      </c>
      <c r="K120" s="49"/>
      <c r="L120" s="61" t="s">
        <v>21</v>
      </c>
      <c r="M120" s="61" t="s">
        <v>21</v>
      </c>
      <c r="N120" s="61"/>
    </row>
    <row r="121" spans="1:14" ht="21.75" customHeight="1" x14ac:dyDescent="0.4">
      <c r="A121" s="55"/>
      <c r="B121" s="56"/>
      <c r="C121" s="56"/>
      <c r="D121" s="73"/>
      <c r="E121" s="74" t="s">
        <v>28</v>
      </c>
      <c r="F121" s="75"/>
      <c r="G121" s="76"/>
      <c r="H121" s="66"/>
      <c r="I121" s="67"/>
      <c r="J121" s="68">
        <v>0</v>
      </c>
      <c r="K121" s="49"/>
      <c r="L121" s="61"/>
      <c r="M121" s="61"/>
      <c r="N121" s="61"/>
    </row>
    <row r="122" spans="1:14" ht="21.75" customHeight="1" x14ac:dyDescent="0.4">
      <c r="A122" s="55"/>
      <c r="B122" s="56"/>
      <c r="C122" s="56"/>
      <c r="D122" s="73"/>
      <c r="E122" s="74" t="s">
        <v>29</v>
      </c>
      <c r="F122" s="75"/>
      <c r="G122" s="76"/>
      <c r="H122" s="66"/>
      <c r="I122" s="67"/>
      <c r="J122" s="68">
        <v>0</v>
      </c>
      <c r="K122" s="49"/>
      <c r="L122" s="61"/>
      <c r="M122" s="61"/>
      <c r="N122" s="61"/>
    </row>
    <row r="123" spans="1:14" ht="21.75" customHeight="1" x14ac:dyDescent="0.4">
      <c r="A123" s="55"/>
      <c r="B123" s="56"/>
      <c r="C123" s="56"/>
      <c r="D123" s="73"/>
      <c r="E123" s="75"/>
      <c r="F123" s="75" t="s">
        <v>70</v>
      </c>
      <c r="G123" s="76"/>
      <c r="H123" s="60"/>
      <c r="I123" s="67"/>
      <c r="J123" s="67"/>
      <c r="K123" s="49"/>
      <c r="L123" s="61"/>
      <c r="M123" s="61"/>
      <c r="N123" s="61"/>
    </row>
    <row r="124" spans="1:14" ht="21.75" customHeight="1" x14ac:dyDescent="0.4">
      <c r="A124" s="55"/>
      <c r="B124" s="56"/>
      <c r="C124" s="56"/>
      <c r="D124" s="73"/>
      <c r="E124" s="77"/>
      <c r="F124" s="75"/>
      <c r="G124" s="74" t="s">
        <v>71</v>
      </c>
      <c r="H124" s="60" t="s">
        <v>69</v>
      </c>
      <c r="I124" s="67">
        <f ca="1">IFERROR(__xludf.DUMMYFUNCTION("IMPORTRANGE(""https://docs.google.com/spreadsheets/d/1C3CXT74ZlgGe6_JY_1olB1XN4rF0dxEuIIF-xsYjHgg/edit?usp=sharing"",""พรบ!AO27"")"),20000)</f>
        <v>20000</v>
      </c>
      <c r="J124" s="68">
        <v>0</v>
      </c>
      <c r="K124" s="49">
        <f t="shared" ref="K124:K126" ca="1" si="30">IF(I124&gt;0,J124*100/I124,0)</f>
        <v>0</v>
      </c>
      <c r="L124" s="61"/>
      <c r="M124" s="61"/>
      <c r="N124" s="61"/>
    </row>
    <row r="125" spans="1:14" ht="21.75" customHeight="1" x14ac:dyDescent="0.4">
      <c r="A125" s="55"/>
      <c r="B125" s="56"/>
      <c r="C125" s="56"/>
      <c r="D125" s="73"/>
      <c r="E125" s="77"/>
      <c r="F125" s="75"/>
      <c r="G125" s="74" t="s">
        <v>72</v>
      </c>
      <c r="H125" s="60" t="s">
        <v>69</v>
      </c>
      <c r="I125" s="67">
        <f ca="1">IFERROR(__xludf.DUMMYFUNCTION("IMPORTRANGE(""https://docs.google.com/spreadsheets/d/1C3CXT74ZlgGe6_JY_1olB1XN4rF0dxEuIIF-xsYjHgg/edit?usp=sharing"",""พรบ!AP27"")"),20000)</f>
        <v>20000</v>
      </c>
      <c r="J125" s="68">
        <v>0</v>
      </c>
      <c r="K125" s="49">
        <f t="shared" ca="1" si="30"/>
        <v>0</v>
      </c>
      <c r="L125" s="53">
        <f ca="1">IFERROR(__xludf.DUMMYFUNCTION("IMPORTRANGE(""https://docs.google.com/spreadsheets/d/1C3CXT74ZlgGe6_JY_1olB1XN4rF0dxEuIIF-xsYjHgg/edit?usp=sharing"",""กปร!F27"")"),5000)</f>
        <v>5000</v>
      </c>
      <c r="M125" s="359">
        <v>0</v>
      </c>
      <c r="N125" s="53">
        <f t="shared" ref="N125:N126" ca="1" si="31">+IF(L125&gt;0,M125*100/L125,0)</f>
        <v>0</v>
      </c>
    </row>
    <row r="126" spans="1:14" ht="21.75" customHeight="1" x14ac:dyDescent="0.4">
      <c r="A126" s="55"/>
      <c r="B126" s="56"/>
      <c r="C126" s="56"/>
      <c r="D126" s="73"/>
      <c r="E126" s="77"/>
      <c r="F126" s="75" t="s">
        <v>73</v>
      </c>
      <c r="G126" s="76"/>
      <c r="H126" s="60" t="s">
        <v>16</v>
      </c>
      <c r="I126" s="67">
        <f ca="1">IFERROR(__xludf.DUMMYFUNCTION("IMPORTRANGE(""https://docs.google.com/spreadsheets/d/1C3CXT74ZlgGe6_JY_1olB1XN4rF0dxEuIIF-xsYjHgg/edit?usp=sharing"",""พรบ!AQ27"")"),0)</f>
        <v>0</v>
      </c>
      <c r="J126" s="67">
        <v>0</v>
      </c>
      <c r="K126" s="49">
        <f t="shared" ca="1" si="30"/>
        <v>0</v>
      </c>
      <c r="L126" s="53">
        <f ca="1">IFERROR(__xludf.DUMMYFUNCTION("IMPORTRANGE(""https://docs.google.com/spreadsheets/d/1C3CXT74ZlgGe6_JY_1olB1XN4rF0dxEuIIF-xsYjHgg/edit?usp=sharing"",""กปร!G27"")"),0)</f>
        <v>0</v>
      </c>
      <c r="M126" s="53">
        <v>0</v>
      </c>
      <c r="N126" s="53">
        <f t="shared" ca="1" si="31"/>
        <v>0</v>
      </c>
    </row>
    <row r="127" spans="1:14" ht="21.75" customHeight="1" x14ac:dyDescent="0.4">
      <c r="A127" s="55"/>
      <c r="B127" s="56"/>
      <c r="C127" s="56"/>
      <c r="D127" s="73"/>
      <c r="E127" s="74" t="s">
        <v>35</v>
      </c>
      <c r="F127" s="75"/>
      <c r="G127" s="76"/>
      <c r="H127" s="66"/>
      <c r="I127" s="67"/>
      <c r="J127" s="68">
        <v>0</v>
      </c>
      <c r="K127" s="49"/>
      <c r="L127" s="61"/>
      <c r="M127" s="61"/>
      <c r="N127" s="61"/>
    </row>
    <row r="128" spans="1:14" ht="21.75" customHeight="1" x14ac:dyDescent="0.4">
      <c r="A128" s="105"/>
      <c r="B128" s="106"/>
      <c r="C128" s="106"/>
      <c r="D128" s="107">
        <v>3</v>
      </c>
      <c r="E128" s="108" t="s">
        <v>36</v>
      </c>
      <c r="F128" s="109"/>
      <c r="G128" s="110"/>
      <c r="H128" s="111"/>
      <c r="I128" s="112"/>
      <c r="J128" s="113">
        <v>0</v>
      </c>
      <c r="K128" s="114"/>
      <c r="L128" s="115"/>
      <c r="M128" s="115"/>
      <c r="N128" s="115"/>
    </row>
    <row r="129" spans="1:14" ht="21.75" customHeight="1" x14ac:dyDescent="0.4">
      <c r="A129" s="141"/>
      <c r="B129" s="142"/>
      <c r="C129" s="153" t="s">
        <v>74</v>
      </c>
      <c r="D129" s="143"/>
      <c r="E129" s="143"/>
      <c r="F129" s="143"/>
      <c r="G129" s="144"/>
      <c r="H129" s="152" t="s">
        <v>16</v>
      </c>
      <c r="I129" s="150">
        <f t="shared" ref="I129:J129" ca="1" si="32">I138</f>
        <v>0</v>
      </c>
      <c r="J129" s="150">
        <f t="shared" si="32"/>
        <v>0</v>
      </c>
      <c r="K129" s="151">
        <f ca="1">IF(I129&gt;0,J129*100/I129,0)</f>
        <v>0</v>
      </c>
      <c r="L129" s="148">
        <f ca="1">L130+L131</f>
        <v>0</v>
      </c>
      <c r="M129" s="148">
        <f>SUM(M130:M131)</f>
        <v>0</v>
      </c>
      <c r="N129" s="148">
        <f t="shared" ref="N129:N132" ca="1" si="33">+IF(L129&gt;0,M129*100/L129,0)</f>
        <v>0</v>
      </c>
    </row>
    <row r="130" spans="1:14" ht="21.75" customHeight="1" x14ac:dyDescent="0.4">
      <c r="A130" s="42"/>
      <c r="B130" s="43"/>
      <c r="C130" s="43" t="s">
        <v>17</v>
      </c>
      <c r="D130" s="44" t="s">
        <v>18</v>
      </c>
      <c r="E130" s="45"/>
      <c r="F130" s="45"/>
      <c r="G130" s="46" t="s">
        <v>19</v>
      </c>
      <c r="H130" s="47" t="s">
        <v>20</v>
      </c>
      <c r="I130" s="48" t="s">
        <v>21</v>
      </c>
      <c r="J130" s="48"/>
      <c r="K130" s="49"/>
      <c r="L130" s="50">
        <v>0</v>
      </c>
      <c r="M130" s="50">
        <v>0</v>
      </c>
      <c r="N130" s="50">
        <f t="shared" si="33"/>
        <v>0</v>
      </c>
    </row>
    <row r="131" spans="1:14" ht="21.75" customHeight="1" x14ac:dyDescent="0.4">
      <c r="A131" s="42"/>
      <c r="B131" s="43"/>
      <c r="C131" s="43"/>
      <c r="D131" s="51"/>
      <c r="E131" s="45"/>
      <c r="F131" s="45" t="s">
        <v>21</v>
      </c>
      <c r="G131" s="46" t="s">
        <v>22</v>
      </c>
      <c r="H131" s="47" t="s">
        <v>20</v>
      </c>
      <c r="I131" s="48"/>
      <c r="J131" s="48"/>
      <c r="K131" s="49"/>
      <c r="L131" s="50">
        <f ca="1">SUM(L132)</f>
        <v>0</v>
      </c>
      <c r="M131" s="50">
        <f>M132</f>
        <v>0</v>
      </c>
      <c r="N131" s="50">
        <f t="shared" ca="1" si="33"/>
        <v>0</v>
      </c>
    </row>
    <row r="132" spans="1:14" ht="21.75" customHeight="1" x14ac:dyDescent="0.4">
      <c r="A132" s="42"/>
      <c r="B132" s="43"/>
      <c r="C132" s="43"/>
      <c r="D132" s="51"/>
      <c r="E132" s="45"/>
      <c r="F132" s="45"/>
      <c r="G132" s="52" t="s">
        <v>24</v>
      </c>
      <c r="H132" s="47" t="s">
        <v>20</v>
      </c>
      <c r="I132" s="48"/>
      <c r="J132" s="67"/>
      <c r="K132" s="233"/>
      <c r="L132" s="53">
        <f ca="1">IFERROR(__xludf.DUMMYFUNCTION("IMPORTRANGE(""https://docs.google.com/spreadsheets/d/1C3CXT74ZlgGe6_JY_1olB1XN4rF0dxEuIIF-xsYjHgg/edit?usp=sharing"",""พรบ!AR27"")"),0)</f>
        <v>0</v>
      </c>
      <c r="M132" s="53">
        <v>0</v>
      </c>
      <c r="N132" s="53">
        <f t="shared" ca="1" si="33"/>
        <v>0</v>
      </c>
    </row>
    <row r="133" spans="1:14" ht="21.75" customHeight="1" x14ac:dyDescent="0.4">
      <c r="A133" s="55"/>
      <c r="B133" s="56"/>
      <c r="C133" s="43" t="s">
        <v>17</v>
      </c>
      <c r="D133" s="57" t="s">
        <v>25</v>
      </c>
      <c r="E133" s="58"/>
      <c r="F133" s="58"/>
      <c r="G133" s="59"/>
      <c r="H133" s="60"/>
      <c r="I133" s="48"/>
      <c r="J133" s="67"/>
      <c r="K133" s="233"/>
      <c r="L133" s="53"/>
      <c r="M133" s="53"/>
      <c r="N133" s="61"/>
    </row>
    <row r="134" spans="1:14" ht="21.75" customHeight="1" x14ac:dyDescent="0.4">
      <c r="A134" s="55"/>
      <c r="B134" s="56"/>
      <c r="C134" s="56"/>
      <c r="D134" s="62">
        <v>1</v>
      </c>
      <c r="E134" s="63" t="s">
        <v>26</v>
      </c>
      <c r="F134" s="64"/>
      <c r="G134" s="65"/>
      <c r="H134" s="66"/>
      <c r="I134" s="67"/>
      <c r="J134" s="67">
        <v>0</v>
      </c>
      <c r="K134" s="233"/>
      <c r="L134" s="53"/>
      <c r="M134" s="53"/>
      <c r="N134" s="61"/>
    </row>
    <row r="135" spans="1:14" ht="21.75" customHeight="1" x14ac:dyDescent="0.4">
      <c r="A135" s="55"/>
      <c r="B135" s="56"/>
      <c r="C135" s="56"/>
      <c r="D135" s="69">
        <v>2</v>
      </c>
      <c r="E135" s="70" t="s">
        <v>27</v>
      </c>
      <c r="F135" s="71"/>
      <c r="G135" s="72"/>
      <c r="H135" s="66"/>
      <c r="I135" s="67"/>
      <c r="J135" s="67">
        <v>0</v>
      </c>
      <c r="K135" s="233"/>
      <c r="L135" s="53" t="s">
        <v>21</v>
      </c>
      <c r="M135" s="53" t="s">
        <v>21</v>
      </c>
      <c r="N135" s="61"/>
    </row>
    <row r="136" spans="1:14" ht="21.75" customHeight="1" x14ac:dyDescent="0.4">
      <c r="A136" s="55"/>
      <c r="B136" s="56"/>
      <c r="C136" s="56"/>
      <c r="D136" s="73"/>
      <c r="E136" s="74" t="s">
        <v>28</v>
      </c>
      <c r="F136" s="75"/>
      <c r="G136" s="76"/>
      <c r="H136" s="66"/>
      <c r="I136" s="67"/>
      <c r="J136" s="67">
        <v>0</v>
      </c>
      <c r="K136" s="233"/>
      <c r="L136" s="53"/>
      <c r="M136" s="53"/>
      <c r="N136" s="61"/>
    </row>
    <row r="137" spans="1:14" ht="21.75" customHeight="1" x14ac:dyDescent="0.4">
      <c r="A137" s="55"/>
      <c r="B137" s="56"/>
      <c r="C137" s="56"/>
      <c r="D137" s="73"/>
      <c r="E137" s="74" t="s">
        <v>29</v>
      </c>
      <c r="F137" s="75"/>
      <c r="G137" s="76"/>
      <c r="H137" s="66"/>
      <c r="I137" s="67"/>
      <c r="J137" s="67">
        <v>0</v>
      </c>
      <c r="K137" s="233"/>
      <c r="L137" s="53"/>
      <c r="M137" s="53"/>
      <c r="N137" s="61"/>
    </row>
    <row r="138" spans="1:14" ht="21.75" customHeight="1" x14ac:dyDescent="0.4">
      <c r="A138" s="55"/>
      <c r="B138" s="56"/>
      <c r="C138" s="56"/>
      <c r="D138" s="73"/>
      <c r="E138" s="77"/>
      <c r="F138" s="75" t="s">
        <v>75</v>
      </c>
      <c r="G138" s="76"/>
      <c r="H138" s="60" t="s">
        <v>16</v>
      </c>
      <c r="I138" s="67">
        <f ca="1">IFERROR(__xludf.DUMMYFUNCTION("IMPORTRANGE(""https://docs.google.com/spreadsheets/d/1C3CXT74ZlgGe6_JY_1olB1XN4rF0dxEuIIF-xsYjHgg/edit?usp=sharing"",""พรบ!AS27"")"),0)</f>
        <v>0</v>
      </c>
      <c r="J138" s="67">
        <v>0</v>
      </c>
      <c r="K138" s="233">
        <f ca="1">IF(I138&gt;0,J138*100/I138,0)</f>
        <v>0</v>
      </c>
      <c r="L138" s="53">
        <f ca="1">IFERROR(__xludf.DUMMYFUNCTION("IMPORTRANGE(""https://docs.google.com/spreadsheets/d/1C3CXT74ZlgGe6_JY_1olB1XN4rF0dxEuIIF-xsYjHgg/edit?usp=sharing"",""กปร!H27"")"),0)</f>
        <v>0</v>
      </c>
      <c r="M138" s="53">
        <v>0</v>
      </c>
      <c r="N138" s="53">
        <f ca="1">+IF(L138&gt;0,M138*100/L138,0)</f>
        <v>0</v>
      </c>
    </row>
    <row r="139" spans="1:14" ht="21.75" customHeight="1" x14ac:dyDescent="0.4">
      <c r="A139" s="55"/>
      <c r="B139" s="56"/>
      <c r="C139" s="56"/>
      <c r="D139" s="73"/>
      <c r="E139" s="77"/>
      <c r="F139" s="74" t="s">
        <v>34</v>
      </c>
      <c r="G139" s="76"/>
      <c r="H139" s="60"/>
      <c r="I139" s="67"/>
      <c r="J139" s="67"/>
      <c r="K139" s="233"/>
      <c r="L139" s="53"/>
      <c r="M139" s="53"/>
      <c r="N139" s="61"/>
    </row>
    <row r="140" spans="1:14" ht="21.75" customHeight="1" x14ac:dyDescent="0.4">
      <c r="A140" s="55"/>
      <c r="B140" s="56"/>
      <c r="C140" s="56"/>
      <c r="D140" s="73"/>
      <c r="E140" s="77"/>
      <c r="F140" s="75"/>
      <c r="G140" s="99" t="s">
        <v>76</v>
      </c>
      <c r="H140" s="60" t="s">
        <v>16</v>
      </c>
      <c r="I140" s="67">
        <f ca="1">IFERROR(__xludf.DUMMYFUNCTION("IMPORTRANGE(""https://docs.google.com/spreadsheets/d/1C3CXT74ZlgGe6_JY_1olB1XN4rF0dxEuIIF-xsYjHgg/edit?usp=sharing"",""พรบ!AT27"")"),0)</f>
        <v>0</v>
      </c>
      <c r="J140" s="67">
        <v>0</v>
      </c>
      <c r="K140" s="233">
        <f t="shared" ref="K140:K141" ca="1" si="34">IF(I140&gt;0,J140*100/I140,0)</f>
        <v>0</v>
      </c>
      <c r="L140" s="53">
        <f ca="1">IFERROR(__xludf.DUMMYFUNCTION("IMPORTRANGE(""https://docs.google.com/spreadsheets/d/1C3CXT74ZlgGe6_JY_1olB1XN4rF0dxEuIIF-xsYjHgg/edit?usp=sharing"",""กปร!I27"")"),0)</f>
        <v>0</v>
      </c>
      <c r="M140" s="53">
        <v>0</v>
      </c>
      <c r="N140" s="53">
        <f t="shared" ref="N140:N141" ca="1" si="35">+IF(L140&gt;0,M140*100/L140,0)</f>
        <v>0</v>
      </c>
    </row>
    <row r="141" spans="1:14" ht="21.75" customHeight="1" x14ac:dyDescent="0.4">
      <c r="A141" s="55"/>
      <c r="B141" s="56"/>
      <c r="C141" s="56"/>
      <c r="D141" s="73"/>
      <c r="E141" s="77"/>
      <c r="F141" s="75"/>
      <c r="G141" s="99" t="s">
        <v>77</v>
      </c>
      <c r="H141" s="60" t="s">
        <v>40</v>
      </c>
      <c r="I141" s="67">
        <f ca="1">IFERROR(__xludf.DUMMYFUNCTION("IMPORTRANGE(""https://docs.google.com/spreadsheets/d/1C3CXT74ZlgGe6_JY_1olB1XN4rF0dxEuIIF-xsYjHgg/edit?usp=sharing"",""พรบ!AU27"")"),0)</f>
        <v>0</v>
      </c>
      <c r="J141" s="67">
        <v>0</v>
      </c>
      <c r="K141" s="233">
        <f t="shared" ca="1" si="34"/>
        <v>0</v>
      </c>
      <c r="L141" s="53">
        <f ca="1">IFERROR(__xludf.DUMMYFUNCTION("IMPORTRANGE(""https://docs.google.com/spreadsheets/d/1C3CXT74ZlgGe6_JY_1olB1XN4rF0dxEuIIF-xsYjHgg/edit?usp=sharing"",""กปร!J27"")"),0)</f>
        <v>0</v>
      </c>
      <c r="M141" s="53">
        <v>0</v>
      </c>
      <c r="N141" s="53">
        <f t="shared" ca="1" si="35"/>
        <v>0</v>
      </c>
    </row>
    <row r="142" spans="1:14" ht="21.75" customHeight="1" x14ac:dyDescent="0.4">
      <c r="A142" s="55"/>
      <c r="B142" s="56"/>
      <c r="C142" s="56"/>
      <c r="D142" s="73"/>
      <c r="E142" s="74" t="s">
        <v>35</v>
      </c>
      <c r="F142" s="75"/>
      <c r="G142" s="76"/>
      <c r="H142" s="66"/>
      <c r="I142" s="67"/>
      <c r="J142" s="67">
        <v>0</v>
      </c>
      <c r="K142" s="233"/>
      <c r="L142" s="53"/>
      <c r="M142" s="53"/>
      <c r="N142" s="61"/>
    </row>
    <row r="143" spans="1:14" ht="21.75" customHeight="1" x14ac:dyDescent="0.4">
      <c r="A143" s="105"/>
      <c r="B143" s="106"/>
      <c r="C143" s="106"/>
      <c r="D143" s="107">
        <v>3</v>
      </c>
      <c r="E143" s="108" t="s">
        <v>36</v>
      </c>
      <c r="F143" s="109"/>
      <c r="G143" s="110"/>
      <c r="H143" s="111"/>
      <c r="I143" s="112"/>
      <c r="J143" s="356">
        <v>0</v>
      </c>
      <c r="K143" s="357"/>
      <c r="L143" s="358"/>
      <c r="M143" s="358"/>
      <c r="N143" s="115"/>
    </row>
    <row r="144" spans="1:14" ht="21.75" customHeight="1" x14ac:dyDescent="0.4">
      <c r="A144" s="132"/>
      <c r="B144" s="133" t="s">
        <v>78</v>
      </c>
      <c r="C144" s="134"/>
      <c r="D144" s="133"/>
      <c r="E144" s="133"/>
      <c r="F144" s="133"/>
      <c r="G144" s="135"/>
      <c r="H144" s="136" t="s">
        <v>16</v>
      </c>
      <c r="I144" s="137">
        <f t="shared" ref="I144:J144" ca="1" si="36">+I149+I158</f>
        <v>15</v>
      </c>
      <c r="J144" s="137">
        <f t="shared" si="36"/>
        <v>0</v>
      </c>
      <c r="K144" s="138">
        <f ca="1">IF(I144&gt;0,J144*100/I144,0)</f>
        <v>0</v>
      </c>
      <c r="L144" s="139">
        <f ca="1">L145+L146</f>
        <v>21125</v>
      </c>
      <c r="M144" s="139">
        <f>SUM(M145:M146)</f>
        <v>0</v>
      </c>
      <c r="N144" s="138">
        <f ca="1">IF(L144&gt;0,M144*100/L144,0)</f>
        <v>0</v>
      </c>
    </row>
    <row r="145" spans="1:14" ht="21.75" customHeight="1" x14ac:dyDescent="0.4">
      <c r="A145" s="42"/>
      <c r="B145" s="43"/>
      <c r="C145" s="43" t="s">
        <v>17</v>
      </c>
      <c r="D145" s="44" t="s">
        <v>18</v>
      </c>
      <c r="E145" s="45"/>
      <c r="F145" s="45"/>
      <c r="G145" s="46" t="s">
        <v>19</v>
      </c>
      <c r="H145" s="47" t="s">
        <v>20</v>
      </c>
      <c r="I145" s="48" t="s">
        <v>21</v>
      </c>
      <c r="J145" s="48"/>
      <c r="K145" s="49"/>
      <c r="L145" s="50">
        <v>0</v>
      </c>
      <c r="M145" s="50">
        <v>0</v>
      </c>
      <c r="N145" s="50">
        <f t="shared" ref="N145:N148" si="37">+IF(L145&gt;0,M145*100/L145,0)</f>
        <v>0</v>
      </c>
    </row>
    <row r="146" spans="1:14" ht="21.75" customHeight="1" x14ac:dyDescent="0.4">
      <c r="A146" s="42"/>
      <c r="B146" s="43"/>
      <c r="C146" s="43"/>
      <c r="D146" s="51"/>
      <c r="E146" s="45"/>
      <c r="F146" s="45" t="s">
        <v>21</v>
      </c>
      <c r="G146" s="46" t="s">
        <v>22</v>
      </c>
      <c r="H146" s="47" t="s">
        <v>20</v>
      </c>
      <c r="I146" s="48"/>
      <c r="J146" s="48"/>
      <c r="K146" s="49"/>
      <c r="L146" s="50">
        <f t="shared" ref="L146:M146" ca="1" si="38">SUM(L147:L148)</f>
        <v>21125</v>
      </c>
      <c r="M146" s="50">
        <f t="shared" si="38"/>
        <v>0</v>
      </c>
      <c r="N146" s="50">
        <f t="shared" ca="1" si="37"/>
        <v>0</v>
      </c>
    </row>
    <row r="147" spans="1:14" ht="21.75" customHeight="1" x14ac:dyDescent="0.4">
      <c r="A147" s="42"/>
      <c r="B147" s="43"/>
      <c r="C147" s="43"/>
      <c r="D147" s="51"/>
      <c r="E147" s="45"/>
      <c r="F147" s="45"/>
      <c r="G147" s="52" t="s">
        <v>23</v>
      </c>
      <c r="H147" s="47" t="s">
        <v>20</v>
      </c>
      <c r="I147" s="48"/>
      <c r="J147" s="48"/>
      <c r="K147" s="49"/>
      <c r="L147" s="53">
        <v>0</v>
      </c>
      <c r="M147" s="53">
        <v>0</v>
      </c>
      <c r="N147" s="53">
        <f t="shared" si="37"/>
        <v>0</v>
      </c>
    </row>
    <row r="148" spans="1:14" ht="21.75" customHeight="1" x14ac:dyDescent="0.4">
      <c r="A148" s="42"/>
      <c r="B148" s="43"/>
      <c r="C148" s="43"/>
      <c r="D148" s="51"/>
      <c r="E148" s="45"/>
      <c r="F148" s="45"/>
      <c r="G148" s="52" t="s">
        <v>24</v>
      </c>
      <c r="H148" s="47" t="s">
        <v>20</v>
      </c>
      <c r="I148" s="48"/>
      <c r="J148" s="48"/>
      <c r="K148" s="49"/>
      <c r="L148" s="53">
        <f ca="1">IFERROR(__xludf.DUMMYFUNCTION("IMPORTRANGE(""https://docs.google.com/spreadsheets/d/1C3CXT74ZlgGe6_JY_1olB1XN4rF0dxEuIIF-xsYjHgg/edit?usp=sharing"",""พรบ!AY27"")"),21125)</f>
        <v>21125</v>
      </c>
      <c r="M148" s="54">
        <v>0</v>
      </c>
      <c r="N148" s="53">
        <f t="shared" ca="1" si="37"/>
        <v>0</v>
      </c>
    </row>
    <row r="149" spans="1:14" ht="21.75" customHeight="1" x14ac:dyDescent="0.4">
      <c r="A149" s="55"/>
      <c r="B149" s="155"/>
      <c r="C149" s="134" t="s">
        <v>79</v>
      </c>
      <c r="D149" s="133"/>
      <c r="E149" s="133"/>
      <c r="F149" s="133"/>
      <c r="G149" s="135"/>
      <c r="H149" s="136" t="s">
        <v>16</v>
      </c>
      <c r="I149" s="137">
        <f ca="1">I155</f>
        <v>15</v>
      </c>
      <c r="J149" s="137">
        <f>+J155</f>
        <v>0</v>
      </c>
      <c r="K149" s="138">
        <f ca="1">IF(I149&gt;0,J149*100/I149,0)</f>
        <v>0</v>
      </c>
      <c r="L149" s="140"/>
      <c r="M149" s="140"/>
      <c r="N149" s="140"/>
    </row>
    <row r="150" spans="1:14" ht="21.75" customHeight="1" x14ac:dyDescent="0.4">
      <c r="A150" s="55"/>
      <c r="B150" s="56"/>
      <c r="C150" s="43" t="s">
        <v>17</v>
      </c>
      <c r="D150" s="57" t="s">
        <v>25</v>
      </c>
      <c r="E150" s="58"/>
      <c r="F150" s="58"/>
      <c r="G150" s="59"/>
      <c r="H150" s="60"/>
      <c r="I150" s="48"/>
      <c r="J150" s="48"/>
      <c r="K150" s="49"/>
      <c r="L150" s="61"/>
      <c r="M150" s="61"/>
      <c r="N150" s="61"/>
    </row>
    <row r="151" spans="1:14" ht="21.75" customHeight="1" x14ac:dyDescent="0.4">
      <c r="A151" s="55"/>
      <c r="B151" s="56"/>
      <c r="C151" s="56"/>
      <c r="D151" s="62">
        <v>1</v>
      </c>
      <c r="E151" s="63" t="s">
        <v>26</v>
      </c>
      <c r="F151" s="64"/>
      <c r="G151" s="65"/>
      <c r="H151" s="66"/>
      <c r="I151" s="67"/>
      <c r="J151" s="68">
        <v>0</v>
      </c>
      <c r="K151" s="49"/>
      <c r="L151" s="61"/>
      <c r="M151" s="61"/>
      <c r="N151" s="61"/>
    </row>
    <row r="152" spans="1:14" ht="21.75" customHeight="1" x14ac:dyDescent="0.4">
      <c r="A152" s="55"/>
      <c r="B152" s="56"/>
      <c r="C152" s="56"/>
      <c r="D152" s="69">
        <v>2</v>
      </c>
      <c r="E152" s="70" t="s">
        <v>27</v>
      </c>
      <c r="F152" s="71"/>
      <c r="G152" s="72"/>
      <c r="H152" s="66"/>
      <c r="I152" s="67"/>
      <c r="J152" s="68">
        <v>0</v>
      </c>
      <c r="K152" s="49"/>
      <c r="L152" s="61" t="s">
        <v>21</v>
      </c>
      <c r="M152" s="61" t="s">
        <v>21</v>
      </c>
      <c r="N152" s="61"/>
    </row>
    <row r="153" spans="1:14" ht="21.75" customHeight="1" x14ac:dyDescent="0.4">
      <c r="A153" s="55"/>
      <c r="B153" s="56"/>
      <c r="C153" s="56"/>
      <c r="D153" s="73"/>
      <c r="E153" s="74" t="s">
        <v>28</v>
      </c>
      <c r="F153" s="75"/>
      <c r="G153" s="76"/>
      <c r="H153" s="66"/>
      <c r="I153" s="67"/>
      <c r="J153" s="68">
        <v>0</v>
      </c>
      <c r="K153" s="49"/>
      <c r="L153" s="61"/>
      <c r="M153" s="61"/>
      <c r="N153" s="61"/>
    </row>
    <row r="154" spans="1:14" ht="21.75" customHeight="1" x14ac:dyDescent="0.4">
      <c r="A154" s="55"/>
      <c r="B154" s="56"/>
      <c r="C154" s="56"/>
      <c r="D154" s="73"/>
      <c r="E154" s="74" t="s">
        <v>29</v>
      </c>
      <c r="F154" s="75"/>
      <c r="G154" s="76"/>
      <c r="H154" s="66"/>
      <c r="I154" s="67"/>
      <c r="J154" s="68">
        <v>0</v>
      </c>
      <c r="K154" s="49"/>
      <c r="L154" s="61"/>
      <c r="M154" s="61"/>
      <c r="N154" s="61"/>
    </row>
    <row r="155" spans="1:14" ht="21.75" customHeight="1" x14ac:dyDescent="0.4">
      <c r="A155" s="55"/>
      <c r="B155" s="56"/>
      <c r="C155" s="56"/>
      <c r="D155" s="73"/>
      <c r="E155" s="77"/>
      <c r="F155" s="75"/>
      <c r="G155" s="99" t="s">
        <v>50</v>
      </c>
      <c r="H155" s="66" t="s">
        <v>16</v>
      </c>
      <c r="I155" s="67">
        <f ca="1">IFERROR(__xludf.DUMMYFUNCTION("IMPORTRANGE(""https://docs.google.com/spreadsheets/d/1C3CXT74ZlgGe6_JY_1olB1XN4rF0dxEuIIF-xsYjHgg/edit?usp=sharing"",""พรบ!BA27"")"),15)</f>
        <v>15</v>
      </c>
      <c r="J155" s="68">
        <v>0</v>
      </c>
      <c r="K155" s="49">
        <f ca="1">IF(I155&gt;0,J155*100/I155,0)</f>
        <v>0</v>
      </c>
      <c r="L155" s="61"/>
      <c r="M155" s="61"/>
      <c r="N155" s="61"/>
    </row>
    <row r="156" spans="1:14" ht="21.75" customHeight="1" x14ac:dyDescent="0.4">
      <c r="A156" s="55"/>
      <c r="B156" s="56"/>
      <c r="C156" s="56"/>
      <c r="D156" s="73"/>
      <c r="E156" s="74" t="s">
        <v>35</v>
      </c>
      <c r="F156" s="75"/>
      <c r="G156" s="76"/>
      <c r="H156" s="66"/>
      <c r="I156" s="67"/>
      <c r="J156" s="68">
        <v>0</v>
      </c>
      <c r="K156" s="49"/>
      <c r="L156" s="61"/>
      <c r="M156" s="61"/>
      <c r="N156" s="61"/>
    </row>
    <row r="157" spans="1:14" ht="21.75" customHeight="1" x14ac:dyDescent="0.4">
      <c r="A157" s="55"/>
      <c r="B157" s="56"/>
      <c r="C157" s="56"/>
      <c r="D157" s="81">
        <v>3</v>
      </c>
      <c r="E157" s="82" t="s">
        <v>36</v>
      </c>
      <c r="F157" s="83"/>
      <c r="G157" s="84"/>
      <c r="H157" s="66"/>
      <c r="I157" s="67"/>
      <c r="J157" s="85">
        <v>0</v>
      </c>
      <c r="K157" s="49"/>
      <c r="L157" s="61"/>
      <c r="M157" s="61"/>
      <c r="N157" s="61"/>
    </row>
    <row r="158" spans="1:14" ht="21.75" customHeight="1" x14ac:dyDescent="0.4">
      <c r="A158" s="55"/>
      <c r="B158" s="56"/>
      <c r="C158" s="134" t="s">
        <v>81</v>
      </c>
      <c r="D158" s="156"/>
      <c r="E158" s="133"/>
      <c r="F158" s="133"/>
      <c r="G158" s="135"/>
      <c r="H158" s="136" t="s">
        <v>16</v>
      </c>
      <c r="I158" s="137">
        <f>I164</f>
        <v>0</v>
      </c>
      <c r="J158" s="137">
        <f>+J164</f>
        <v>0</v>
      </c>
      <c r="K158" s="138">
        <f>IF(I158&gt;0,J158*100/I158,0)</f>
        <v>0</v>
      </c>
      <c r="L158" s="61"/>
      <c r="M158" s="61"/>
      <c r="N158" s="61"/>
    </row>
    <row r="159" spans="1:14" ht="21.75" customHeight="1" x14ac:dyDescent="0.4">
      <c r="A159" s="55"/>
      <c r="B159" s="56"/>
      <c r="C159" s="43" t="s">
        <v>17</v>
      </c>
      <c r="D159" s="57" t="s">
        <v>25</v>
      </c>
      <c r="E159" s="58"/>
      <c r="F159" s="58"/>
      <c r="G159" s="59"/>
      <c r="H159" s="60"/>
      <c r="I159" s="48"/>
      <c r="J159" s="48"/>
      <c r="K159" s="49"/>
      <c r="L159" s="61"/>
      <c r="M159" s="61"/>
      <c r="N159" s="61"/>
    </row>
    <row r="160" spans="1:14" ht="21.75" customHeight="1" x14ac:dyDescent="0.4">
      <c r="A160" s="55"/>
      <c r="B160" s="56"/>
      <c r="C160" s="56"/>
      <c r="D160" s="62">
        <v>1</v>
      </c>
      <c r="E160" s="63" t="s">
        <v>26</v>
      </c>
      <c r="F160" s="64"/>
      <c r="G160" s="65"/>
      <c r="H160" s="66"/>
      <c r="I160" s="67"/>
      <c r="J160" s="67">
        <v>0</v>
      </c>
      <c r="K160" s="49"/>
      <c r="L160" s="61"/>
      <c r="M160" s="61"/>
      <c r="N160" s="61"/>
    </row>
    <row r="161" spans="1:14" ht="21.75" customHeight="1" x14ac:dyDescent="0.4">
      <c r="A161" s="55"/>
      <c r="B161" s="56"/>
      <c r="C161" s="56"/>
      <c r="D161" s="69">
        <v>2</v>
      </c>
      <c r="E161" s="70" t="s">
        <v>27</v>
      </c>
      <c r="F161" s="71"/>
      <c r="G161" s="72"/>
      <c r="H161" s="66"/>
      <c r="I161" s="67"/>
      <c r="J161" s="67">
        <v>0</v>
      </c>
      <c r="K161" s="49"/>
      <c r="L161" s="61" t="s">
        <v>21</v>
      </c>
      <c r="M161" s="61" t="s">
        <v>21</v>
      </c>
      <c r="N161" s="61"/>
    </row>
    <row r="162" spans="1:14" ht="21.75" customHeight="1" x14ac:dyDescent="0.4">
      <c r="A162" s="55"/>
      <c r="B162" s="56"/>
      <c r="C162" s="56"/>
      <c r="D162" s="73"/>
      <c r="E162" s="74" t="s">
        <v>28</v>
      </c>
      <c r="F162" s="75"/>
      <c r="G162" s="76"/>
      <c r="H162" s="66"/>
      <c r="I162" s="67"/>
      <c r="J162" s="67">
        <v>0</v>
      </c>
      <c r="K162" s="49"/>
      <c r="L162" s="61"/>
      <c r="M162" s="61"/>
      <c r="N162" s="61"/>
    </row>
    <row r="163" spans="1:14" ht="21.75" customHeight="1" x14ac:dyDescent="0.4">
      <c r="A163" s="55"/>
      <c r="B163" s="56"/>
      <c r="C163" s="56"/>
      <c r="D163" s="73"/>
      <c r="E163" s="74" t="s">
        <v>29</v>
      </c>
      <c r="F163" s="75"/>
      <c r="G163" s="76"/>
      <c r="H163" s="66"/>
      <c r="I163" s="67"/>
      <c r="J163" s="67">
        <v>0</v>
      </c>
      <c r="K163" s="49"/>
      <c r="L163" s="61"/>
      <c r="M163" s="61"/>
      <c r="N163" s="61"/>
    </row>
    <row r="164" spans="1:14" ht="21.75" customHeight="1" x14ac:dyDescent="0.4">
      <c r="A164" s="55"/>
      <c r="B164" s="56"/>
      <c r="C164" s="56"/>
      <c r="D164" s="73"/>
      <c r="E164" s="75"/>
      <c r="F164" s="74" t="s">
        <v>82</v>
      </c>
      <c r="G164" s="75"/>
      <c r="H164" s="66" t="s">
        <v>16</v>
      </c>
      <c r="I164" s="67">
        <v>0</v>
      </c>
      <c r="J164" s="67">
        <v>0</v>
      </c>
      <c r="K164" s="49">
        <f>IF(I164&gt;0,J164*100/I164,0)</f>
        <v>0</v>
      </c>
      <c r="L164" s="61"/>
      <c r="M164" s="61"/>
      <c r="N164" s="61"/>
    </row>
    <row r="165" spans="1:14" ht="21.75" customHeight="1" x14ac:dyDescent="0.4">
      <c r="A165" s="55"/>
      <c r="B165" s="56"/>
      <c r="C165" s="56"/>
      <c r="D165" s="73"/>
      <c r="E165" s="74" t="s">
        <v>35</v>
      </c>
      <c r="F165" s="75"/>
      <c r="G165" s="76"/>
      <c r="H165" s="66"/>
      <c r="I165" s="67"/>
      <c r="J165" s="67">
        <v>0</v>
      </c>
      <c r="K165" s="49"/>
      <c r="L165" s="61"/>
      <c r="M165" s="61"/>
      <c r="N165" s="61"/>
    </row>
    <row r="166" spans="1:14" ht="21.75" customHeight="1" x14ac:dyDescent="0.4">
      <c r="A166" s="105"/>
      <c r="B166" s="106"/>
      <c r="C166" s="106"/>
      <c r="D166" s="107">
        <v>3</v>
      </c>
      <c r="E166" s="108" t="s">
        <v>36</v>
      </c>
      <c r="F166" s="109"/>
      <c r="G166" s="110"/>
      <c r="H166" s="111"/>
      <c r="I166" s="112"/>
      <c r="J166" s="356">
        <v>0</v>
      </c>
      <c r="K166" s="114"/>
      <c r="L166" s="115"/>
      <c r="M166" s="115"/>
      <c r="N166" s="115"/>
    </row>
    <row r="167" spans="1:14" ht="21.75" customHeight="1" x14ac:dyDescent="0.4">
      <c r="A167" s="157" t="s">
        <v>83</v>
      </c>
      <c r="B167" s="158"/>
      <c r="C167" s="158"/>
      <c r="D167" s="158"/>
      <c r="E167" s="159"/>
      <c r="F167" s="159"/>
      <c r="G167" s="160"/>
      <c r="H167" s="161"/>
      <c r="I167" s="162"/>
      <c r="J167" s="162"/>
      <c r="K167" s="163"/>
      <c r="L167" s="164"/>
      <c r="M167" s="164"/>
      <c r="N167" s="165"/>
    </row>
    <row r="168" spans="1:14" ht="21.75" customHeight="1" x14ac:dyDescent="0.4">
      <c r="A168" s="166" t="s">
        <v>84</v>
      </c>
      <c r="B168" s="167"/>
      <c r="C168" s="167"/>
      <c r="D168" s="168"/>
      <c r="E168" s="168"/>
      <c r="F168" s="168"/>
      <c r="G168" s="169"/>
      <c r="H168" s="170"/>
      <c r="I168" s="171"/>
      <c r="J168" s="171"/>
      <c r="K168" s="172"/>
      <c r="L168" s="172"/>
      <c r="M168" s="172"/>
      <c r="N168" s="173"/>
    </row>
    <row r="169" spans="1:14" ht="21.75" customHeight="1" x14ac:dyDescent="0.4">
      <c r="A169" s="174"/>
      <c r="B169" s="175" t="s">
        <v>85</v>
      </c>
      <c r="C169" s="175"/>
      <c r="D169" s="175"/>
      <c r="E169" s="175"/>
      <c r="F169" s="175"/>
      <c r="G169" s="176"/>
      <c r="H169" s="177" t="s">
        <v>16</v>
      </c>
      <c r="I169" s="178">
        <f ca="1">I180</f>
        <v>0</v>
      </c>
      <c r="J169" s="178">
        <f>+J180</f>
        <v>0</v>
      </c>
      <c r="K169" s="179">
        <f ca="1">IF(I169&gt;0,J169*100/I169,0)</f>
        <v>0</v>
      </c>
      <c r="L169" s="180">
        <f ca="1">L170+L171</f>
        <v>0</v>
      </c>
      <c r="M169" s="180">
        <f>SUM(M170:M171)</f>
        <v>0</v>
      </c>
      <c r="N169" s="179">
        <f ca="1">IF(L169&gt;0,M169*100/L169,0)</f>
        <v>0</v>
      </c>
    </row>
    <row r="170" spans="1:14" ht="21.75" customHeight="1" x14ac:dyDescent="0.4">
      <c r="A170" s="42"/>
      <c r="B170" s="43"/>
      <c r="C170" s="43" t="s">
        <v>17</v>
      </c>
      <c r="D170" s="44" t="s">
        <v>18</v>
      </c>
      <c r="E170" s="45"/>
      <c r="F170" s="45"/>
      <c r="G170" s="46" t="s">
        <v>19</v>
      </c>
      <c r="H170" s="47" t="s">
        <v>20</v>
      </c>
      <c r="I170" s="48" t="s">
        <v>21</v>
      </c>
      <c r="J170" s="48"/>
      <c r="K170" s="49"/>
      <c r="L170" s="50">
        <v>0</v>
      </c>
      <c r="M170" s="50">
        <v>0</v>
      </c>
      <c r="N170" s="50">
        <f t="shared" ref="N170:N173" si="39">+IF(L170&gt;0,M170*100/L170,0)</f>
        <v>0</v>
      </c>
    </row>
    <row r="171" spans="1:14" ht="21.75" customHeight="1" x14ac:dyDescent="0.4">
      <c r="A171" s="42"/>
      <c r="B171" s="43"/>
      <c r="C171" s="43"/>
      <c r="D171" s="51"/>
      <c r="E171" s="45"/>
      <c r="F171" s="45" t="s">
        <v>21</v>
      </c>
      <c r="G171" s="46" t="s">
        <v>22</v>
      </c>
      <c r="H171" s="47" t="s">
        <v>20</v>
      </c>
      <c r="I171" s="48"/>
      <c r="J171" s="48"/>
      <c r="K171" s="49"/>
      <c r="L171" s="50">
        <f t="shared" ref="L171:M171" ca="1" si="40">SUM(L172:L173)</f>
        <v>0</v>
      </c>
      <c r="M171" s="50">
        <f t="shared" si="40"/>
        <v>0</v>
      </c>
      <c r="N171" s="50">
        <f t="shared" ca="1" si="39"/>
        <v>0</v>
      </c>
    </row>
    <row r="172" spans="1:14" ht="21.75" customHeight="1" x14ac:dyDescent="0.4">
      <c r="A172" s="42"/>
      <c r="B172" s="43"/>
      <c r="C172" s="43"/>
      <c r="D172" s="51"/>
      <c r="E172" s="45"/>
      <c r="F172" s="45"/>
      <c r="G172" s="52" t="s">
        <v>23</v>
      </c>
      <c r="H172" s="47" t="s">
        <v>20</v>
      </c>
      <c r="I172" s="48"/>
      <c r="J172" s="67"/>
      <c r="K172" s="233"/>
      <c r="L172" s="53">
        <f ca="1">IFERROR(__xludf.DUMMYFUNCTION("IMPORTRANGE(""https://docs.google.com/spreadsheets/d/1C3CXT74ZlgGe6_JY_1olB1XN4rF0dxEuIIF-xsYjHgg/edit?usp=sharing"",""พรบ!BD27"")"),0)</f>
        <v>0</v>
      </c>
      <c r="M172" s="53">
        <v>0</v>
      </c>
      <c r="N172" s="53">
        <f t="shared" ca="1" si="39"/>
        <v>0</v>
      </c>
    </row>
    <row r="173" spans="1:14" ht="21.75" customHeight="1" x14ac:dyDescent="0.4">
      <c r="A173" s="42"/>
      <c r="B173" s="43"/>
      <c r="C173" s="43"/>
      <c r="D173" s="51"/>
      <c r="E173" s="45"/>
      <c r="F173" s="45"/>
      <c r="G173" s="52" t="s">
        <v>24</v>
      </c>
      <c r="H173" s="47" t="s">
        <v>20</v>
      </c>
      <c r="I173" s="48"/>
      <c r="J173" s="67"/>
      <c r="K173" s="233"/>
      <c r="L173" s="53">
        <f ca="1">IFERROR(__xludf.DUMMYFUNCTION("IMPORTRANGE(""https://docs.google.com/spreadsheets/d/1C3CXT74ZlgGe6_JY_1olB1XN4rF0dxEuIIF-xsYjHgg/edit?usp=sharing"",""พรบ!BE27"")"),0)</f>
        <v>0</v>
      </c>
      <c r="M173" s="53">
        <v>0</v>
      </c>
      <c r="N173" s="53">
        <f t="shared" ca="1" si="39"/>
        <v>0</v>
      </c>
    </row>
    <row r="174" spans="1:14" ht="21.75" customHeight="1" x14ac:dyDescent="0.4">
      <c r="A174" s="55"/>
      <c r="B174" s="56"/>
      <c r="C174" s="43" t="s">
        <v>17</v>
      </c>
      <c r="D174" s="57" t="s">
        <v>25</v>
      </c>
      <c r="E174" s="58"/>
      <c r="F174" s="58"/>
      <c r="G174" s="59"/>
      <c r="H174" s="60"/>
      <c r="I174" s="48"/>
      <c r="J174" s="67"/>
      <c r="K174" s="233"/>
      <c r="L174" s="53"/>
      <c r="M174" s="53"/>
      <c r="N174" s="61"/>
    </row>
    <row r="175" spans="1:14" ht="21.75" customHeight="1" x14ac:dyDescent="0.4">
      <c r="A175" s="55"/>
      <c r="B175" s="56"/>
      <c r="C175" s="56"/>
      <c r="D175" s="62">
        <v>1</v>
      </c>
      <c r="E175" s="63" t="s">
        <v>26</v>
      </c>
      <c r="F175" s="64"/>
      <c r="G175" s="65"/>
      <c r="H175" s="66"/>
      <c r="I175" s="67"/>
      <c r="J175" s="67">
        <v>0</v>
      </c>
      <c r="K175" s="233"/>
      <c r="L175" s="53"/>
      <c r="M175" s="53"/>
      <c r="N175" s="61"/>
    </row>
    <row r="176" spans="1:14" ht="21.75" customHeight="1" x14ac:dyDescent="0.4">
      <c r="A176" s="55"/>
      <c r="B176" s="56"/>
      <c r="C176" s="56"/>
      <c r="D176" s="69">
        <v>2</v>
      </c>
      <c r="E176" s="70" t="s">
        <v>27</v>
      </c>
      <c r="F176" s="71"/>
      <c r="G176" s="72"/>
      <c r="H176" s="66"/>
      <c r="I176" s="67"/>
      <c r="J176" s="67">
        <v>0</v>
      </c>
      <c r="K176" s="233"/>
      <c r="L176" s="53" t="s">
        <v>21</v>
      </c>
      <c r="M176" s="53" t="s">
        <v>21</v>
      </c>
      <c r="N176" s="61"/>
    </row>
    <row r="177" spans="1:14" ht="21.75" customHeight="1" x14ac:dyDescent="0.4">
      <c r="A177" s="55"/>
      <c r="B177" s="56"/>
      <c r="C177" s="56"/>
      <c r="D177" s="73"/>
      <c r="E177" s="74" t="s">
        <v>28</v>
      </c>
      <c r="F177" s="75"/>
      <c r="G177" s="76"/>
      <c r="H177" s="66"/>
      <c r="I177" s="67"/>
      <c r="J177" s="67">
        <v>0</v>
      </c>
      <c r="K177" s="233"/>
      <c r="L177" s="53"/>
      <c r="M177" s="53"/>
      <c r="N177" s="61"/>
    </row>
    <row r="178" spans="1:14" ht="21.75" customHeight="1" x14ac:dyDescent="0.4">
      <c r="A178" s="55"/>
      <c r="B178" s="56"/>
      <c r="C178" s="56"/>
      <c r="D178" s="73"/>
      <c r="E178" s="74" t="s">
        <v>29</v>
      </c>
      <c r="F178" s="75"/>
      <c r="G178" s="76"/>
      <c r="H178" s="66"/>
      <c r="I178" s="67"/>
      <c r="J178" s="67">
        <v>0</v>
      </c>
      <c r="K178" s="233"/>
      <c r="L178" s="53"/>
      <c r="M178" s="53"/>
      <c r="N178" s="61"/>
    </row>
    <row r="179" spans="1:14" ht="21.75" customHeight="1" x14ac:dyDescent="0.4">
      <c r="A179" s="55"/>
      <c r="B179" s="56"/>
      <c r="C179" s="56"/>
      <c r="D179" s="73"/>
      <c r="E179" s="77"/>
      <c r="F179" s="74" t="s">
        <v>86</v>
      </c>
      <c r="G179" s="76"/>
      <c r="H179" s="60" t="s">
        <v>40</v>
      </c>
      <c r="I179" s="67">
        <f ca="1">IFERROR(__xludf.DUMMYFUNCTION("IMPORTRANGE(""https://docs.google.com/spreadsheets/d/1C3CXT74ZlgGe6_JY_1olB1XN4rF0dxEuIIF-xsYjHgg/edit?usp=sharing"",""พรบ!BF27"")"),0)</f>
        <v>0</v>
      </c>
      <c r="J179" s="67">
        <v>0</v>
      </c>
      <c r="K179" s="233">
        <f t="shared" ref="K179:K182" ca="1" si="41">IF(I179&gt;0,J179*100/I179,0)</f>
        <v>0</v>
      </c>
      <c r="L179" s="53"/>
      <c r="M179" s="53"/>
      <c r="N179" s="61"/>
    </row>
    <row r="180" spans="1:14" ht="21.75" customHeight="1" x14ac:dyDescent="0.4">
      <c r="A180" s="55"/>
      <c r="B180" s="56"/>
      <c r="C180" s="56"/>
      <c r="D180" s="73"/>
      <c r="E180" s="77"/>
      <c r="F180" s="74" t="s">
        <v>87</v>
      </c>
      <c r="G180" s="76"/>
      <c r="H180" s="60" t="s">
        <v>16</v>
      </c>
      <c r="I180" s="67">
        <f ca="1">IFERROR(__xludf.DUMMYFUNCTION("IMPORTRANGE(""https://docs.google.com/spreadsheets/d/1C3CXT74ZlgGe6_JY_1olB1XN4rF0dxEuIIF-xsYjHgg/edit?usp=sharing"",""พรบ!BG27"")"),0)</f>
        <v>0</v>
      </c>
      <c r="J180" s="67">
        <v>0</v>
      </c>
      <c r="K180" s="233">
        <f t="shared" ca="1" si="41"/>
        <v>0</v>
      </c>
      <c r="L180" s="53"/>
      <c r="M180" s="53"/>
      <c r="N180" s="61"/>
    </row>
    <row r="181" spans="1:14" ht="21.75" customHeight="1" x14ac:dyDescent="0.4">
      <c r="A181" s="55"/>
      <c r="B181" s="56"/>
      <c r="C181" s="56"/>
      <c r="D181" s="73"/>
      <c r="E181" s="77"/>
      <c r="F181" s="74" t="s">
        <v>88</v>
      </c>
      <c r="G181" s="76"/>
      <c r="H181" s="60" t="s">
        <v>16</v>
      </c>
      <c r="I181" s="67">
        <f ca="1">IFERROR(__xludf.DUMMYFUNCTION("IMPORTRANGE(""https://docs.google.com/spreadsheets/d/1C3CXT74ZlgGe6_JY_1olB1XN4rF0dxEuIIF-xsYjHgg/edit?usp=sharing"",""พรบ!BH27"")"),0)</f>
        <v>0</v>
      </c>
      <c r="J181" s="67">
        <v>0</v>
      </c>
      <c r="K181" s="233">
        <f t="shared" ca="1" si="41"/>
        <v>0</v>
      </c>
      <c r="L181" s="53"/>
      <c r="M181" s="53"/>
      <c r="N181" s="61"/>
    </row>
    <row r="182" spans="1:14" ht="21.75" customHeight="1" x14ac:dyDescent="0.4">
      <c r="A182" s="55"/>
      <c r="B182" s="56"/>
      <c r="C182" s="56"/>
      <c r="D182" s="73"/>
      <c r="E182" s="77"/>
      <c r="F182" s="74" t="s">
        <v>89</v>
      </c>
      <c r="G182" s="76"/>
      <c r="H182" s="60" t="s">
        <v>16</v>
      </c>
      <c r="I182" s="67">
        <f ca="1">IFERROR(__xludf.DUMMYFUNCTION("IMPORTRANGE(""https://docs.google.com/spreadsheets/d/1C3CXT74ZlgGe6_JY_1olB1XN4rF0dxEuIIF-xsYjHgg/edit?usp=sharing"",""พรบ!BI27"")"),0)</f>
        <v>0</v>
      </c>
      <c r="J182" s="67">
        <v>0</v>
      </c>
      <c r="K182" s="233">
        <f t="shared" ca="1" si="41"/>
        <v>0</v>
      </c>
      <c r="L182" s="53"/>
      <c r="M182" s="53"/>
      <c r="N182" s="61"/>
    </row>
    <row r="183" spans="1:14" ht="21.75" customHeight="1" x14ac:dyDescent="0.4">
      <c r="A183" s="55"/>
      <c r="B183" s="56"/>
      <c r="C183" s="56"/>
      <c r="D183" s="73"/>
      <c r="E183" s="74" t="s">
        <v>35</v>
      </c>
      <c r="F183" s="75"/>
      <c r="G183" s="76"/>
      <c r="H183" s="66"/>
      <c r="I183" s="67"/>
      <c r="J183" s="67">
        <v>0</v>
      </c>
      <c r="K183" s="233"/>
      <c r="L183" s="53"/>
      <c r="M183" s="53"/>
      <c r="N183" s="61"/>
    </row>
    <row r="184" spans="1:14" ht="21.75" customHeight="1" x14ac:dyDescent="0.4">
      <c r="A184" s="105"/>
      <c r="B184" s="106"/>
      <c r="C184" s="106"/>
      <c r="D184" s="107">
        <v>3</v>
      </c>
      <c r="E184" s="108" t="s">
        <v>36</v>
      </c>
      <c r="F184" s="109"/>
      <c r="G184" s="110"/>
      <c r="H184" s="111"/>
      <c r="I184" s="112"/>
      <c r="J184" s="356">
        <v>0</v>
      </c>
      <c r="K184" s="357"/>
      <c r="L184" s="358"/>
      <c r="M184" s="358"/>
      <c r="N184" s="115"/>
    </row>
    <row r="185" spans="1:14" ht="21.75" customHeight="1" x14ac:dyDescent="0.4">
      <c r="A185" s="174"/>
      <c r="B185" s="175" t="s">
        <v>90</v>
      </c>
      <c r="C185" s="175"/>
      <c r="D185" s="175"/>
      <c r="E185" s="175"/>
      <c r="F185" s="175"/>
      <c r="G185" s="176"/>
      <c r="H185" s="177" t="s">
        <v>16</v>
      </c>
      <c r="I185" s="178">
        <f ca="1">I195</f>
        <v>0</v>
      </c>
      <c r="J185" s="178">
        <f>+J195</f>
        <v>0</v>
      </c>
      <c r="K185" s="179">
        <f ca="1">IF(I185&gt;0,J185*100/I185,0)</f>
        <v>0</v>
      </c>
      <c r="L185" s="180">
        <f ca="1">L186+L187</f>
        <v>0</v>
      </c>
      <c r="M185" s="180">
        <f>SUM(M186:M187)</f>
        <v>0</v>
      </c>
      <c r="N185" s="179">
        <f ca="1">IF(L185&gt;0,M185*100/L185,0)</f>
        <v>0</v>
      </c>
    </row>
    <row r="186" spans="1:14" ht="21.75" customHeight="1" x14ac:dyDescent="0.4">
      <c r="A186" s="42"/>
      <c r="B186" s="43"/>
      <c r="C186" s="43" t="s">
        <v>17</v>
      </c>
      <c r="D186" s="44" t="s">
        <v>18</v>
      </c>
      <c r="E186" s="45"/>
      <c r="F186" s="45"/>
      <c r="G186" s="46" t="s">
        <v>19</v>
      </c>
      <c r="H186" s="47" t="s">
        <v>20</v>
      </c>
      <c r="I186" s="48" t="s">
        <v>21</v>
      </c>
      <c r="J186" s="48"/>
      <c r="K186" s="49"/>
      <c r="L186" s="50">
        <v>0</v>
      </c>
      <c r="M186" s="50">
        <v>0</v>
      </c>
      <c r="N186" s="50">
        <f t="shared" ref="N186:N189" si="42">+IF(L186&gt;0,M186*100/L186,0)</f>
        <v>0</v>
      </c>
    </row>
    <row r="187" spans="1:14" ht="21.75" customHeight="1" x14ac:dyDescent="0.4">
      <c r="A187" s="42"/>
      <c r="B187" s="43"/>
      <c r="C187" s="43"/>
      <c r="D187" s="51"/>
      <c r="E187" s="45"/>
      <c r="F187" s="45" t="s">
        <v>21</v>
      </c>
      <c r="G187" s="46" t="s">
        <v>22</v>
      </c>
      <c r="H187" s="47" t="s">
        <v>20</v>
      </c>
      <c r="I187" s="48"/>
      <c r="J187" s="48"/>
      <c r="K187" s="49"/>
      <c r="L187" s="50">
        <f t="shared" ref="L187:M187" ca="1" si="43">SUM(L188:L189)</f>
        <v>0</v>
      </c>
      <c r="M187" s="50">
        <f t="shared" si="43"/>
        <v>0</v>
      </c>
      <c r="N187" s="50">
        <f t="shared" ca="1" si="42"/>
        <v>0</v>
      </c>
    </row>
    <row r="188" spans="1:14" ht="21.75" customHeight="1" x14ac:dyDescent="0.4">
      <c r="A188" s="42"/>
      <c r="B188" s="43"/>
      <c r="C188" s="43"/>
      <c r="D188" s="51"/>
      <c r="E188" s="45"/>
      <c r="F188" s="45"/>
      <c r="G188" s="52" t="s">
        <v>23</v>
      </c>
      <c r="H188" s="47" t="s">
        <v>20</v>
      </c>
      <c r="I188" s="48"/>
      <c r="J188" s="67"/>
      <c r="K188" s="233"/>
      <c r="L188" s="53">
        <f ca="1">IFERROR(__xludf.DUMMYFUNCTION("IMPORTRANGE(""https://docs.google.com/spreadsheets/d/1C3CXT74ZlgGe6_JY_1olB1XN4rF0dxEuIIF-xsYjHgg/edit?usp=sharing"",""พรบ!BK27"")"),0)</f>
        <v>0</v>
      </c>
      <c r="M188" s="53">
        <v>0</v>
      </c>
      <c r="N188" s="53">
        <f t="shared" ca="1" si="42"/>
        <v>0</v>
      </c>
    </row>
    <row r="189" spans="1:14" ht="21.75" customHeight="1" x14ac:dyDescent="0.4">
      <c r="A189" s="42"/>
      <c r="B189" s="43"/>
      <c r="C189" s="43"/>
      <c r="D189" s="51"/>
      <c r="E189" s="45"/>
      <c r="F189" s="45"/>
      <c r="G189" s="52" t="s">
        <v>24</v>
      </c>
      <c r="H189" s="47" t="s">
        <v>20</v>
      </c>
      <c r="I189" s="48"/>
      <c r="J189" s="67"/>
      <c r="K189" s="233"/>
      <c r="L189" s="53">
        <f ca="1">IFERROR(__xludf.DUMMYFUNCTION("IMPORTRANGE(""https://docs.google.com/spreadsheets/d/1C3CXT74ZlgGe6_JY_1olB1XN4rF0dxEuIIF-xsYjHgg/edit?usp=sharing"",""พรบ!BL27"")"),0)</f>
        <v>0</v>
      </c>
      <c r="M189" s="53">
        <v>0</v>
      </c>
      <c r="N189" s="53">
        <f t="shared" ca="1" si="42"/>
        <v>0</v>
      </c>
    </row>
    <row r="190" spans="1:14" ht="21.75" customHeight="1" x14ac:dyDescent="0.4">
      <c r="A190" s="55"/>
      <c r="B190" s="56"/>
      <c r="C190" s="43" t="s">
        <v>17</v>
      </c>
      <c r="D190" s="57" t="s">
        <v>25</v>
      </c>
      <c r="E190" s="58"/>
      <c r="F190" s="58"/>
      <c r="G190" s="59"/>
      <c r="H190" s="60"/>
      <c r="I190" s="48"/>
      <c r="J190" s="67"/>
      <c r="K190" s="233"/>
      <c r="L190" s="53"/>
      <c r="M190" s="53"/>
      <c r="N190" s="61"/>
    </row>
    <row r="191" spans="1:14" ht="21.75" customHeight="1" x14ac:dyDescent="0.4">
      <c r="A191" s="55"/>
      <c r="B191" s="56"/>
      <c r="C191" s="56"/>
      <c r="D191" s="62">
        <v>1</v>
      </c>
      <c r="E191" s="63" t="s">
        <v>26</v>
      </c>
      <c r="F191" s="64"/>
      <c r="G191" s="65"/>
      <c r="H191" s="66"/>
      <c r="I191" s="67"/>
      <c r="J191" s="67">
        <v>0</v>
      </c>
      <c r="K191" s="233"/>
      <c r="L191" s="53"/>
      <c r="M191" s="53"/>
      <c r="N191" s="61"/>
    </row>
    <row r="192" spans="1:14" ht="21.75" customHeight="1" x14ac:dyDescent="0.4">
      <c r="A192" s="55"/>
      <c r="B192" s="56"/>
      <c r="C192" s="56"/>
      <c r="D192" s="69">
        <v>2</v>
      </c>
      <c r="E192" s="70" t="s">
        <v>27</v>
      </c>
      <c r="F192" s="71"/>
      <c r="G192" s="72"/>
      <c r="H192" s="66"/>
      <c r="I192" s="67"/>
      <c r="J192" s="67">
        <v>0</v>
      </c>
      <c r="K192" s="233"/>
      <c r="L192" s="53"/>
      <c r="M192" s="53"/>
      <c r="N192" s="61"/>
    </row>
    <row r="193" spans="1:14" ht="21.75" customHeight="1" x14ac:dyDescent="0.4">
      <c r="A193" s="55"/>
      <c r="B193" s="56"/>
      <c r="C193" s="56"/>
      <c r="D193" s="73"/>
      <c r="E193" s="74" t="s">
        <v>28</v>
      </c>
      <c r="F193" s="75"/>
      <c r="G193" s="76"/>
      <c r="H193" s="66"/>
      <c r="I193" s="67"/>
      <c r="J193" s="67">
        <v>0</v>
      </c>
      <c r="K193" s="233"/>
      <c r="L193" s="53"/>
      <c r="M193" s="53"/>
      <c r="N193" s="61"/>
    </row>
    <row r="194" spans="1:14" ht="21.75" customHeight="1" x14ac:dyDescent="0.4">
      <c r="A194" s="55"/>
      <c r="B194" s="56"/>
      <c r="C194" s="56"/>
      <c r="D194" s="73"/>
      <c r="E194" s="74" t="s">
        <v>29</v>
      </c>
      <c r="F194" s="75"/>
      <c r="G194" s="76"/>
      <c r="H194" s="66"/>
      <c r="I194" s="67"/>
      <c r="J194" s="67">
        <v>0</v>
      </c>
      <c r="K194" s="233"/>
      <c r="L194" s="53"/>
      <c r="M194" s="53"/>
      <c r="N194" s="61"/>
    </row>
    <row r="195" spans="1:14" ht="21.75" customHeight="1" x14ac:dyDescent="0.4">
      <c r="A195" s="55"/>
      <c r="B195" s="56"/>
      <c r="C195" s="56"/>
      <c r="D195" s="73"/>
      <c r="E195" s="75"/>
      <c r="F195" s="74" t="s">
        <v>91</v>
      </c>
      <c r="G195" s="76"/>
      <c r="H195" s="66" t="s">
        <v>16</v>
      </c>
      <c r="I195" s="67">
        <f ca="1">IFERROR(__xludf.DUMMYFUNCTION("IMPORTRANGE(""https://docs.google.com/spreadsheets/d/1C3CXT74ZlgGe6_JY_1olB1XN4rF0dxEuIIF-xsYjHgg/edit?usp=sharing"",""พรบ!BM27"")"),0)</f>
        <v>0</v>
      </c>
      <c r="J195" s="67">
        <v>0</v>
      </c>
      <c r="K195" s="233">
        <f ca="1">IF(I195&gt;0,J195*100/I195,0)</f>
        <v>0</v>
      </c>
      <c r="L195" s="53"/>
      <c r="M195" s="53"/>
      <c r="N195" s="61"/>
    </row>
    <row r="196" spans="1:14" ht="21.75" customHeight="1" x14ac:dyDescent="0.4">
      <c r="A196" s="55"/>
      <c r="B196" s="56"/>
      <c r="C196" s="56"/>
      <c r="D196" s="73"/>
      <c r="E196" s="74" t="s">
        <v>35</v>
      </c>
      <c r="F196" s="75"/>
      <c r="G196" s="76"/>
      <c r="H196" s="66"/>
      <c r="I196" s="67"/>
      <c r="J196" s="67">
        <v>0</v>
      </c>
      <c r="K196" s="233"/>
      <c r="L196" s="53"/>
      <c r="M196" s="53"/>
      <c r="N196" s="61"/>
    </row>
    <row r="197" spans="1:14" ht="21.75" customHeight="1" x14ac:dyDescent="0.4">
      <c r="A197" s="55"/>
      <c r="B197" s="56"/>
      <c r="C197" s="56"/>
      <c r="D197" s="81">
        <v>3</v>
      </c>
      <c r="E197" s="82" t="s">
        <v>36</v>
      </c>
      <c r="F197" s="83"/>
      <c r="G197" s="84"/>
      <c r="H197" s="66"/>
      <c r="I197" s="67"/>
      <c r="J197" s="360">
        <v>0</v>
      </c>
      <c r="K197" s="233"/>
      <c r="L197" s="53"/>
      <c r="M197" s="53"/>
      <c r="N197" s="61"/>
    </row>
    <row r="198" spans="1:14" ht="21.75" customHeight="1" x14ac:dyDescent="0.4">
      <c r="A198" s="166" t="s">
        <v>92</v>
      </c>
      <c r="B198" s="167"/>
      <c r="C198" s="167"/>
      <c r="D198" s="168"/>
      <c r="E198" s="167"/>
      <c r="F198" s="167"/>
      <c r="G198" s="181"/>
      <c r="H198" s="182"/>
      <c r="I198" s="183"/>
      <c r="J198" s="183"/>
      <c r="K198" s="184"/>
      <c r="L198" s="184"/>
      <c r="M198" s="184"/>
      <c r="N198" s="173"/>
    </row>
    <row r="199" spans="1:14" ht="21.75" customHeight="1" x14ac:dyDescent="0.4">
      <c r="A199" s="185"/>
      <c r="B199" s="175" t="s">
        <v>93</v>
      </c>
      <c r="C199" s="186"/>
      <c r="D199" s="187"/>
      <c r="E199" s="175"/>
      <c r="F199" s="175"/>
      <c r="G199" s="176"/>
      <c r="H199" s="177" t="s">
        <v>16</v>
      </c>
      <c r="I199" s="178">
        <f t="shared" ref="I199:J199" ca="1" si="44">I209</f>
        <v>0</v>
      </c>
      <c r="J199" s="178">
        <f t="shared" si="44"/>
        <v>0</v>
      </c>
      <c r="K199" s="179">
        <f ca="1">IF(I199&gt;0,J199*100/I199,0)</f>
        <v>0</v>
      </c>
      <c r="L199" s="180">
        <f ca="1">L200+L201</f>
        <v>0</v>
      </c>
      <c r="M199" s="180">
        <f>SUM(M200:M201)</f>
        <v>0</v>
      </c>
      <c r="N199" s="179">
        <f ca="1">IF(L199&gt;0,M199*100/L199,0)</f>
        <v>0</v>
      </c>
    </row>
    <row r="200" spans="1:14" ht="21.75" customHeight="1" x14ac:dyDescent="0.4">
      <c r="A200" s="42"/>
      <c r="B200" s="43"/>
      <c r="C200" s="43" t="s">
        <v>17</v>
      </c>
      <c r="D200" s="44" t="s">
        <v>18</v>
      </c>
      <c r="E200" s="45"/>
      <c r="F200" s="45"/>
      <c r="G200" s="46" t="s">
        <v>19</v>
      </c>
      <c r="H200" s="47" t="s">
        <v>20</v>
      </c>
      <c r="I200" s="48" t="s">
        <v>21</v>
      </c>
      <c r="J200" s="67"/>
      <c r="K200" s="233"/>
      <c r="L200" s="50">
        <v>0</v>
      </c>
      <c r="M200" s="50">
        <v>0</v>
      </c>
      <c r="N200" s="50">
        <f t="shared" ref="N200:N203" si="45">+IF(L200&gt;0,M200*100/L200,0)</f>
        <v>0</v>
      </c>
    </row>
    <row r="201" spans="1:14" ht="21.75" customHeight="1" x14ac:dyDescent="0.4">
      <c r="A201" s="42"/>
      <c r="B201" s="43"/>
      <c r="C201" s="43"/>
      <c r="D201" s="51"/>
      <c r="E201" s="45"/>
      <c r="F201" s="45" t="s">
        <v>21</v>
      </c>
      <c r="G201" s="46" t="s">
        <v>22</v>
      </c>
      <c r="H201" s="47" t="s">
        <v>20</v>
      </c>
      <c r="I201" s="48"/>
      <c r="J201" s="67"/>
      <c r="K201" s="233"/>
      <c r="L201" s="50">
        <f t="shared" ref="L201:M201" ca="1" si="46">SUM(L202:L203)</f>
        <v>0</v>
      </c>
      <c r="M201" s="50">
        <f t="shared" si="46"/>
        <v>0</v>
      </c>
      <c r="N201" s="50">
        <f t="shared" ca="1" si="45"/>
        <v>0</v>
      </c>
    </row>
    <row r="202" spans="1:14" ht="21.75" customHeight="1" x14ac:dyDescent="0.4">
      <c r="A202" s="42"/>
      <c r="B202" s="43"/>
      <c r="C202" s="43"/>
      <c r="D202" s="51"/>
      <c r="E202" s="45"/>
      <c r="F202" s="45"/>
      <c r="G202" s="52" t="s">
        <v>23</v>
      </c>
      <c r="H202" s="47" t="s">
        <v>20</v>
      </c>
      <c r="I202" s="48"/>
      <c r="J202" s="67"/>
      <c r="K202" s="233"/>
      <c r="L202" s="53">
        <v>0</v>
      </c>
      <c r="M202" s="53">
        <v>0</v>
      </c>
      <c r="N202" s="53">
        <f t="shared" si="45"/>
        <v>0</v>
      </c>
    </row>
    <row r="203" spans="1:14" ht="21.75" customHeight="1" x14ac:dyDescent="0.4">
      <c r="A203" s="42"/>
      <c r="B203" s="43"/>
      <c r="C203" s="43"/>
      <c r="D203" s="51"/>
      <c r="E203" s="45"/>
      <c r="F203" s="45"/>
      <c r="G203" s="52" t="s">
        <v>24</v>
      </c>
      <c r="H203" s="47" t="s">
        <v>20</v>
      </c>
      <c r="I203" s="48"/>
      <c r="J203" s="67"/>
      <c r="K203" s="233"/>
      <c r="L203" s="53">
        <f ca="1">IFERROR(__xludf.DUMMYFUNCTION("IMPORTRANGE(""https://docs.google.com/spreadsheets/d/1C3CXT74ZlgGe6_JY_1olB1XN4rF0dxEuIIF-xsYjHgg/edit?usp=sharing"",""พรบ!BP27"")"),0)</f>
        <v>0</v>
      </c>
      <c r="M203" s="53">
        <v>0</v>
      </c>
      <c r="N203" s="53">
        <f t="shared" ca="1" si="45"/>
        <v>0</v>
      </c>
    </row>
    <row r="204" spans="1:14" ht="21.75" customHeight="1" x14ac:dyDescent="0.4">
      <c r="A204" s="55"/>
      <c r="B204" s="56"/>
      <c r="C204" s="43" t="s">
        <v>17</v>
      </c>
      <c r="D204" s="57" t="s">
        <v>25</v>
      </c>
      <c r="E204" s="58"/>
      <c r="F204" s="58"/>
      <c r="G204" s="59"/>
      <c r="H204" s="60"/>
      <c r="I204" s="48"/>
      <c r="J204" s="67"/>
      <c r="K204" s="233"/>
      <c r="L204" s="53"/>
      <c r="M204" s="53"/>
      <c r="N204" s="61"/>
    </row>
    <row r="205" spans="1:14" ht="21.75" customHeight="1" x14ac:dyDescent="0.4">
      <c r="A205" s="55"/>
      <c r="B205" s="56"/>
      <c r="C205" s="56"/>
      <c r="D205" s="62">
        <v>1</v>
      </c>
      <c r="E205" s="63" t="s">
        <v>26</v>
      </c>
      <c r="F205" s="64"/>
      <c r="G205" s="65"/>
      <c r="H205" s="66"/>
      <c r="I205" s="67"/>
      <c r="J205" s="67">
        <v>0</v>
      </c>
      <c r="K205" s="233"/>
      <c r="L205" s="53"/>
      <c r="M205" s="53"/>
      <c r="N205" s="61"/>
    </row>
    <row r="206" spans="1:14" ht="21.75" customHeight="1" x14ac:dyDescent="0.4">
      <c r="A206" s="55"/>
      <c r="B206" s="56"/>
      <c r="C206" s="56"/>
      <c r="D206" s="69">
        <v>2</v>
      </c>
      <c r="E206" s="70" t="s">
        <v>27</v>
      </c>
      <c r="F206" s="71"/>
      <c r="G206" s="72"/>
      <c r="H206" s="66"/>
      <c r="I206" s="67"/>
      <c r="J206" s="67">
        <v>0</v>
      </c>
      <c r="K206" s="233"/>
      <c r="L206" s="53" t="s">
        <v>21</v>
      </c>
      <c r="M206" s="53" t="s">
        <v>21</v>
      </c>
      <c r="N206" s="61"/>
    </row>
    <row r="207" spans="1:14" ht="21.75" customHeight="1" x14ac:dyDescent="0.4">
      <c r="A207" s="55"/>
      <c r="B207" s="56"/>
      <c r="C207" s="56"/>
      <c r="D207" s="73"/>
      <c r="E207" s="74" t="s">
        <v>28</v>
      </c>
      <c r="F207" s="75"/>
      <c r="G207" s="76"/>
      <c r="H207" s="66"/>
      <c r="I207" s="67"/>
      <c r="J207" s="67">
        <v>0</v>
      </c>
      <c r="K207" s="233"/>
      <c r="L207" s="53"/>
      <c r="M207" s="53"/>
      <c r="N207" s="61"/>
    </row>
    <row r="208" spans="1:14" ht="21.75" customHeight="1" x14ac:dyDescent="0.4">
      <c r="A208" s="55"/>
      <c r="B208" s="56"/>
      <c r="C208" s="56"/>
      <c r="D208" s="73"/>
      <c r="E208" s="74" t="s">
        <v>29</v>
      </c>
      <c r="F208" s="75"/>
      <c r="G208" s="76"/>
      <c r="H208" s="66"/>
      <c r="I208" s="67"/>
      <c r="J208" s="67">
        <v>0</v>
      </c>
      <c r="K208" s="233"/>
      <c r="L208" s="53"/>
      <c r="M208" s="53"/>
      <c r="N208" s="61"/>
    </row>
    <row r="209" spans="1:14" ht="21.75" customHeight="1" x14ac:dyDescent="0.4">
      <c r="A209" s="55"/>
      <c r="B209" s="56"/>
      <c r="C209" s="56"/>
      <c r="D209" s="73"/>
      <c r="E209" s="77"/>
      <c r="F209" s="74" t="s">
        <v>94</v>
      </c>
      <c r="G209" s="76"/>
      <c r="H209" s="60" t="s">
        <v>16</v>
      </c>
      <c r="I209" s="67">
        <f ca="1">IFERROR(__xludf.DUMMYFUNCTION("IMPORTRANGE(""https://docs.google.com/spreadsheets/d/1C3CXT74ZlgGe6_JY_1olB1XN4rF0dxEuIIF-xsYjHgg/edit?usp=sharing"",""พรบ!BQ27"")"),0)</f>
        <v>0</v>
      </c>
      <c r="J209" s="67">
        <v>0</v>
      </c>
      <c r="K209" s="233">
        <f ca="1">IF(I209&gt;0,J209*100/I209,0)</f>
        <v>0</v>
      </c>
      <c r="L209" s="53"/>
      <c r="M209" s="53"/>
      <c r="N209" s="61"/>
    </row>
    <row r="210" spans="1:14" ht="21.75" customHeight="1" x14ac:dyDescent="0.4">
      <c r="A210" s="55"/>
      <c r="B210" s="56"/>
      <c r="C210" s="56"/>
      <c r="D210" s="73"/>
      <c r="E210" s="77"/>
      <c r="F210" s="74" t="s">
        <v>95</v>
      </c>
      <c r="G210" s="76"/>
      <c r="H210" s="60"/>
      <c r="I210" s="67"/>
      <c r="J210" s="67"/>
      <c r="K210" s="233"/>
      <c r="L210" s="53"/>
      <c r="M210" s="53"/>
      <c r="N210" s="61"/>
    </row>
    <row r="211" spans="1:14" ht="21.75" customHeight="1" x14ac:dyDescent="0.4">
      <c r="A211" s="55"/>
      <c r="B211" s="56"/>
      <c r="C211" s="56"/>
      <c r="D211" s="73"/>
      <c r="E211" s="77"/>
      <c r="F211" s="75" t="s">
        <v>34</v>
      </c>
      <c r="G211" s="76"/>
      <c r="H211" s="60" t="s">
        <v>16</v>
      </c>
      <c r="I211" s="67">
        <f ca="1">IFERROR(__xludf.DUMMYFUNCTION("IMPORTRANGE(""https://docs.google.com/spreadsheets/d/1C3CXT74ZlgGe6_JY_1olB1XN4rF0dxEuIIF-xsYjHgg/edit?usp=sharing"",""พรบ!BR27"")"),0)</f>
        <v>0</v>
      </c>
      <c r="J211" s="67">
        <v>0</v>
      </c>
      <c r="K211" s="233">
        <f ca="1">IF(I211&gt;0,J211*100/I211,0)</f>
        <v>0</v>
      </c>
      <c r="L211" s="53"/>
      <c r="M211" s="53"/>
      <c r="N211" s="61"/>
    </row>
    <row r="212" spans="1:14" ht="21.75" customHeight="1" x14ac:dyDescent="0.4">
      <c r="A212" s="55"/>
      <c r="B212" s="56"/>
      <c r="C212" s="56"/>
      <c r="D212" s="73"/>
      <c r="E212" s="74" t="s">
        <v>35</v>
      </c>
      <c r="F212" s="75"/>
      <c r="G212" s="76"/>
      <c r="H212" s="66"/>
      <c r="I212" s="67"/>
      <c r="J212" s="67">
        <v>0</v>
      </c>
      <c r="K212" s="233"/>
      <c r="L212" s="53"/>
      <c r="M212" s="53"/>
      <c r="N212" s="61"/>
    </row>
    <row r="213" spans="1:14" ht="21.75" customHeight="1" x14ac:dyDescent="0.4">
      <c r="A213" s="55"/>
      <c r="B213" s="56"/>
      <c r="C213" s="56"/>
      <c r="D213" s="81">
        <v>3</v>
      </c>
      <c r="E213" s="82" t="s">
        <v>36</v>
      </c>
      <c r="F213" s="83"/>
      <c r="G213" s="84"/>
      <c r="H213" s="66"/>
      <c r="I213" s="67"/>
      <c r="J213" s="385">
        <v>0</v>
      </c>
      <c r="K213" s="233"/>
      <c r="L213" s="53"/>
      <c r="M213" s="53"/>
      <c r="N213" s="61"/>
    </row>
    <row r="214" spans="1:14" ht="21.75" customHeight="1" x14ac:dyDescent="0.4">
      <c r="A214" s="189"/>
      <c r="B214" s="190" t="s">
        <v>96</v>
      </c>
      <c r="C214" s="191"/>
      <c r="D214" s="192"/>
      <c r="E214" s="190"/>
      <c r="F214" s="190"/>
      <c r="G214" s="193"/>
      <c r="H214" s="194" t="s">
        <v>97</v>
      </c>
      <c r="I214" s="195">
        <f t="shared" ref="I214:J214" ca="1" si="47">I224</f>
        <v>0</v>
      </c>
      <c r="J214" s="195">
        <f t="shared" si="47"/>
        <v>0</v>
      </c>
      <c r="K214" s="196">
        <f ca="1">IF(I214&gt;0,J214*100/I214,0)</f>
        <v>0</v>
      </c>
      <c r="L214" s="197">
        <f ca="1">L215+L216</f>
        <v>0</v>
      </c>
      <c r="M214" s="197">
        <f>SUM(M215:M216)</f>
        <v>0</v>
      </c>
      <c r="N214" s="196">
        <f ca="1">IF(L214&gt;0,M214*100/L214,0)</f>
        <v>0</v>
      </c>
    </row>
    <row r="215" spans="1:14" ht="21.75" customHeight="1" x14ac:dyDescent="0.4">
      <c r="A215" s="42"/>
      <c r="B215" s="43"/>
      <c r="C215" s="43" t="s">
        <v>17</v>
      </c>
      <c r="D215" s="44" t="s">
        <v>18</v>
      </c>
      <c r="E215" s="45"/>
      <c r="F215" s="45"/>
      <c r="G215" s="46" t="s">
        <v>19</v>
      </c>
      <c r="H215" s="47" t="s">
        <v>20</v>
      </c>
      <c r="I215" s="48" t="s">
        <v>21</v>
      </c>
      <c r="J215" s="67"/>
      <c r="K215" s="233"/>
      <c r="L215" s="50">
        <v>0</v>
      </c>
      <c r="M215" s="53">
        <v>0</v>
      </c>
      <c r="N215" s="53">
        <f t="shared" ref="N215:N218" si="48">+IF(L215&gt;0,M215*100/L215,0)</f>
        <v>0</v>
      </c>
    </row>
    <row r="216" spans="1:14" ht="21.75" customHeight="1" x14ac:dyDescent="0.4">
      <c r="A216" s="42"/>
      <c r="B216" s="43"/>
      <c r="C216" s="43"/>
      <c r="D216" s="51"/>
      <c r="E216" s="45"/>
      <c r="F216" s="45" t="s">
        <v>21</v>
      </c>
      <c r="G216" s="46" t="s">
        <v>22</v>
      </c>
      <c r="H216" s="47" t="s">
        <v>20</v>
      </c>
      <c r="I216" s="48"/>
      <c r="J216" s="67"/>
      <c r="K216" s="233"/>
      <c r="L216" s="50">
        <f t="shared" ref="L216:M216" ca="1" si="49">SUM(L217:L218)</f>
        <v>0</v>
      </c>
      <c r="M216" s="53">
        <f t="shared" si="49"/>
        <v>0</v>
      </c>
      <c r="N216" s="53">
        <f t="shared" ca="1" si="48"/>
        <v>0</v>
      </c>
    </row>
    <row r="217" spans="1:14" ht="21.75" customHeight="1" x14ac:dyDescent="0.4">
      <c r="A217" s="42"/>
      <c r="B217" s="43"/>
      <c r="C217" s="43"/>
      <c r="D217" s="51"/>
      <c r="E217" s="45"/>
      <c r="F217" s="45"/>
      <c r="G217" s="52" t="s">
        <v>23</v>
      </c>
      <c r="H217" s="47" t="s">
        <v>20</v>
      </c>
      <c r="I217" s="48"/>
      <c r="J217" s="67"/>
      <c r="K217" s="233"/>
      <c r="L217" s="53">
        <v>0</v>
      </c>
      <c r="M217" s="53">
        <v>0</v>
      </c>
      <c r="N217" s="53">
        <f t="shared" si="48"/>
        <v>0</v>
      </c>
    </row>
    <row r="218" spans="1:14" ht="21.75" customHeight="1" x14ac:dyDescent="0.4">
      <c r="A218" s="42"/>
      <c r="B218" s="43"/>
      <c r="C218" s="43"/>
      <c r="D218" s="51"/>
      <c r="E218" s="45"/>
      <c r="F218" s="45"/>
      <c r="G218" s="52" t="s">
        <v>24</v>
      </c>
      <c r="H218" s="47" t="s">
        <v>20</v>
      </c>
      <c r="I218" s="48"/>
      <c r="J218" s="67"/>
      <c r="K218" s="233"/>
      <c r="L218" s="53">
        <f ca="1">IFERROR(__xludf.DUMMYFUNCTION("IMPORTRANGE(""https://docs.google.com/spreadsheets/d/1C3CXT74ZlgGe6_JY_1olB1XN4rF0dxEuIIF-xsYjHgg/edit?usp=sharing"",""พรบ!BU27"")"),0)</f>
        <v>0</v>
      </c>
      <c r="M218" s="53">
        <v>0</v>
      </c>
      <c r="N218" s="53">
        <f t="shared" ca="1" si="48"/>
        <v>0</v>
      </c>
    </row>
    <row r="219" spans="1:14" ht="21.75" customHeight="1" x14ac:dyDescent="0.4">
      <c r="A219" s="55"/>
      <c r="B219" s="56"/>
      <c r="C219" s="43" t="s">
        <v>17</v>
      </c>
      <c r="D219" s="57" t="s">
        <v>25</v>
      </c>
      <c r="E219" s="58"/>
      <c r="F219" s="58"/>
      <c r="G219" s="59"/>
      <c r="H219" s="60"/>
      <c r="I219" s="48"/>
      <c r="J219" s="67"/>
      <c r="K219" s="233"/>
      <c r="L219" s="53"/>
      <c r="M219" s="53"/>
      <c r="N219" s="61"/>
    </row>
    <row r="220" spans="1:14" ht="21.75" customHeight="1" x14ac:dyDescent="0.4">
      <c r="A220" s="55"/>
      <c r="B220" s="56"/>
      <c r="C220" s="56"/>
      <c r="D220" s="62">
        <v>1</v>
      </c>
      <c r="E220" s="63" t="s">
        <v>26</v>
      </c>
      <c r="F220" s="64"/>
      <c r="G220" s="65"/>
      <c r="H220" s="66"/>
      <c r="I220" s="67"/>
      <c r="J220" s="67">
        <v>0</v>
      </c>
      <c r="K220" s="233"/>
      <c r="L220" s="53"/>
      <c r="M220" s="53"/>
      <c r="N220" s="61"/>
    </row>
    <row r="221" spans="1:14" ht="21.75" customHeight="1" x14ac:dyDescent="0.4">
      <c r="A221" s="55"/>
      <c r="B221" s="56"/>
      <c r="C221" s="56"/>
      <c r="D221" s="69">
        <v>2</v>
      </c>
      <c r="E221" s="70" t="s">
        <v>27</v>
      </c>
      <c r="F221" s="71"/>
      <c r="G221" s="72"/>
      <c r="H221" s="66"/>
      <c r="I221" s="67"/>
      <c r="J221" s="67">
        <v>0</v>
      </c>
      <c r="K221" s="233"/>
      <c r="L221" s="53" t="s">
        <v>21</v>
      </c>
      <c r="M221" s="53" t="s">
        <v>21</v>
      </c>
      <c r="N221" s="61"/>
    </row>
    <row r="222" spans="1:14" ht="21.75" customHeight="1" x14ac:dyDescent="0.4">
      <c r="A222" s="55"/>
      <c r="B222" s="56"/>
      <c r="C222" s="56"/>
      <c r="D222" s="73"/>
      <c r="E222" s="74" t="s">
        <v>28</v>
      </c>
      <c r="F222" s="75"/>
      <c r="G222" s="76"/>
      <c r="H222" s="66"/>
      <c r="I222" s="67"/>
      <c r="J222" s="67">
        <v>0</v>
      </c>
      <c r="K222" s="233"/>
      <c r="L222" s="53"/>
      <c r="M222" s="53"/>
      <c r="N222" s="61"/>
    </row>
    <row r="223" spans="1:14" ht="21.75" customHeight="1" x14ac:dyDescent="0.4">
      <c r="A223" s="55"/>
      <c r="B223" s="56"/>
      <c r="C223" s="56"/>
      <c r="D223" s="73"/>
      <c r="E223" s="74" t="s">
        <v>29</v>
      </c>
      <c r="F223" s="75"/>
      <c r="G223" s="76"/>
      <c r="H223" s="66"/>
      <c r="I223" s="67"/>
      <c r="J223" s="67">
        <v>0</v>
      </c>
      <c r="K223" s="233"/>
      <c r="L223" s="53"/>
      <c r="M223" s="53"/>
      <c r="N223" s="61"/>
    </row>
    <row r="224" spans="1:14" ht="21.75" customHeight="1" x14ac:dyDescent="0.4">
      <c r="A224" s="55"/>
      <c r="B224" s="56"/>
      <c r="C224" s="56"/>
      <c r="D224" s="73"/>
      <c r="E224" s="77"/>
      <c r="F224" s="74" t="s">
        <v>98</v>
      </c>
      <c r="G224" s="76"/>
      <c r="H224" s="66" t="s">
        <v>97</v>
      </c>
      <c r="I224" s="67">
        <f ca="1">IFERROR(__xludf.DUMMYFUNCTION("IMPORTRANGE(""https://docs.google.com/spreadsheets/d/1C3CXT74ZlgGe6_JY_1olB1XN4rF0dxEuIIF-xsYjHgg/edit?usp=sharing"",""พรบ!BV27"")"),0)</f>
        <v>0</v>
      </c>
      <c r="J224" s="67">
        <v>0</v>
      </c>
      <c r="K224" s="233">
        <f ca="1">IF(I224&gt;0,J224*100/I224,0)</f>
        <v>0</v>
      </c>
      <c r="L224" s="53"/>
      <c r="M224" s="53"/>
      <c r="N224" s="61"/>
    </row>
    <row r="225" spans="1:14" ht="21.75" customHeight="1" x14ac:dyDescent="0.4">
      <c r="A225" s="55"/>
      <c r="B225" s="56"/>
      <c r="C225" s="56"/>
      <c r="D225" s="73"/>
      <c r="E225" s="74" t="s">
        <v>35</v>
      </c>
      <c r="F225" s="75"/>
      <c r="G225" s="76"/>
      <c r="H225" s="66"/>
      <c r="I225" s="67"/>
      <c r="J225" s="67">
        <v>0</v>
      </c>
      <c r="K225" s="233"/>
      <c r="L225" s="53"/>
      <c r="M225" s="53"/>
      <c r="N225" s="61"/>
    </row>
    <row r="226" spans="1:14" ht="21.75" customHeight="1" x14ac:dyDescent="0.4">
      <c r="A226" s="55"/>
      <c r="B226" s="56"/>
      <c r="C226" s="56"/>
      <c r="D226" s="81">
        <v>3</v>
      </c>
      <c r="E226" s="82" t="s">
        <v>36</v>
      </c>
      <c r="F226" s="83"/>
      <c r="G226" s="84"/>
      <c r="H226" s="66"/>
      <c r="I226" s="67"/>
      <c r="J226" s="360">
        <v>0</v>
      </c>
      <c r="K226" s="233"/>
      <c r="L226" s="53"/>
      <c r="M226" s="53"/>
      <c r="N226" s="61"/>
    </row>
    <row r="227" spans="1:14" ht="21.75" customHeight="1" x14ac:dyDescent="0.4">
      <c r="A227" s="166" t="s">
        <v>99</v>
      </c>
      <c r="B227" s="167"/>
      <c r="C227" s="167"/>
      <c r="D227" s="168"/>
      <c r="E227" s="167"/>
      <c r="F227" s="167"/>
      <c r="G227" s="181"/>
      <c r="H227" s="170"/>
      <c r="I227" s="171"/>
      <c r="J227" s="171"/>
      <c r="K227" s="172"/>
      <c r="L227" s="172"/>
      <c r="M227" s="172"/>
      <c r="N227" s="173"/>
    </row>
    <row r="228" spans="1:14" ht="21.75" customHeight="1" x14ac:dyDescent="0.4">
      <c r="A228" s="174"/>
      <c r="B228" s="175" t="s">
        <v>100</v>
      </c>
      <c r="C228" s="187"/>
      <c r="D228" s="175"/>
      <c r="E228" s="175"/>
      <c r="F228" s="175"/>
      <c r="G228" s="176"/>
      <c r="H228" s="177" t="s">
        <v>16</v>
      </c>
      <c r="I228" s="198">
        <f ca="1">I236</f>
        <v>130</v>
      </c>
      <c r="J228" s="198">
        <f ca="1">J240</f>
        <v>15</v>
      </c>
      <c r="K228" s="179">
        <f ca="1">IF(I228&gt;0,J228*100/I228,0)</f>
        <v>11.538461538461538</v>
      </c>
      <c r="L228" s="180">
        <f ca="1">L229+L230</f>
        <v>1177740</v>
      </c>
      <c r="M228" s="180">
        <f>SUM(M229:M230)</f>
        <v>91552.28</v>
      </c>
      <c r="N228" s="179">
        <f ca="1">IF(L228&gt;0,M228*100/L228,0)</f>
        <v>7.7735561329325655</v>
      </c>
    </row>
    <row r="229" spans="1:14" ht="21.75" customHeight="1" x14ac:dyDescent="0.4">
      <c r="A229" s="42"/>
      <c r="B229" s="43"/>
      <c r="C229" s="43" t="s">
        <v>17</v>
      </c>
      <c r="D229" s="44" t="s">
        <v>18</v>
      </c>
      <c r="E229" s="45"/>
      <c r="F229" s="45"/>
      <c r="G229" s="46" t="s">
        <v>19</v>
      </c>
      <c r="H229" s="47" t="s">
        <v>20</v>
      </c>
      <c r="I229" s="48" t="s">
        <v>21</v>
      </c>
      <c r="J229" s="48"/>
      <c r="K229" s="49"/>
      <c r="L229" s="50">
        <v>0</v>
      </c>
      <c r="M229" s="53">
        <v>0</v>
      </c>
      <c r="N229" s="53">
        <f t="shared" ref="N229:N232" si="50">+IF(L229&gt;0,M229*100/L229,0)</f>
        <v>0</v>
      </c>
    </row>
    <row r="230" spans="1:14" ht="21.75" customHeight="1" x14ac:dyDescent="0.4">
      <c r="A230" s="42"/>
      <c r="B230" s="43"/>
      <c r="C230" s="43"/>
      <c r="D230" s="51"/>
      <c r="E230" s="45"/>
      <c r="F230" s="45" t="s">
        <v>21</v>
      </c>
      <c r="G230" s="46" t="s">
        <v>22</v>
      </c>
      <c r="H230" s="47" t="s">
        <v>20</v>
      </c>
      <c r="I230" s="48"/>
      <c r="J230" s="48"/>
      <c r="K230" s="49"/>
      <c r="L230" s="50">
        <f t="shared" ref="L230:M230" ca="1" si="51">SUM(L231:L232)</f>
        <v>1177740</v>
      </c>
      <c r="M230" s="53">
        <f t="shared" si="51"/>
        <v>91552.28</v>
      </c>
      <c r="N230" s="53">
        <f t="shared" ca="1" si="50"/>
        <v>7.7735561329325655</v>
      </c>
    </row>
    <row r="231" spans="1:14" ht="21.75" customHeight="1" x14ac:dyDescent="0.4">
      <c r="A231" s="42"/>
      <c r="B231" s="43"/>
      <c r="C231" s="43"/>
      <c r="D231" s="51"/>
      <c r="E231" s="45"/>
      <c r="F231" s="45"/>
      <c r="G231" s="52" t="s">
        <v>23</v>
      </c>
      <c r="H231" s="47" t="s">
        <v>20</v>
      </c>
      <c r="I231" s="48"/>
      <c r="J231" s="48"/>
      <c r="K231" s="49"/>
      <c r="L231" s="53">
        <f ca="1">IFERROR(__xludf.DUMMYFUNCTION("IMPORTRANGE(""https://docs.google.com/spreadsheets/d/1C3CXT74ZlgGe6_JY_1olB1XN4rF0dxEuIIF-xsYjHgg/edit?usp=sharing"",""พรบ!BX27"")"),854600)</f>
        <v>854600</v>
      </c>
      <c r="M231" s="54">
        <v>91552.28</v>
      </c>
      <c r="N231" s="53">
        <f t="shared" ca="1" si="50"/>
        <v>10.712880879943834</v>
      </c>
    </row>
    <row r="232" spans="1:14" ht="21.75" customHeight="1" x14ac:dyDescent="0.4">
      <c r="A232" s="42"/>
      <c r="B232" s="43"/>
      <c r="C232" s="43"/>
      <c r="D232" s="51"/>
      <c r="E232" s="45"/>
      <c r="F232" s="45"/>
      <c r="G232" s="52" t="s">
        <v>24</v>
      </c>
      <c r="H232" s="47" t="s">
        <v>20</v>
      </c>
      <c r="I232" s="48"/>
      <c r="J232" s="48"/>
      <c r="K232" s="49"/>
      <c r="L232" s="53">
        <f ca="1">IFERROR(__xludf.DUMMYFUNCTION("IMPORTRANGE(""https://docs.google.com/spreadsheets/d/1C3CXT74ZlgGe6_JY_1olB1XN4rF0dxEuIIF-xsYjHgg/edit?usp=sharing"",""พรบ!BY27"")"),323140)</f>
        <v>323140</v>
      </c>
      <c r="M232" s="54">
        <v>0</v>
      </c>
      <c r="N232" s="53">
        <f t="shared" ca="1" si="50"/>
        <v>0</v>
      </c>
    </row>
    <row r="233" spans="1:14" ht="21.75" customHeight="1" x14ac:dyDescent="0.4">
      <c r="A233" s="55"/>
      <c r="B233" s="155"/>
      <c r="C233" s="199" t="s">
        <v>101</v>
      </c>
      <c r="D233" s="75"/>
      <c r="E233" s="75"/>
      <c r="F233" s="75"/>
      <c r="G233" s="76"/>
      <c r="H233" s="60"/>
      <c r="I233" s="200"/>
      <c r="J233" s="200"/>
      <c r="K233" s="201"/>
      <c r="L233" s="61"/>
      <c r="M233" s="61"/>
      <c r="N233" s="202"/>
    </row>
    <row r="234" spans="1:14" ht="21.75" customHeight="1" x14ac:dyDescent="0.4">
      <c r="A234" s="55"/>
      <c r="B234" s="155"/>
      <c r="C234" s="56"/>
      <c r="D234" s="75"/>
      <c r="E234" s="74" t="s">
        <v>102</v>
      </c>
      <c r="F234" s="75"/>
      <c r="G234" s="76"/>
      <c r="H234" s="60" t="s">
        <v>16</v>
      </c>
      <c r="I234" s="67">
        <v>0</v>
      </c>
      <c r="J234" s="67">
        <f ca="1">IFERROR(__xludf.DUMMYFUNCTION("IMPORTRANGE(""https://docs.google.com/spreadsheets/d/1AGHcLOeeYFL3K4b9R1dSzyJy00PE_ra89DNTVfnxSWM/edit?usp=sharing"",""รวมที่ทำกิน!J16"")"),3)</f>
        <v>3</v>
      </c>
      <c r="K234" s="201">
        <f t="shared" ref="K234:K241" si="52">IF(I234&gt;0,J234*100/I234,0)</f>
        <v>0</v>
      </c>
      <c r="L234" s="61"/>
      <c r="M234" s="61"/>
      <c r="N234" s="202"/>
    </row>
    <row r="235" spans="1:14" ht="21.75" customHeight="1" x14ac:dyDescent="0.4">
      <c r="A235" s="55"/>
      <c r="B235" s="155"/>
      <c r="C235" s="56"/>
      <c r="D235" s="75"/>
      <c r="E235" s="75"/>
      <c r="F235" s="75"/>
      <c r="G235" s="76"/>
      <c r="H235" s="60" t="s">
        <v>103</v>
      </c>
      <c r="I235" s="67">
        <f ca="1">IFERROR(__xludf.DUMMYFUNCTION("IMPORTRANGE(""https://docs.google.com/spreadsheets/d/1C3CXT74ZlgGe6_JY_1olB1XN4rF0dxEuIIF-xsYjHgg/edit?usp=sharing"",""พรบ!BZ27"")"),1000)</f>
        <v>1000</v>
      </c>
      <c r="J235" s="67">
        <f ca="1">IFERROR(__xludf.DUMMYFUNCTION("IMPORTRANGE(""https://docs.google.com/spreadsheets/d/1AGHcLOeeYFL3K4b9R1dSzyJy00PE_ra89DNTVfnxSWM/edit?usp=sharing"",""รวมที่ทำกิน!L16"")"),0.55)</f>
        <v>0.55000000000000004</v>
      </c>
      <c r="K235" s="201">
        <f t="shared" ca="1" si="52"/>
        <v>5.5000000000000007E-2</v>
      </c>
      <c r="L235" s="61"/>
      <c r="M235" s="61"/>
      <c r="N235" s="202"/>
    </row>
    <row r="236" spans="1:14" ht="21.75" customHeight="1" x14ac:dyDescent="0.4">
      <c r="A236" s="55"/>
      <c r="B236" s="155"/>
      <c r="C236" s="56"/>
      <c r="D236" s="75"/>
      <c r="E236" s="74" t="s">
        <v>104</v>
      </c>
      <c r="F236" s="75"/>
      <c r="G236" s="76"/>
      <c r="H236" s="60" t="s">
        <v>16</v>
      </c>
      <c r="I236" s="67">
        <f ca="1">IFERROR(__xludf.DUMMYFUNCTION("IMPORTRANGE(""https://docs.google.com/spreadsheets/d/1C3CXT74ZlgGe6_JY_1olB1XN4rF0dxEuIIF-xsYjHgg/edit?usp=sharing"",""พรบ!CA27"")"),130)</f>
        <v>130</v>
      </c>
      <c r="J236" s="67">
        <f ca="1">IFERROR(__xludf.DUMMYFUNCTION("IMPORTRANGE(""https://docs.google.com/spreadsheets/d/1AGHcLOeeYFL3K4b9R1dSzyJy00PE_ra89DNTVfnxSWM/edit?usp=sharing"",""รวมที่ทำกิน!O16"")"),21)</f>
        <v>21</v>
      </c>
      <c r="K236" s="201">
        <f t="shared" ca="1" si="52"/>
        <v>16.153846153846153</v>
      </c>
      <c r="L236" s="61"/>
      <c r="M236" s="61"/>
      <c r="N236" s="202"/>
    </row>
    <row r="237" spans="1:14" ht="21.75" customHeight="1" x14ac:dyDescent="0.4">
      <c r="A237" s="55"/>
      <c r="B237" s="155"/>
      <c r="C237" s="56"/>
      <c r="D237" s="75"/>
      <c r="E237" s="75"/>
      <c r="F237" s="75"/>
      <c r="G237" s="76"/>
      <c r="H237" s="60" t="s">
        <v>103</v>
      </c>
      <c r="I237" s="200">
        <v>0</v>
      </c>
      <c r="J237" s="67">
        <f ca="1">IFERROR(__xludf.DUMMYFUNCTION("IMPORTRANGE(""https://docs.google.com/spreadsheets/d/1AGHcLOeeYFL3K4b9R1dSzyJy00PE_ra89DNTVfnxSWM/edit?usp=sharing"",""รวมที่ทำกิน!Q16"")"),253.72)</f>
        <v>253.72</v>
      </c>
      <c r="K237" s="201">
        <f t="shared" si="52"/>
        <v>0</v>
      </c>
      <c r="L237" s="61"/>
      <c r="M237" s="61"/>
      <c r="N237" s="202"/>
    </row>
    <row r="238" spans="1:14" ht="21.75" customHeight="1" x14ac:dyDescent="0.4">
      <c r="A238" s="55"/>
      <c r="B238" s="155"/>
      <c r="C238" s="56"/>
      <c r="D238" s="75"/>
      <c r="E238" s="74" t="s">
        <v>105</v>
      </c>
      <c r="F238" s="75"/>
      <c r="G238" s="76"/>
      <c r="H238" s="60" t="s">
        <v>16</v>
      </c>
      <c r="I238" s="67">
        <f ca="1">IFERROR(__xludf.DUMMYFUNCTION("IMPORTRANGE(""https://docs.google.com/spreadsheets/d/1C3CXT74ZlgGe6_JY_1olB1XN4rF0dxEuIIF-xsYjHgg/edit?usp=sharing"",""พรบ!CB27"")"),130)</f>
        <v>130</v>
      </c>
      <c r="J238" s="67">
        <f ca="1">IFERROR(__xludf.DUMMYFUNCTION("IMPORTRANGE(""https://docs.google.com/spreadsheets/d/1AGHcLOeeYFL3K4b9R1dSzyJy00PE_ra89DNTVfnxSWM/edit?usp=sharing"",""รวมที่ทำกิน!S16"")"),0)</f>
        <v>0</v>
      </c>
      <c r="K238" s="201">
        <f t="shared" ca="1" si="52"/>
        <v>0</v>
      </c>
      <c r="L238" s="61"/>
      <c r="M238" s="61"/>
      <c r="N238" s="202"/>
    </row>
    <row r="239" spans="1:14" ht="21.75" customHeight="1" x14ac:dyDescent="0.4">
      <c r="A239" s="55"/>
      <c r="B239" s="155"/>
      <c r="C239" s="56"/>
      <c r="D239" s="75"/>
      <c r="E239" s="75"/>
      <c r="F239" s="75"/>
      <c r="G239" s="76"/>
      <c r="H239" s="60" t="s">
        <v>103</v>
      </c>
      <c r="I239" s="200">
        <v>0</v>
      </c>
      <c r="J239" s="67">
        <f ca="1">IFERROR(__xludf.DUMMYFUNCTION("IMPORTRANGE(""https://docs.google.com/spreadsheets/d/1AGHcLOeeYFL3K4b9R1dSzyJy00PE_ra89DNTVfnxSWM/edit?usp=sharing"",""รวมที่ทำกิน!U16"")"),0)</f>
        <v>0</v>
      </c>
      <c r="K239" s="201">
        <f t="shared" si="52"/>
        <v>0</v>
      </c>
      <c r="L239" s="61"/>
      <c r="M239" s="61"/>
      <c r="N239" s="202"/>
    </row>
    <row r="240" spans="1:14" ht="21.75" customHeight="1" x14ac:dyDescent="0.4">
      <c r="A240" s="55"/>
      <c r="B240" s="155"/>
      <c r="C240" s="56"/>
      <c r="D240" s="75"/>
      <c r="E240" s="74" t="s">
        <v>106</v>
      </c>
      <c r="F240" s="75"/>
      <c r="G240" s="76"/>
      <c r="H240" s="60" t="s">
        <v>16</v>
      </c>
      <c r="I240" s="67">
        <f ca="1">IFERROR(__xludf.DUMMYFUNCTION("IMPORTRANGE(""https://docs.google.com/spreadsheets/d/1C3CXT74ZlgGe6_JY_1olB1XN4rF0dxEuIIF-xsYjHgg/edit?usp=sharing"",""พรบ!CC27"")"),130)</f>
        <v>130</v>
      </c>
      <c r="J240" s="67">
        <f ca="1">IFERROR(__xludf.DUMMYFUNCTION("IMPORTRANGE(""https://docs.google.com/spreadsheets/d/1AGHcLOeeYFL3K4b9R1dSzyJy00PE_ra89DNTVfnxSWM/edit?usp=sharing"",""รวมที่ทำกิน!W16"")"),15)</f>
        <v>15</v>
      </c>
      <c r="K240" s="201">
        <f t="shared" ca="1" si="52"/>
        <v>11.538461538461538</v>
      </c>
      <c r="L240" s="61"/>
      <c r="M240" s="61"/>
      <c r="N240" s="202"/>
    </row>
    <row r="241" spans="1:14" ht="21.75" customHeight="1" x14ac:dyDescent="0.4">
      <c r="A241" s="105"/>
      <c r="B241" s="203"/>
      <c r="C241" s="106"/>
      <c r="D241" s="203"/>
      <c r="E241" s="204"/>
      <c r="F241" s="204"/>
      <c r="G241" s="205"/>
      <c r="H241" s="206" t="s">
        <v>103</v>
      </c>
      <c r="I241" s="207">
        <v>0</v>
      </c>
      <c r="J241" s="67">
        <f ca="1">IFERROR(__xludf.DUMMYFUNCTION("IMPORTRANGE(""https://docs.google.com/spreadsheets/d/1AGHcLOeeYFL3K4b9R1dSzyJy00PE_ra89DNTVfnxSWM/edit?usp=sharing"",""รวมที่ทำกิน!Y16"")"),210.55)</f>
        <v>210.55</v>
      </c>
      <c r="K241" s="201">
        <f t="shared" si="52"/>
        <v>0</v>
      </c>
      <c r="L241" s="115"/>
      <c r="M241" s="115"/>
      <c r="N241" s="208"/>
    </row>
    <row r="242" spans="1:14" ht="21.75" customHeight="1" x14ac:dyDescent="0.4">
      <c r="A242" s="209" t="s">
        <v>107</v>
      </c>
      <c r="B242" s="210"/>
      <c r="C242" s="210"/>
      <c r="D242" s="210"/>
      <c r="E242" s="210"/>
      <c r="F242" s="210"/>
      <c r="G242" s="211"/>
      <c r="H242" s="212"/>
      <c r="I242" s="213"/>
      <c r="J242" s="213"/>
      <c r="K242" s="214"/>
      <c r="L242" s="214">
        <f t="shared" ref="L242:M242" ca="1" si="53">SUM(L244,L275,L296,L330,L350,L426,L444,L457,L473,L490)</f>
        <v>1989847</v>
      </c>
      <c r="M242" s="214">
        <f t="shared" si="53"/>
        <v>59376.619999999995</v>
      </c>
      <c r="N242" s="214">
        <f ca="1">+IF(L242&gt;0,M242*100/L242,0)</f>
        <v>2.9839791702578138</v>
      </c>
    </row>
    <row r="243" spans="1:14" ht="21.75" customHeight="1" x14ac:dyDescent="0.4">
      <c r="A243" s="215" t="s">
        <v>108</v>
      </c>
      <c r="B243" s="216"/>
      <c r="C243" s="216"/>
      <c r="D243" s="216"/>
      <c r="E243" s="216"/>
      <c r="F243" s="216"/>
      <c r="G243" s="217"/>
      <c r="H243" s="218"/>
      <c r="I243" s="219"/>
      <c r="J243" s="219"/>
      <c r="K243" s="220"/>
      <c r="L243" s="220"/>
      <c r="M243" s="220"/>
      <c r="N243" s="221"/>
    </row>
    <row r="244" spans="1:14" ht="21.75" customHeight="1" x14ac:dyDescent="0.4">
      <c r="A244" s="222"/>
      <c r="B244" s="223">
        <v>1</v>
      </c>
      <c r="C244" s="224" t="s">
        <v>109</v>
      </c>
      <c r="D244" s="224"/>
      <c r="E244" s="224"/>
      <c r="F244" s="224"/>
      <c r="G244" s="225"/>
      <c r="H244" s="226" t="s">
        <v>103</v>
      </c>
      <c r="I244" s="227">
        <f t="shared" ref="I244:J244" ca="1" si="54">I270</f>
        <v>160</v>
      </c>
      <c r="J244" s="227">
        <f t="shared" si="54"/>
        <v>0</v>
      </c>
      <c r="K244" s="228">
        <f t="shared" ref="K244:K245" ca="1" si="55">IF(I244&gt;0,J244*100/I244,0)</f>
        <v>0</v>
      </c>
      <c r="L244" s="229">
        <f t="shared" ref="L244:M244" ca="1" si="56">SUM(L246:L247)</f>
        <v>406480</v>
      </c>
      <c r="M244" s="229">
        <f t="shared" si="56"/>
        <v>10451.700000000001</v>
      </c>
      <c r="N244" s="229">
        <f ca="1">+IF(L244&gt;0,M244*100/L244,0)</f>
        <v>2.5712704192088176</v>
      </c>
    </row>
    <row r="245" spans="1:14" ht="21.75" customHeight="1" x14ac:dyDescent="0.4">
      <c r="A245" s="222"/>
      <c r="B245" s="223"/>
      <c r="C245" s="224"/>
      <c r="D245" s="224"/>
      <c r="E245" s="224"/>
      <c r="F245" s="224"/>
      <c r="G245" s="225"/>
      <c r="H245" s="226" t="s">
        <v>16</v>
      </c>
      <c r="I245" s="227">
        <f ca="1">I263</f>
        <v>60</v>
      </c>
      <c r="J245" s="227">
        <f>+J263</f>
        <v>0</v>
      </c>
      <c r="K245" s="228">
        <f t="shared" ca="1" si="55"/>
        <v>0</v>
      </c>
      <c r="L245" s="229"/>
      <c r="M245" s="229"/>
      <c r="N245" s="229"/>
    </row>
    <row r="246" spans="1:14" ht="21.75" customHeight="1" x14ac:dyDescent="0.4">
      <c r="A246" s="42"/>
      <c r="B246" s="43"/>
      <c r="C246" s="43" t="s">
        <v>17</v>
      </c>
      <c r="D246" s="44" t="s">
        <v>18</v>
      </c>
      <c r="E246" s="45"/>
      <c r="F246" s="45"/>
      <c r="G246" s="46" t="s">
        <v>19</v>
      </c>
      <c r="H246" s="47" t="s">
        <v>20</v>
      </c>
      <c r="I246" s="48" t="s">
        <v>21</v>
      </c>
      <c r="J246" s="48"/>
      <c r="K246" s="49"/>
      <c r="L246" s="50">
        <v>0</v>
      </c>
      <c r="M246" s="50">
        <v>0</v>
      </c>
      <c r="N246" s="50">
        <f t="shared" ref="N246:N249" si="57">+IF(L246&gt;0,M246*100/L246,0)</f>
        <v>0</v>
      </c>
    </row>
    <row r="247" spans="1:14" ht="21.75" customHeight="1" x14ac:dyDescent="0.4">
      <c r="A247" s="42"/>
      <c r="B247" s="43"/>
      <c r="C247" s="43"/>
      <c r="D247" s="51"/>
      <c r="E247" s="45"/>
      <c r="F247" s="45" t="s">
        <v>21</v>
      </c>
      <c r="G247" s="46" t="s">
        <v>22</v>
      </c>
      <c r="H247" s="47" t="s">
        <v>20</v>
      </c>
      <c r="I247" s="48"/>
      <c r="J247" s="48"/>
      <c r="K247" s="49"/>
      <c r="L247" s="50">
        <f t="shared" ref="L247:M247" ca="1" si="58">SUM(L248:L249)</f>
        <v>406480</v>
      </c>
      <c r="M247" s="50">
        <f t="shared" si="58"/>
        <v>10451.700000000001</v>
      </c>
      <c r="N247" s="50">
        <f t="shared" ca="1" si="57"/>
        <v>2.5712704192088176</v>
      </c>
    </row>
    <row r="248" spans="1:14" ht="21.75" customHeight="1" x14ac:dyDescent="0.4">
      <c r="A248" s="42"/>
      <c r="B248" s="43"/>
      <c r="C248" s="43"/>
      <c r="D248" s="51"/>
      <c r="E248" s="45"/>
      <c r="F248" s="45"/>
      <c r="G248" s="52" t="s">
        <v>110</v>
      </c>
      <c r="H248" s="47" t="s">
        <v>20</v>
      </c>
      <c r="I248" s="48"/>
      <c r="J248" s="48"/>
      <c r="K248" s="49"/>
      <c r="L248" s="53">
        <f ca="1">IFERROR(__xludf.DUMMYFUNCTION("IMPORTRANGE(""https://docs.google.com/spreadsheets/d/1C3CXT74ZlgGe6_JY_1olB1XN4rF0dxEuIIF-xsYjHgg/edit?usp=sharing"",""งบกองทุน!d27"")"),0)</f>
        <v>0</v>
      </c>
      <c r="M248" s="53">
        <v>0</v>
      </c>
      <c r="N248" s="53">
        <f t="shared" ca="1" si="57"/>
        <v>0</v>
      </c>
    </row>
    <row r="249" spans="1:14" ht="21.75" customHeight="1" x14ac:dyDescent="0.4">
      <c r="A249" s="42"/>
      <c r="B249" s="43"/>
      <c r="C249" s="43"/>
      <c r="D249" s="51"/>
      <c r="E249" s="45"/>
      <c r="F249" s="45"/>
      <c r="G249" s="52" t="s">
        <v>111</v>
      </c>
      <c r="H249" s="47" t="s">
        <v>20</v>
      </c>
      <c r="I249" s="48"/>
      <c r="J249" s="48"/>
      <c r="K249" s="49"/>
      <c r="L249" s="53">
        <f ca="1">IFERROR(__xludf.DUMMYFUNCTION("IMPORTRANGE(""https://docs.google.com/spreadsheets/d/1C3CXT74ZlgGe6_JY_1olB1XN4rF0dxEuIIF-xsYjHgg/edit?usp=sharing"",""งบกองทุน!e27"")"),406480)</f>
        <v>406480</v>
      </c>
      <c r="M249" s="53">
        <f>SUM(M250:M253)</f>
        <v>10451.700000000001</v>
      </c>
      <c r="N249" s="53">
        <f t="shared" ca="1" si="57"/>
        <v>2.5712704192088176</v>
      </c>
    </row>
    <row r="250" spans="1:14" ht="21.75" customHeight="1" x14ac:dyDescent="0.4">
      <c r="A250" s="230"/>
      <c r="B250" s="231"/>
      <c r="C250" s="43"/>
      <c r="D250" s="232"/>
      <c r="E250" s="45"/>
      <c r="F250" s="45"/>
      <c r="G250" s="46" t="s">
        <v>112</v>
      </c>
      <c r="H250" s="47" t="s">
        <v>20</v>
      </c>
      <c r="I250" s="67"/>
      <c r="J250" s="67"/>
      <c r="K250" s="233"/>
      <c r="L250" s="53"/>
      <c r="M250" s="54">
        <v>0</v>
      </c>
      <c r="N250" s="53"/>
    </row>
    <row r="251" spans="1:14" ht="21.75" customHeight="1" x14ac:dyDescent="0.4">
      <c r="A251" s="230"/>
      <c r="B251" s="231"/>
      <c r="C251" s="43"/>
      <c r="D251" s="232"/>
      <c r="E251" s="45"/>
      <c r="F251" s="45"/>
      <c r="G251" s="46" t="s">
        <v>113</v>
      </c>
      <c r="H251" s="47" t="s">
        <v>20</v>
      </c>
      <c r="I251" s="67"/>
      <c r="J251" s="67"/>
      <c r="K251" s="233"/>
      <c r="L251" s="53"/>
      <c r="M251" s="54">
        <v>0</v>
      </c>
      <c r="N251" s="53"/>
    </row>
    <row r="252" spans="1:14" ht="21.75" customHeight="1" x14ac:dyDescent="0.4">
      <c r="A252" s="230"/>
      <c r="B252" s="231"/>
      <c r="C252" s="43"/>
      <c r="D252" s="232"/>
      <c r="E252" s="45"/>
      <c r="F252" s="45"/>
      <c r="G252" s="46" t="s">
        <v>114</v>
      </c>
      <c r="H252" s="47" t="s">
        <v>20</v>
      </c>
      <c r="I252" s="67"/>
      <c r="J252" s="67"/>
      <c r="K252" s="233"/>
      <c r="L252" s="53"/>
      <c r="M252" s="54">
        <v>10451.700000000001</v>
      </c>
      <c r="N252" s="53"/>
    </row>
    <row r="253" spans="1:14" ht="21.75" customHeight="1" x14ac:dyDescent="0.4">
      <c r="A253" s="230"/>
      <c r="B253" s="231"/>
      <c r="C253" s="43"/>
      <c r="D253" s="232"/>
      <c r="E253" s="45"/>
      <c r="F253" s="45"/>
      <c r="G253" s="46" t="s">
        <v>115</v>
      </c>
      <c r="H253" s="47" t="s">
        <v>20</v>
      </c>
      <c r="I253" s="67"/>
      <c r="J253" s="67"/>
      <c r="K253" s="233"/>
      <c r="L253" s="53"/>
      <c r="M253" s="54">
        <v>0</v>
      </c>
      <c r="N253" s="53"/>
    </row>
    <row r="254" spans="1:14" ht="21.75" customHeight="1" x14ac:dyDescent="0.4">
      <c r="A254" s="55"/>
      <c r="B254" s="56"/>
      <c r="C254" s="43" t="s">
        <v>17</v>
      </c>
      <c r="D254" s="57" t="s">
        <v>25</v>
      </c>
      <c r="E254" s="58"/>
      <c r="F254" s="58"/>
      <c r="G254" s="59"/>
      <c r="H254" s="60"/>
      <c r="I254" s="48"/>
      <c r="J254" s="48"/>
      <c r="K254" s="49"/>
      <c r="L254" s="61"/>
      <c r="M254" s="61"/>
      <c r="N254" s="61"/>
    </row>
    <row r="255" spans="1:14" ht="21.75" customHeight="1" x14ac:dyDescent="0.4">
      <c r="A255" s="55"/>
      <c r="B255" s="56"/>
      <c r="C255" s="56"/>
      <c r="D255" s="62">
        <v>1</v>
      </c>
      <c r="E255" s="63" t="s">
        <v>26</v>
      </c>
      <c r="F255" s="64"/>
      <c r="G255" s="65"/>
      <c r="H255" s="66"/>
      <c r="I255" s="67"/>
      <c r="J255" s="68">
        <v>0</v>
      </c>
      <c r="K255" s="49"/>
      <c r="L255" s="61"/>
      <c r="M255" s="61"/>
      <c r="N255" s="61"/>
    </row>
    <row r="256" spans="1:14" ht="21.75" customHeight="1" x14ac:dyDescent="0.4">
      <c r="A256" s="55"/>
      <c r="B256" s="56"/>
      <c r="C256" s="56"/>
      <c r="D256" s="69">
        <v>2</v>
      </c>
      <c r="E256" s="70" t="s">
        <v>27</v>
      </c>
      <c r="F256" s="71"/>
      <c r="G256" s="72"/>
      <c r="H256" s="66"/>
      <c r="I256" s="67"/>
      <c r="J256" s="68">
        <v>0</v>
      </c>
      <c r="K256" s="49"/>
      <c r="L256" s="61" t="s">
        <v>21</v>
      </c>
      <c r="M256" s="61" t="s">
        <v>21</v>
      </c>
      <c r="N256" s="61"/>
    </row>
    <row r="257" spans="1:14" ht="21.75" customHeight="1" x14ac:dyDescent="0.4">
      <c r="A257" s="55"/>
      <c r="B257" s="56"/>
      <c r="C257" s="56"/>
      <c r="D257" s="73"/>
      <c r="E257" s="74" t="s">
        <v>28</v>
      </c>
      <c r="F257" s="75"/>
      <c r="G257" s="76"/>
      <c r="H257" s="66"/>
      <c r="I257" s="67"/>
      <c r="J257" s="68">
        <v>0</v>
      </c>
      <c r="K257" s="49"/>
      <c r="L257" s="61"/>
      <c r="M257" s="61"/>
      <c r="N257" s="61"/>
    </row>
    <row r="258" spans="1:14" ht="21.75" customHeight="1" x14ac:dyDescent="0.4">
      <c r="A258" s="55"/>
      <c r="B258" s="56"/>
      <c r="C258" s="56"/>
      <c r="D258" s="73"/>
      <c r="E258" s="74" t="s">
        <v>29</v>
      </c>
      <c r="F258" s="75"/>
      <c r="G258" s="76"/>
      <c r="H258" s="66"/>
      <c r="I258" s="67"/>
      <c r="J258" s="68">
        <v>0</v>
      </c>
      <c r="K258" s="49"/>
      <c r="L258" s="61"/>
      <c r="M258" s="61"/>
      <c r="N258" s="61"/>
    </row>
    <row r="259" spans="1:14" ht="21.75" hidden="1" customHeight="1" x14ac:dyDescent="0.4">
      <c r="A259" s="55"/>
      <c r="B259" s="56"/>
      <c r="C259" s="56"/>
      <c r="D259" s="73"/>
      <c r="E259" s="77"/>
      <c r="F259" s="74" t="s">
        <v>50</v>
      </c>
      <c r="G259" s="76"/>
      <c r="H259" s="60"/>
      <c r="I259" s="67"/>
      <c r="J259" s="67">
        <f>+J260+J263+J268</f>
        <v>0</v>
      </c>
      <c r="K259" s="49"/>
      <c r="L259" s="61"/>
      <c r="M259" s="61"/>
      <c r="N259" s="61"/>
    </row>
    <row r="260" spans="1:14" ht="21.75" hidden="1" customHeight="1" x14ac:dyDescent="0.4">
      <c r="A260" s="55"/>
      <c r="B260" s="56"/>
      <c r="C260" s="56"/>
      <c r="D260" s="73"/>
      <c r="E260" s="77"/>
      <c r="F260" s="75"/>
      <c r="G260" s="99" t="s">
        <v>116</v>
      </c>
      <c r="H260" s="60" t="s">
        <v>16</v>
      </c>
      <c r="I260" s="67">
        <f ca="1">IFERROR(__xludf.DUMMYFUNCTION("IMPORTRANGE(""https://docs.google.com/spreadsheets/d/1C3CXT74ZlgGe6_JY_1olB1XN4rF0dxEuIIF-xsYjHgg/edit?usp=sharing"",""งบกองทุน!f27"")"),0)</f>
        <v>0</v>
      </c>
      <c r="J260" s="67">
        <v>0</v>
      </c>
      <c r="K260" s="49">
        <f ca="1">IF(I260&gt;0,J260*100/I260,0)</f>
        <v>0</v>
      </c>
      <c r="L260" s="61"/>
      <c r="M260" s="61"/>
      <c r="N260" s="61"/>
    </row>
    <row r="261" spans="1:14" ht="21.75" hidden="1" customHeight="1" x14ac:dyDescent="0.4">
      <c r="A261" s="55"/>
      <c r="B261" s="56"/>
      <c r="C261" s="56"/>
      <c r="D261" s="73"/>
      <c r="E261" s="77"/>
      <c r="F261" s="75"/>
      <c r="G261" s="76" t="s">
        <v>117</v>
      </c>
      <c r="H261" s="60"/>
      <c r="I261" s="48"/>
      <c r="J261" s="67"/>
      <c r="K261" s="49"/>
      <c r="L261" s="61"/>
      <c r="M261" s="61"/>
      <c r="N261" s="61"/>
    </row>
    <row r="262" spans="1:14" ht="21.75" hidden="1" customHeight="1" x14ac:dyDescent="0.4">
      <c r="A262" s="55"/>
      <c r="B262" s="56"/>
      <c r="C262" s="56"/>
      <c r="D262" s="73"/>
      <c r="E262" s="77"/>
      <c r="F262" s="75"/>
      <c r="G262" s="99" t="s">
        <v>118</v>
      </c>
      <c r="H262" s="66" t="s">
        <v>103</v>
      </c>
      <c r="I262" s="67">
        <f t="shared" ref="I262:J262" ca="1" si="59">SUM(I264,I266)</f>
        <v>160</v>
      </c>
      <c r="J262" s="67">
        <f t="shared" si="59"/>
        <v>0</v>
      </c>
      <c r="K262" s="49">
        <f t="shared" ref="K262:K268" ca="1" si="60">IF(I262&gt;0,J262*100/I262,0)</f>
        <v>0</v>
      </c>
      <c r="L262" s="61"/>
      <c r="M262" s="61"/>
      <c r="N262" s="61"/>
    </row>
    <row r="263" spans="1:14" ht="21.75" customHeight="1" x14ac:dyDescent="0.4">
      <c r="A263" s="55"/>
      <c r="B263" s="56"/>
      <c r="C263" s="56"/>
      <c r="D263" s="73"/>
      <c r="E263" s="77"/>
      <c r="F263" s="99" t="s">
        <v>119</v>
      </c>
      <c r="G263" s="76"/>
      <c r="H263" s="66" t="s">
        <v>16</v>
      </c>
      <c r="I263" s="48">
        <f ca="1">IFERROR(__xludf.DUMMYFUNCTION("IMPORTRANGE(""https://docs.google.com/spreadsheets/d/1C3CXT74ZlgGe6_JY_1olB1XN4rF0dxEuIIF-xsYjHgg/edit?usp=sharing"",""งบกองทุน!H27"")"),60)</f>
        <v>60</v>
      </c>
      <c r="J263" s="67">
        <f>J267</f>
        <v>0</v>
      </c>
      <c r="K263" s="49">
        <f t="shared" ca="1" si="60"/>
        <v>0</v>
      </c>
      <c r="L263" s="61"/>
      <c r="M263" s="61"/>
      <c r="N263" s="61"/>
    </row>
    <row r="264" spans="1:14" ht="21.75" hidden="1" customHeight="1" x14ac:dyDescent="0.4">
      <c r="A264" s="55"/>
      <c r="B264" s="56"/>
      <c r="C264" s="56"/>
      <c r="D264" s="73"/>
      <c r="E264" s="77"/>
      <c r="F264" s="75"/>
      <c r="H264" s="60" t="s">
        <v>103</v>
      </c>
      <c r="I264" s="48">
        <f ca="1">IFERROR(__xludf.DUMMYFUNCTION("IMPORTRANGE(""https://docs.google.com/spreadsheets/d/1C3CXT74ZlgGe6_JY_1olB1XN4rF0dxEuIIF-xsYjHgg/edit?usp=sharing"",""งบกองทุน!i27"")"),100)</f>
        <v>100</v>
      </c>
      <c r="J264" s="68">
        <v>0</v>
      </c>
      <c r="K264" s="49">
        <f t="shared" ca="1" si="60"/>
        <v>0</v>
      </c>
      <c r="L264" s="61"/>
      <c r="M264" s="61"/>
      <c r="N264" s="61"/>
    </row>
    <row r="265" spans="1:14" ht="21.75" customHeight="1" x14ac:dyDescent="0.4">
      <c r="A265" s="55"/>
      <c r="B265" s="56"/>
      <c r="C265" s="56"/>
      <c r="D265" s="73"/>
      <c r="E265" s="77"/>
      <c r="F265" s="75"/>
      <c r="G265" s="99" t="s">
        <v>219</v>
      </c>
      <c r="H265" s="60" t="s">
        <v>16</v>
      </c>
      <c r="I265" s="48">
        <f ca="1">I263</f>
        <v>60</v>
      </c>
      <c r="J265" s="68">
        <v>0</v>
      </c>
      <c r="K265" s="49">
        <f t="shared" ca="1" si="60"/>
        <v>0</v>
      </c>
      <c r="L265" s="61"/>
      <c r="M265" s="61"/>
      <c r="N265" s="61"/>
    </row>
    <row r="266" spans="1:14" ht="21.75" hidden="1" customHeight="1" x14ac:dyDescent="0.4">
      <c r="A266" s="55"/>
      <c r="B266" s="56"/>
      <c r="C266" s="56"/>
      <c r="D266" s="73"/>
      <c r="E266" s="77"/>
      <c r="F266" s="75"/>
      <c r="G266" s="76"/>
      <c r="H266" s="60" t="s">
        <v>103</v>
      </c>
      <c r="I266" s="48">
        <f ca="1">IFERROR(__xludf.DUMMYFUNCTION("IMPORTRANGE(""https://docs.google.com/spreadsheets/d/1C3CXT74ZlgGe6_JY_1olB1XN4rF0dxEuIIF-xsYjHgg/edit?usp=sharing"",""งบกองทุน!k27"")"),60)</f>
        <v>60</v>
      </c>
      <c r="J266" s="68">
        <v>0</v>
      </c>
      <c r="K266" s="49">
        <f t="shared" ca="1" si="60"/>
        <v>0</v>
      </c>
      <c r="L266" s="61"/>
      <c r="M266" s="61"/>
      <c r="N266" s="61"/>
    </row>
    <row r="267" spans="1:14" ht="21.75" customHeight="1" x14ac:dyDescent="0.4">
      <c r="A267" s="55"/>
      <c r="B267" s="56"/>
      <c r="C267" s="56"/>
      <c r="D267" s="73"/>
      <c r="E267" s="77"/>
      <c r="F267" s="75"/>
      <c r="G267" s="76" t="s">
        <v>220</v>
      </c>
      <c r="H267" s="60" t="s">
        <v>16</v>
      </c>
      <c r="I267" s="48">
        <f ca="1">I265</f>
        <v>60</v>
      </c>
      <c r="J267" s="68">
        <v>0</v>
      </c>
      <c r="K267" s="49">
        <f t="shared" ca="1" si="60"/>
        <v>0</v>
      </c>
      <c r="L267" s="61"/>
      <c r="M267" s="61"/>
      <c r="N267" s="61"/>
    </row>
    <row r="268" spans="1:14" ht="21.75" hidden="1" customHeight="1" x14ac:dyDescent="0.4">
      <c r="A268" s="55"/>
      <c r="B268" s="56"/>
      <c r="C268" s="56"/>
      <c r="D268" s="73"/>
      <c r="E268" s="77"/>
      <c r="F268" s="75"/>
      <c r="G268" s="99" t="s">
        <v>122</v>
      </c>
      <c r="H268" s="60" t="s">
        <v>16</v>
      </c>
      <c r="I268" s="67">
        <f ca="1">IFERROR(__xludf.DUMMYFUNCTION("IMPORTRANGE(""https://docs.google.com/spreadsheets/d/1C3CXT74ZlgGe6_JY_1olB1XN4rF0dxEuIIF-xsYjHgg/edit?usp=sharing"",""งบกองทุน!m27"")"),0)</f>
        <v>0</v>
      </c>
      <c r="J268" s="67">
        <v>0</v>
      </c>
      <c r="K268" s="49">
        <f t="shared" ca="1" si="60"/>
        <v>0</v>
      </c>
      <c r="L268" s="61"/>
      <c r="M268" s="61"/>
      <c r="N268" s="61"/>
    </row>
    <row r="269" spans="1:14" ht="21.75" hidden="1" customHeight="1" x14ac:dyDescent="0.4">
      <c r="A269" s="55"/>
      <c r="B269" s="56"/>
      <c r="C269" s="56"/>
      <c r="D269" s="73"/>
      <c r="E269" s="77"/>
      <c r="F269" s="75"/>
      <c r="G269" s="76" t="s">
        <v>123</v>
      </c>
      <c r="H269" s="60"/>
      <c r="I269" s="67"/>
      <c r="J269" s="67"/>
      <c r="K269" s="49"/>
      <c r="L269" s="61"/>
      <c r="M269" s="61"/>
      <c r="N269" s="61"/>
    </row>
    <row r="270" spans="1:14" ht="21.75" customHeight="1" x14ac:dyDescent="0.4">
      <c r="A270" s="55"/>
      <c r="B270" s="56"/>
      <c r="C270" s="56"/>
      <c r="D270" s="73"/>
      <c r="E270" s="75"/>
      <c r="F270" s="74" t="s">
        <v>34</v>
      </c>
      <c r="G270" s="76"/>
      <c r="H270" s="66" t="s">
        <v>103</v>
      </c>
      <c r="I270" s="67">
        <f t="shared" ref="I270:J270" ca="1" si="61">SUM(I271:I272)</f>
        <v>160</v>
      </c>
      <c r="J270" s="67">
        <f t="shared" si="61"/>
        <v>0</v>
      </c>
      <c r="K270" s="49">
        <f t="shared" ref="K270:K272" ca="1" si="62">IF(I270&gt;0,J270*100/I270,0)</f>
        <v>0</v>
      </c>
      <c r="L270" s="61"/>
      <c r="M270" s="61"/>
      <c r="N270" s="61"/>
    </row>
    <row r="271" spans="1:14" ht="21.75" customHeight="1" x14ac:dyDescent="0.4">
      <c r="A271" s="55"/>
      <c r="B271" s="56"/>
      <c r="C271" s="56"/>
      <c r="D271" s="73"/>
      <c r="E271" s="75"/>
      <c r="F271" s="75"/>
      <c r="G271" s="76" t="s">
        <v>124</v>
      </c>
      <c r="H271" s="66" t="s">
        <v>103</v>
      </c>
      <c r="I271" s="67">
        <f ca="1">IFERROR(__xludf.DUMMYFUNCTION("IMPORTRANGE(""https://docs.google.com/spreadsheets/d/1C3CXT74ZlgGe6_JY_1olB1XN4rF0dxEuIIF-xsYjHgg/edit?usp=sharing"",""งบกองทุน!o27"")"),60)</f>
        <v>60</v>
      </c>
      <c r="J271" s="68">
        <v>0</v>
      </c>
      <c r="K271" s="49">
        <f t="shared" ca="1" si="62"/>
        <v>0</v>
      </c>
      <c r="L271" s="61"/>
      <c r="M271" s="61"/>
      <c r="N271" s="61"/>
    </row>
    <row r="272" spans="1:14" ht="21.75" customHeight="1" x14ac:dyDescent="0.4">
      <c r="A272" s="55"/>
      <c r="B272" s="56"/>
      <c r="C272" s="56"/>
      <c r="D272" s="73"/>
      <c r="E272" s="75"/>
      <c r="F272" s="75"/>
      <c r="G272" s="76" t="s">
        <v>125</v>
      </c>
      <c r="H272" s="66" t="s">
        <v>103</v>
      </c>
      <c r="I272" s="67">
        <f ca="1">IFERROR(__xludf.DUMMYFUNCTION("IMPORTRANGE(""https://docs.google.com/spreadsheets/d/1C3CXT74ZlgGe6_JY_1olB1XN4rF0dxEuIIF-xsYjHgg/edit?usp=sharing"",""งบกองทุน!p27"")"),100)</f>
        <v>100</v>
      </c>
      <c r="J272" s="68">
        <v>0</v>
      </c>
      <c r="K272" s="49">
        <f t="shared" ca="1" si="62"/>
        <v>0</v>
      </c>
      <c r="L272" s="61"/>
      <c r="M272" s="61"/>
      <c r="N272" s="61"/>
    </row>
    <row r="273" spans="1:14" ht="21.75" customHeight="1" x14ac:dyDescent="0.4">
      <c r="A273" s="55"/>
      <c r="B273" s="56"/>
      <c r="C273" s="56"/>
      <c r="D273" s="73"/>
      <c r="E273" s="74" t="s">
        <v>35</v>
      </c>
      <c r="F273" s="75"/>
      <c r="G273" s="76"/>
      <c r="H273" s="66"/>
      <c r="I273" s="67"/>
      <c r="J273" s="68">
        <v>0</v>
      </c>
      <c r="K273" s="49"/>
      <c r="L273" s="61"/>
      <c r="M273" s="61"/>
      <c r="N273" s="61"/>
    </row>
    <row r="274" spans="1:14" ht="21.75" customHeight="1" x14ac:dyDescent="0.4">
      <c r="A274" s="55"/>
      <c r="B274" s="56"/>
      <c r="C274" s="56"/>
      <c r="D274" s="81">
        <v>3</v>
      </c>
      <c r="E274" s="82" t="s">
        <v>36</v>
      </c>
      <c r="F274" s="83"/>
      <c r="G274" s="84"/>
      <c r="H274" s="66"/>
      <c r="I274" s="67"/>
      <c r="J274" s="85">
        <v>0</v>
      </c>
      <c r="K274" s="49"/>
      <c r="L274" s="61"/>
      <c r="M274" s="61"/>
      <c r="N274" s="61"/>
    </row>
    <row r="275" spans="1:14" ht="21.75" customHeight="1" x14ac:dyDescent="0.4">
      <c r="A275" s="222"/>
      <c r="B275" s="223">
        <v>2</v>
      </c>
      <c r="C275" s="224" t="s">
        <v>126</v>
      </c>
      <c r="D275" s="224"/>
      <c r="E275" s="234"/>
      <c r="F275" s="234"/>
      <c r="G275" s="235"/>
      <c r="H275" s="226" t="s">
        <v>103</v>
      </c>
      <c r="I275" s="227">
        <f ca="1">I292</f>
        <v>200</v>
      </c>
      <c r="J275" s="227">
        <f>+J292</f>
        <v>0</v>
      </c>
      <c r="K275" s="228">
        <f t="shared" ref="K275:K276" ca="1" si="63">IF(I275&gt;0,J275*100/I275,0)</f>
        <v>0</v>
      </c>
      <c r="L275" s="229">
        <f t="shared" ref="L275:M275" ca="1" si="64">SUM(L277:L278)</f>
        <v>207560</v>
      </c>
      <c r="M275" s="229">
        <f t="shared" si="64"/>
        <v>0</v>
      </c>
      <c r="N275" s="229">
        <f ca="1">+IF(L275&gt;0,M275*100/L275,0)</f>
        <v>0</v>
      </c>
    </row>
    <row r="276" spans="1:14" ht="21.75" customHeight="1" x14ac:dyDescent="0.4">
      <c r="A276" s="222"/>
      <c r="B276" s="223"/>
      <c r="C276" s="224"/>
      <c r="D276" s="236"/>
      <c r="E276" s="237"/>
      <c r="F276" s="237"/>
      <c r="G276" s="238"/>
      <c r="H276" s="226" t="s">
        <v>16</v>
      </c>
      <c r="I276" s="227">
        <f ca="1">I291</f>
        <v>20</v>
      </c>
      <c r="J276" s="227">
        <f>+J291</f>
        <v>0</v>
      </c>
      <c r="K276" s="228">
        <f t="shared" ca="1" si="63"/>
        <v>0</v>
      </c>
      <c r="L276" s="229"/>
      <c r="M276" s="229"/>
      <c r="N276" s="229"/>
    </row>
    <row r="277" spans="1:14" ht="21.75" customHeight="1" x14ac:dyDescent="0.4">
      <c r="A277" s="42"/>
      <c r="B277" s="43"/>
      <c r="C277" s="43" t="s">
        <v>17</v>
      </c>
      <c r="D277" s="44" t="s">
        <v>18</v>
      </c>
      <c r="E277" s="45"/>
      <c r="F277" s="45"/>
      <c r="G277" s="46" t="s">
        <v>19</v>
      </c>
      <c r="H277" s="47" t="s">
        <v>20</v>
      </c>
      <c r="I277" s="48" t="s">
        <v>21</v>
      </c>
      <c r="J277" s="48"/>
      <c r="K277" s="49"/>
      <c r="L277" s="50">
        <v>0</v>
      </c>
      <c r="M277" s="50">
        <v>0</v>
      </c>
      <c r="N277" s="50">
        <f t="shared" ref="N277:N280" si="65">+IF(L277&gt;0,M277*100/L277,0)</f>
        <v>0</v>
      </c>
    </row>
    <row r="278" spans="1:14" ht="21.75" customHeight="1" x14ac:dyDescent="0.4">
      <c r="A278" s="42"/>
      <c r="B278" s="43"/>
      <c r="C278" s="43"/>
      <c r="D278" s="51"/>
      <c r="E278" s="45"/>
      <c r="F278" s="45" t="s">
        <v>21</v>
      </c>
      <c r="G278" s="46" t="s">
        <v>22</v>
      </c>
      <c r="H278" s="47" t="s">
        <v>20</v>
      </c>
      <c r="I278" s="48"/>
      <c r="J278" s="48"/>
      <c r="K278" s="49"/>
      <c r="L278" s="50">
        <f t="shared" ref="L278:M278" ca="1" si="66">SUM(L279:L280)</f>
        <v>207560</v>
      </c>
      <c r="M278" s="50">
        <f t="shared" si="66"/>
        <v>0</v>
      </c>
      <c r="N278" s="50">
        <f t="shared" ca="1" si="65"/>
        <v>0</v>
      </c>
    </row>
    <row r="279" spans="1:14" ht="21.75" customHeight="1" x14ac:dyDescent="0.4">
      <c r="A279" s="42"/>
      <c r="B279" s="43"/>
      <c r="C279" s="43"/>
      <c r="D279" s="51"/>
      <c r="E279" s="45"/>
      <c r="F279" s="45"/>
      <c r="G279" s="52" t="s">
        <v>110</v>
      </c>
      <c r="H279" s="47" t="s">
        <v>20</v>
      </c>
      <c r="I279" s="48"/>
      <c r="J279" s="48"/>
      <c r="K279" s="49"/>
      <c r="L279" s="53">
        <f ca="1">IFERROR(__xludf.DUMMYFUNCTION("IMPORTRANGE(""https://docs.google.com/spreadsheets/d/1C3CXT74ZlgGe6_JY_1olB1XN4rF0dxEuIIF-xsYjHgg/edit?usp=sharing"",""งบกองทุน!r27"")"),0)</f>
        <v>0</v>
      </c>
      <c r="M279" s="53">
        <v>0</v>
      </c>
      <c r="N279" s="53">
        <f t="shared" ca="1" si="65"/>
        <v>0</v>
      </c>
    </row>
    <row r="280" spans="1:14" ht="21.75" customHeight="1" x14ac:dyDescent="0.4">
      <c r="A280" s="42"/>
      <c r="B280" s="43"/>
      <c r="C280" s="43"/>
      <c r="D280" s="51"/>
      <c r="E280" s="45"/>
      <c r="F280" s="45"/>
      <c r="G280" s="52" t="s">
        <v>111</v>
      </c>
      <c r="H280" s="47" t="s">
        <v>20</v>
      </c>
      <c r="I280" s="48"/>
      <c r="J280" s="48"/>
      <c r="K280" s="49"/>
      <c r="L280" s="53">
        <f ca="1">IFERROR(__xludf.DUMMYFUNCTION("IMPORTRANGE(""https://docs.google.com/spreadsheets/d/1C3CXT74ZlgGe6_JY_1olB1XN4rF0dxEuIIF-xsYjHgg/edit?usp=sharing"",""งบกองทุน!s27"")"),207560)</f>
        <v>207560</v>
      </c>
      <c r="M280" s="53">
        <f>SUM(M281:M284)</f>
        <v>0</v>
      </c>
      <c r="N280" s="53">
        <f t="shared" ca="1" si="65"/>
        <v>0</v>
      </c>
    </row>
    <row r="281" spans="1:14" ht="21.75" customHeight="1" x14ac:dyDescent="0.4">
      <c r="A281" s="230"/>
      <c r="B281" s="231"/>
      <c r="C281" s="43"/>
      <c r="D281" s="232"/>
      <c r="E281" s="45"/>
      <c r="F281" s="45"/>
      <c r="G281" s="46" t="s">
        <v>112</v>
      </c>
      <c r="H281" s="47" t="s">
        <v>20</v>
      </c>
      <c r="I281" s="67"/>
      <c r="J281" s="67"/>
      <c r="K281" s="233"/>
      <c r="L281" s="53"/>
      <c r="M281" s="54">
        <v>0</v>
      </c>
      <c r="N281" s="53"/>
    </row>
    <row r="282" spans="1:14" ht="21.75" customHeight="1" x14ac:dyDescent="0.4">
      <c r="A282" s="230"/>
      <c r="B282" s="231"/>
      <c r="C282" s="43"/>
      <c r="D282" s="232"/>
      <c r="E282" s="45"/>
      <c r="F282" s="45"/>
      <c r="G282" s="46" t="s">
        <v>113</v>
      </c>
      <c r="H282" s="47" t="s">
        <v>20</v>
      </c>
      <c r="I282" s="67"/>
      <c r="J282" s="67"/>
      <c r="K282" s="233"/>
      <c r="L282" s="53"/>
      <c r="M282" s="54">
        <v>0</v>
      </c>
      <c r="N282" s="53"/>
    </row>
    <row r="283" spans="1:14" ht="21.75" customHeight="1" x14ac:dyDescent="0.4">
      <c r="A283" s="230"/>
      <c r="B283" s="231"/>
      <c r="C283" s="43"/>
      <c r="D283" s="232"/>
      <c r="E283" s="45"/>
      <c r="F283" s="45"/>
      <c r="G283" s="46" t="s">
        <v>114</v>
      </c>
      <c r="H283" s="47" t="s">
        <v>20</v>
      </c>
      <c r="I283" s="67"/>
      <c r="J283" s="67"/>
      <c r="K283" s="233"/>
      <c r="L283" s="53"/>
      <c r="M283" s="54">
        <v>0</v>
      </c>
      <c r="N283" s="53"/>
    </row>
    <row r="284" spans="1:14" ht="21.75" customHeight="1" x14ac:dyDescent="0.4">
      <c r="A284" s="230"/>
      <c r="B284" s="231"/>
      <c r="C284" s="43"/>
      <c r="D284" s="232"/>
      <c r="E284" s="45"/>
      <c r="F284" s="45"/>
      <c r="G284" s="46" t="s">
        <v>115</v>
      </c>
      <c r="H284" s="47" t="s">
        <v>20</v>
      </c>
      <c r="I284" s="67"/>
      <c r="J284" s="67"/>
      <c r="K284" s="233"/>
      <c r="L284" s="53"/>
      <c r="M284" s="54">
        <v>0</v>
      </c>
      <c r="N284" s="53"/>
    </row>
    <row r="285" spans="1:14" ht="21.75" customHeight="1" x14ac:dyDescent="0.4">
      <c r="A285" s="55"/>
      <c r="B285" s="56"/>
      <c r="C285" s="43" t="s">
        <v>17</v>
      </c>
      <c r="D285" s="57" t="s">
        <v>25</v>
      </c>
      <c r="E285" s="58"/>
      <c r="F285" s="58"/>
      <c r="G285" s="59"/>
      <c r="H285" s="60"/>
      <c r="I285" s="48"/>
      <c r="J285" s="48"/>
      <c r="K285" s="49"/>
      <c r="L285" s="61"/>
      <c r="M285" s="61"/>
      <c r="N285" s="61"/>
    </row>
    <row r="286" spans="1:14" ht="21.75" customHeight="1" x14ac:dyDescent="0.4">
      <c r="A286" s="55"/>
      <c r="B286" s="56"/>
      <c r="C286" s="56"/>
      <c r="D286" s="62">
        <v>1</v>
      </c>
      <c r="E286" s="63" t="s">
        <v>26</v>
      </c>
      <c r="F286" s="64"/>
      <c r="G286" s="65"/>
      <c r="H286" s="66"/>
      <c r="I286" s="67"/>
      <c r="J286" s="68">
        <v>0</v>
      </c>
      <c r="K286" s="49"/>
      <c r="L286" s="61"/>
      <c r="M286" s="61"/>
      <c r="N286" s="61"/>
    </row>
    <row r="287" spans="1:14" ht="21.75" customHeight="1" x14ac:dyDescent="0.4">
      <c r="A287" s="55"/>
      <c r="B287" s="56"/>
      <c r="C287" s="56"/>
      <c r="D287" s="69">
        <v>2</v>
      </c>
      <c r="E287" s="70" t="s">
        <v>27</v>
      </c>
      <c r="F287" s="71"/>
      <c r="G287" s="72"/>
      <c r="H287" s="66"/>
      <c r="I287" s="67"/>
      <c r="J287" s="68">
        <v>0</v>
      </c>
      <c r="K287" s="49"/>
      <c r="L287" s="61" t="s">
        <v>21</v>
      </c>
      <c r="M287" s="61" t="s">
        <v>21</v>
      </c>
      <c r="N287" s="61"/>
    </row>
    <row r="288" spans="1:14" ht="21.75" customHeight="1" x14ac:dyDescent="0.4">
      <c r="A288" s="55"/>
      <c r="B288" s="56"/>
      <c r="C288" s="56"/>
      <c r="D288" s="73"/>
      <c r="E288" s="74" t="s">
        <v>28</v>
      </c>
      <c r="F288" s="75"/>
      <c r="G288" s="76"/>
      <c r="H288" s="66"/>
      <c r="I288" s="67"/>
      <c r="J288" s="68">
        <v>0</v>
      </c>
      <c r="K288" s="49"/>
      <c r="L288" s="61"/>
      <c r="M288" s="61"/>
      <c r="N288" s="61"/>
    </row>
    <row r="289" spans="1:14" ht="21.75" customHeight="1" x14ac:dyDescent="0.4">
      <c r="A289" s="55"/>
      <c r="B289" s="56"/>
      <c r="C289" s="56"/>
      <c r="D289" s="73"/>
      <c r="E289" s="74" t="s">
        <v>29</v>
      </c>
      <c r="F289" s="75"/>
      <c r="G289" s="76"/>
      <c r="H289" s="66"/>
      <c r="I289" s="67"/>
      <c r="J289" s="68">
        <v>0</v>
      </c>
      <c r="K289" s="49"/>
      <c r="L289" s="61"/>
      <c r="M289" s="61"/>
      <c r="N289" s="61"/>
    </row>
    <row r="290" spans="1:14" ht="21.75" customHeight="1" x14ac:dyDescent="0.4">
      <c r="A290" s="55"/>
      <c r="B290" s="56"/>
      <c r="C290" s="56"/>
      <c r="D290" s="73"/>
      <c r="E290" s="77"/>
      <c r="F290" s="74" t="s">
        <v>127</v>
      </c>
      <c r="G290" s="75"/>
      <c r="H290" s="66"/>
      <c r="I290" s="67"/>
      <c r="J290" s="67"/>
      <c r="K290" s="49"/>
      <c r="L290" s="61"/>
      <c r="M290" s="61"/>
      <c r="N290" s="61"/>
    </row>
    <row r="291" spans="1:14" ht="21.75" customHeight="1" x14ac:dyDescent="0.4">
      <c r="A291" s="55"/>
      <c r="B291" s="56"/>
      <c r="C291" s="56"/>
      <c r="D291" s="73"/>
      <c r="E291" s="77"/>
      <c r="F291" s="75"/>
      <c r="G291" s="99" t="s">
        <v>50</v>
      </c>
      <c r="H291" s="66" t="s">
        <v>16</v>
      </c>
      <c r="I291" s="67">
        <f ca="1">IFERROR(__xludf.DUMMYFUNCTION("IMPORTRANGE(""https://docs.google.com/spreadsheets/d/1C3CXT74ZlgGe6_JY_1olB1XN4rF0dxEuIIF-xsYjHgg/edit?usp=sharing"",""งบกองทุน!v27"")"),20)</f>
        <v>20</v>
      </c>
      <c r="J291" s="68">
        <v>0</v>
      </c>
      <c r="K291" s="49">
        <f t="shared" ref="K291:K293" ca="1" si="67">IF(I291&gt;0,J291*100/I291,0)</f>
        <v>0</v>
      </c>
      <c r="L291" s="61"/>
      <c r="M291" s="61"/>
      <c r="N291" s="61"/>
    </row>
    <row r="292" spans="1:14" ht="21.75" customHeight="1" x14ac:dyDescent="0.4">
      <c r="A292" s="55"/>
      <c r="B292" s="56"/>
      <c r="C292" s="56"/>
      <c r="D292" s="73"/>
      <c r="E292" s="77"/>
      <c r="F292" s="75"/>
      <c r="G292" s="76" t="s">
        <v>34</v>
      </c>
      <c r="H292" s="66" t="s">
        <v>103</v>
      </c>
      <c r="I292" s="67">
        <f ca="1">IFERROR(__xludf.DUMMYFUNCTION("IMPORTRANGE(""https://docs.google.com/spreadsheets/d/1C3CXT74ZlgGe6_JY_1olB1XN4rF0dxEuIIF-xsYjHgg/edit?usp=sharing"",""งบกองทุน!w27"")"),200)</f>
        <v>200</v>
      </c>
      <c r="J292" s="68">
        <v>0</v>
      </c>
      <c r="K292" s="49">
        <f t="shared" ca="1" si="67"/>
        <v>0</v>
      </c>
      <c r="L292" s="61"/>
      <c r="M292" s="61"/>
      <c r="N292" s="61"/>
    </row>
    <row r="293" spans="1:14" ht="21.75" customHeight="1" x14ac:dyDescent="0.4">
      <c r="A293" s="55"/>
      <c r="B293" s="56"/>
      <c r="C293" s="56"/>
      <c r="D293" s="73"/>
      <c r="E293" s="77"/>
      <c r="F293" s="75"/>
      <c r="G293" s="76"/>
      <c r="H293" s="66" t="s">
        <v>16</v>
      </c>
      <c r="I293" s="67">
        <f ca="1">IFERROR(__xludf.DUMMYFUNCTION("IMPORTRANGE(""https://docs.google.com/spreadsheets/d/1C3CXT74ZlgGe6_JY_1olB1XN4rF0dxEuIIF-xsYjHgg/edit?usp=sharing"",""งบกองทุน!x27"")"),20)</f>
        <v>20</v>
      </c>
      <c r="J293" s="68">
        <v>0</v>
      </c>
      <c r="K293" s="49">
        <f t="shared" ca="1" si="67"/>
        <v>0</v>
      </c>
      <c r="L293" s="61"/>
      <c r="M293" s="61"/>
      <c r="N293" s="61"/>
    </row>
    <row r="294" spans="1:14" ht="21.75" customHeight="1" x14ac:dyDescent="0.4">
      <c r="A294" s="55"/>
      <c r="B294" s="56"/>
      <c r="C294" s="56"/>
      <c r="D294" s="73"/>
      <c r="E294" s="74" t="s">
        <v>35</v>
      </c>
      <c r="F294" s="75"/>
      <c r="G294" s="76"/>
      <c r="H294" s="66"/>
      <c r="I294" s="67"/>
      <c r="J294" s="68">
        <v>0</v>
      </c>
      <c r="K294" s="49"/>
      <c r="L294" s="61"/>
      <c r="M294" s="61"/>
      <c r="N294" s="61"/>
    </row>
    <row r="295" spans="1:14" ht="21.75" customHeight="1" x14ac:dyDescent="0.4">
      <c r="A295" s="55"/>
      <c r="B295" s="56"/>
      <c r="C295" s="56"/>
      <c r="D295" s="81">
        <v>3</v>
      </c>
      <c r="E295" s="82" t="s">
        <v>36</v>
      </c>
      <c r="F295" s="83"/>
      <c r="G295" s="84"/>
      <c r="H295" s="66"/>
      <c r="I295" s="67"/>
      <c r="J295" s="85">
        <v>0</v>
      </c>
      <c r="K295" s="49"/>
      <c r="L295" s="61"/>
      <c r="M295" s="61"/>
      <c r="N295" s="61"/>
    </row>
    <row r="296" spans="1:14" ht="21.75" customHeight="1" x14ac:dyDescent="0.4">
      <c r="A296" s="222"/>
      <c r="B296" s="223">
        <v>3</v>
      </c>
      <c r="C296" s="223" t="s">
        <v>128</v>
      </c>
      <c r="D296" s="224"/>
      <c r="E296" s="224"/>
      <c r="F296" s="224"/>
      <c r="G296" s="225"/>
      <c r="H296" s="226" t="s">
        <v>103</v>
      </c>
      <c r="I296" s="227">
        <f ca="1">SUM(I313,I317,I322)</f>
        <v>174</v>
      </c>
      <c r="J296" s="227">
        <f>J313+J317+J322</f>
        <v>0</v>
      </c>
      <c r="K296" s="228">
        <f t="shared" ref="K296:K297" ca="1" si="68">IF(I296&gt;0,J296*100/I296,0)</f>
        <v>0</v>
      </c>
      <c r="L296" s="229">
        <f t="shared" ref="L296:M296" ca="1" si="69">SUM(L298:L299)</f>
        <v>195900</v>
      </c>
      <c r="M296" s="229">
        <f t="shared" si="69"/>
        <v>0</v>
      </c>
      <c r="N296" s="229">
        <f ca="1">+IF(L296&gt;0,M296*100/L296,0)</f>
        <v>0</v>
      </c>
    </row>
    <row r="297" spans="1:14" ht="21.75" customHeight="1" x14ac:dyDescent="0.4">
      <c r="A297" s="222"/>
      <c r="B297" s="223"/>
      <c r="C297" s="223"/>
      <c r="D297" s="236"/>
      <c r="E297" s="236"/>
      <c r="F297" s="236"/>
      <c r="G297" s="239"/>
      <c r="H297" s="226" t="s">
        <v>16</v>
      </c>
      <c r="I297" s="227">
        <f ca="1">SUM(I312,I316,I321)</f>
        <v>58</v>
      </c>
      <c r="J297" s="227">
        <f ca="1">J311</f>
        <v>0</v>
      </c>
      <c r="K297" s="228">
        <f t="shared" ca="1" si="68"/>
        <v>0</v>
      </c>
      <c r="L297" s="229"/>
      <c r="M297" s="229"/>
      <c r="N297" s="229"/>
    </row>
    <row r="298" spans="1:14" ht="21.75" customHeight="1" x14ac:dyDescent="0.4">
      <c r="A298" s="42"/>
      <c r="B298" s="43"/>
      <c r="C298" s="43" t="s">
        <v>17</v>
      </c>
      <c r="D298" s="44" t="s">
        <v>18</v>
      </c>
      <c r="E298" s="45"/>
      <c r="F298" s="45"/>
      <c r="G298" s="46" t="s">
        <v>19</v>
      </c>
      <c r="H298" s="47" t="s">
        <v>20</v>
      </c>
      <c r="I298" s="48" t="s">
        <v>21</v>
      </c>
      <c r="J298" s="48"/>
      <c r="K298" s="49"/>
      <c r="L298" s="50">
        <v>0</v>
      </c>
      <c r="M298" s="53">
        <v>0</v>
      </c>
      <c r="N298" s="53">
        <f t="shared" ref="N298:N301" si="70">+IF(L298&gt;0,M298*100/L298,0)</f>
        <v>0</v>
      </c>
    </row>
    <row r="299" spans="1:14" ht="21.75" customHeight="1" x14ac:dyDescent="0.4">
      <c r="A299" s="42"/>
      <c r="B299" s="43"/>
      <c r="C299" s="43"/>
      <c r="D299" s="51"/>
      <c r="E299" s="45"/>
      <c r="F299" s="45" t="s">
        <v>21</v>
      </c>
      <c r="G299" s="46" t="s">
        <v>22</v>
      </c>
      <c r="H299" s="47" t="s">
        <v>20</v>
      </c>
      <c r="I299" s="48"/>
      <c r="J299" s="48"/>
      <c r="K299" s="49"/>
      <c r="L299" s="50">
        <f t="shared" ref="L299:M299" ca="1" si="71">SUM(L300:L301)</f>
        <v>195900</v>
      </c>
      <c r="M299" s="53">
        <f t="shared" si="71"/>
        <v>0</v>
      </c>
      <c r="N299" s="53">
        <f t="shared" ca="1" si="70"/>
        <v>0</v>
      </c>
    </row>
    <row r="300" spans="1:14" ht="21.75" customHeight="1" x14ac:dyDescent="0.4">
      <c r="A300" s="42"/>
      <c r="B300" s="43"/>
      <c r="C300" s="43"/>
      <c r="D300" s="51"/>
      <c r="E300" s="45"/>
      <c r="F300" s="45"/>
      <c r="G300" s="52" t="s">
        <v>110</v>
      </c>
      <c r="H300" s="47" t="s">
        <v>20</v>
      </c>
      <c r="I300" s="48"/>
      <c r="J300" s="48"/>
      <c r="K300" s="49"/>
      <c r="L300" s="53">
        <f ca="1">IFERROR(__xludf.DUMMYFUNCTION("IMPORTRANGE(""https://docs.google.com/spreadsheets/d/1C3CXT74ZlgGe6_JY_1olB1XN4rF0dxEuIIF-xsYjHgg/edit?usp=sharing"",""งบกองทุน!z27"")"),0)</f>
        <v>0</v>
      </c>
      <c r="M300" s="53">
        <v>0</v>
      </c>
      <c r="N300" s="53">
        <f t="shared" ca="1" si="70"/>
        <v>0</v>
      </c>
    </row>
    <row r="301" spans="1:14" ht="21.75" customHeight="1" x14ac:dyDescent="0.4">
      <c r="A301" s="42"/>
      <c r="B301" s="43"/>
      <c r="C301" s="43"/>
      <c r="D301" s="51"/>
      <c r="E301" s="45"/>
      <c r="F301" s="45"/>
      <c r="G301" s="52" t="s">
        <v>111</v>
      </c>
      <c r="H301" s="47" t="s">
        <v>20</v>
      </c>
      <c r="I301" s="48"/>
      <c r="J301" s="48"/>
      <c r="K301" s="49"/>
      <c r="L301" s="53">
        <f ca="1">IFERROR(__xludf.DUMMYFUNCTION("IMPORTRANGE(""https://docs.google.com/spreadsheets/d/1C3CXT74ZlgGe6_JY_1olB1XN4rF0dxEuIIF-xsYjHgg/edit?usp=sharing"",""งบกองทุน!aa27"")"),195900)</f>
        <v>195900</v>
      </c>
      <c r="M301" s="53">
        <f>SUM(M302:M305)</f>
        <v>0</v>
      </c>
      <c r="N301" s="53">
        <f t="shared" ca="1" si="70"/>
        <v>0</v>
      </c>
    </row>
    <row r="302" spans="1:14" ht="21.75" customHeight="1" x14ac:dyDescent="0.4">
      <c r="A302" s="230"/>
      <c r="B302" s="231"/>
      <c r="C302" s="43"/>
      <c r="D302" s="232"/>
      <c r="E302" s="45"/>
      <c r="F302" s="45"/>
      <c r="G302" s="46" t="s">
        <v>112</v>
      </c>
      <c r="H302" s="47" t="s">
        <v>20</v>
      </c>
      <c r="I302" s="67"/>
      <c r="J302" s="67"/>
      <c r="K302" s="233"/>
      <c r="L302" s="53"/>
      <c r="M302" s="54">
        <v>0</v>
      </c>
      <c r="N302" s="53"/>
    </row>
    <row r="303" spans="1:14" ht="21.75" customHeight="1" x14ac:dyDescent="0.4">
      <c r="A303" s="230"/>
      <c r="B303" s="231"/>
      <c r="C303" s="43"/>
      <c r="D303" s="232"/>
      <c r="E303" s="45"/>
      <c r="F303" s="45"/>
      <c r="G303" s="46" t="s">
        <v>113</v>
      </c>
      <c r="H303" s="47" t="s">
        <v>20</v>
      </c>
      <c r="I303" s="67"/>
      <c r="J303" s="67"/>
      <c r="K303" s="233"/>
      <c r="L303" s="53"/>
      <c r="M303" s="54">
        <v>0</v>
      </c>
      <c r="N303" s="53"/>
    </row>
    <row r="304" spans="1:14" ht="21.75" customHeight="1" x14ac:dyDescent="0.4">
      <c r="A304" s="230"/>
      <c r="B304" s="231"/>
      <c r="C304" s="43"/>
      <c r="D304" s="232"/>
      <c r="E304" s="45"/>
      <c r="F304" s="45"/>
      <c r="G304" s="46" t="s">
        <v>114</v>
      </c>
      <c r="H304" s="47" t="s">
        <v>20</v>
      </c>
      <c r="I304" s="67"/>
      <c r="J304" s="67"/>
      <c r="K304" s="233"/>
      <c r="L304" s="53"/>
      <c r="M304" s="54">
        <v>0</v>
      </c>
      <c r="N304" s="53"/>
    </row>
    <row r="305" spans="1:14" ht="21.75" customHeight="1" x14ac:dyDescent="0.4">
      <c r="A305" s="230"/>
      <c r="B305" s="231"/>
      <c r="C305" s="43"/>
      <c r="D305" s="232"/>
      <c r="E305" s="45"/>
      <c r="F305" s="45"/>
      <c r="G305" s="46" t="s">
        <v>115</v>
      </c>
      <c r="H305" s="47" t="s">
        <v>20</v>
      </c>
      <c r="I305" s="67"/>
      <c r="J305" s="67"/>
      <c r="K305" s="233"/>
      <c r="L305" s="53"/>
      <c r="M305" s="54">
        <v>0</v>
      </c>
      <c r="N305" s="53"/>
    </row>
    <row r="306" spans="1:14" ht="21.75" customHeight="1" x14ac:dyDescent="0.4">
      <c r="A306" s="55"/>
      <c r="B306" s="56"/>
      <c r="C306" s="43" t="s">
        <v>17</v>
      </c>
      <c r="D306" s="57" t="s">
        <v>25</v>
      </c>
      <c r="E306" s="58"/>
      <c r="F306" s="58"/>
      <c r="G306" s="59"/>
      <c r="H306" s="60"/>
      <c r="I306" s="48"/>
      <c r="J306" s="48"/>
      <c r="K306" s="49"/>
      <c r="L306" s="61"/>
      <c r="M306" s="61"/>
      <c r="N306" s="61"/>
    </row>
    <row r="307" spans="1:14" ht="21.75" customHeight="1" x14ac:dyDescent="0.4">
      <c r="A307" s="55"/>
      <c r="B307" s="56"/>
      <c r="C307" s="56"/>
      <c r="D307" s="62">
        <v>1</v>
      </c>
      <c r="E307" s="63" t="s">
        <v>26</v>
      </c>
      <c r="F307" s="64"/>
      <c r="G307" s="65"/>
      <c r="H307" s="66"/>
      <c r="I307" s="67"/>
      <c r="J307" s="68">
        <v>0</v>
      </c>
      <c r="K307" s="49"/>
      <c r="L307" s="61"/>
      <c r="M307" s="61"/>
      <c r="N307" s="61"/>
    </row>
    <row r="308" spans="1:14" ht="21.75" customHeight="1" x14ac:dyDescent="0.4">
      <c r="A308" s="55"/>
      <c r="B308" s="56"/>
      <c r="C308" s="56"/>
      <c r="D308" s="69">
        <v>2</v>
      </c>
      <c r="E308" s="70" t="s">
        <v>27</v>
      </c>
      <c r="F308" s="71"/>
      <c r="G308" s="72"/>
      <c r="H308" s="66"/>
      <c r="I308" s="67"/>
      <c r="J308" s="68">
        <v>0</v>
      </c>
      <c r="K308" s="49"/>
      <c r="L308" s="61" t="s">
        <v>21</v>
      </c>
      <c r="M308" s="61" t="s">
        <v>21</v>
      </c>
      <c r="N308" s="61"/>
    </row>
    <row r="309" spans="1:14" ht="21.75" customHeight="1" x14ac:dyDescent="0.4">
      <c r="A309" s="55"/>
      <c r="B309" s="56"/>
      <c r="C309" s="56"/>
      <c r="D309" s="73"/>
      <c r="E309" s="74" t="s">
        <v>28</v>
      </c>
      <c r="F309" s="75"/>
      <c r="G309" s="76"/>
      <c r="H309" s="66"/>
      <c r="I309" s="67"/>
      <c r="J309" s="68">
        <v>0</v>
      </c>
      <c r="K309" s="49"/>
      <c r="L309" s="61"/>
      <c r="M309" s="61"/>
      <c r="N309" s="61"/>
    </row>
    <row r="310" spans="1:14" ht="21.75" customHeight="1" x14ac:dyDescent="0.4">
      <c r="A310" s="55"/>
      <c r="B310" s="56"/>
      <c r="C310" s="56"/>
      <c r="D310" s="73"/>
      <c r="E310" s="74" t="s">
        <v>29</v>
      </c>
      <c r="F310" s="75"/>
      <c r="G310" s="76"/>
      <c r="H310" s="66"/>
      <c r="I310" s="67"/>
      <c r="J310" s="68">
        <v>0</v>
      </c>
      <c r="K310" s="49"/>
      <c r="L310" s="61"/>
      <c r="M310" s="61"/>
      <c r="N310" s="61"/>
    </row>
    <row r="311" spans="1:14" ht="21.75" customHeight="1" x14ac:dyDescent="0.4">
      <c r="A311" s="55"/>
      <c r="B311" s="56"/>
      <c r="C311" s="56"/>
      <c r="D311" s="73"/>
      <c r="E311" s="77"/>
      <c r="F311" s="74" t="s">
        <v>50</v>
      </c>
      <c r="G311" s="240"/>
      <c r="H311" s="241" t="s">
        <v>16</v>
      </c>
      <c r="I311" s="79">
        <f t="shared" ref="I311:J311" ca="1" si="72">+I312+I316+I321</f>
        <v>58</v>
      </c>
      <c r="J311" s="79">
        <f t="shared" ca="1" si="72"/>
        <v>0</v>
      </c>
      <c r="K311" s="80">
        <f t="shared" ref="K311:K327" ca="1" si="73">IF(I311&gt;0,J311*100/I311,0)</f>
        <v>0</v>
      </c>
      <c r="L311" s="61"/>
      <c r="M311" s="61"/>
      <c r="N311" s="61"/>
    </row>
    <row r="312" spans="1:14" ht="21.75" customHeight="1" x14ac:dyDescent="0.4">
      <c r="A312" s="55"/>
      <c r="B312" s="56"/>
      <c r="C312" s="56"/>
      <c r="D312" s="73"/>
      <c r="E312" s="77"/>
      <c r="F312" s="242" t="s">
        <v>129</v>
      </c>
      <c r="G312" s="76"/>
      <c r="H312" s="78" t="s">
        <v>16</v>
      </c>
      <c r="I312" s="243">
        <f ca="1">IFERROR(__xludf.DUMMYFUNCTION("IMPORTRANGE(""https://docs.google.com/spreadsheets/d/1C3CXT74ZlgGe6_JY_1olB1XN4rF0dxEuIIF-xsYjHgg/edit?usp=sharing"",""งบกองทุน!ae27"")"),10)</f>
        <v>10</v>
      </c>
      <c r="J312" s="79">
        <f ca="1">IF(AND(J314=I314,J315=I315),I314,0)</f>
        <v>0</v>
      </c>
      <c r="K312" s="80">
        <f t="shared" ca="1" si="73"/>
        <v>0</v>
      </c>
      <c r="L312" s="61"/>
      <c r="M312" s="61"/>
      <c r="N312" s="61"/>
    </row>
    <row r="313" spans="1:14" ht="21.75" customHeight="1" x14ac:dyDescent="0.4">
      <c r="A313" s="55"/>
      <c r="B313" s="56"/>
      <c r="C313" s="56"/>
      <c r="D313" s="73"/>
      <c r="E313" s="77"/>
      <c r="F313" s="75"/>
      <c r="G313" s="76"/>
      <c r="H313" s="78" t="s">
        <v>103</v>
      </c>
      <c r="I313" s="243">
        <f ca="1">IFERROR(__xludf.DUMMYFUNCTION("IMPORTRANGE(""https://docs.google.com/spreadsheets/d/1C3CXT74ZlgGe6_JY_1olB1XN4rF0dxEuIIF-xsYjHgg/edit?usp=sharing"",""งบกองทุน!ad27"")"),30)</f>
        <v>30</v>
      </c>
      <c r="J313" s="154">
        <v>0</v>
      </c>
      <c r="K313" s="80">
        <f t="shared" ca="1" si="73"/>
        <v>0</v>
      </c>
      <c r="L313" s="61"/>
      <c r="M313" s="61"/>
      <c r="N313" s="61"/>
    </row>
    <row r="314" spans="1:14" ht="21.75" customHeight="1" x14ac:dyDescent="0.4">
      <c r="A314" s="55"/>
      <c r="B314" s="56"/>
      <c r="C314" s="56"/>
      <c r="D314" s="73"/>
      <c r="E314" s="77"/>
      <c r="F314" s="75"/>
      <c r="G314" s="99" t="s">
        <v>130</v>
      </c>
      <c r="H314" s="60" t="s">
        <v>16</v>
      </c>
      <c r="I314" s="200">
        <f ca="1">IFERROR(__xludf.DUMMYFUNCTION("IMPORTRANGE(""https://docs.google.com/spreadsheets/d/1C3CXT74ZlgGe6_JY_1olB1XN4rF0dxEuIIF-xsYjHgg/edit?usp=sharing"",""งบกองทุน!af27"")"),10)</f>
        <v>10</v>
      </c>
      <c r="J314" s="68">
        <v>0</v>
      </c>
      <c r="K314" s="49">
        <f t="shared" ca="1" si="73"/>
        <v>0</v>
      </c>
      <c r="L314" s="61"/>
      <c r="M314" s="61"/>
      <c r="N314" s="61"/>
    </row>
    <row r="315" spans="1:14" ht="21.75" customHeight="1" x14ac:dyDescent="0.4">
      <c r="A315" s="105"/>
      <c r="B315" s="106"/>
      <c r="C315" s="106"/>
      <c r="D315" s="244"/>
      <c r="E315" s="245"/>
      <c r="F315" s="204"/>
      <c r="G315" s="246" t="s">
        <v>131</v>
      </c>
      <c r="H315" s="206" t="s">
        <v>16</v>
      </c>
      <c r="I315" s="207">
        <f ca="1">IFERROR(__xludf.DUMMYFUNCTION("IMPORTRANGE(""https://docs.google.com/spreadsheets/d/1C3CXT74ZlgGe6_JY_1olB1XN4rF0dxEuIIF-xsYjHgg/edit?usp=sharing"",""งบกองทุน!ag27"")"),10)</f>
        <v>10</v>
      </c>
      <c r="J315" s="247">
        <v>0</v>
      </c>
      <c r="K315" s="114">
        <f t="shared" ca="1" si="73"/>
        <v>0</v>
      </c>
      <c r="L315" s="115"/>
      <c r="M315" s="115"/>
      <c r="N315" s="115"/>
    </row>
    <row r="316" spans="1:14" ht="21.75" customHeight="1" x14ac:dyDescent="0.4">
      <c r="A316" s="55"/>
      <c r="B316" s="56"/>
      <c r="C316" s="56"/>
      <c r="D316" s="73"/>
      <c r="E316" s="77"/>
      <c r="F316" s="242" t="s">
        <v>132</v>
      </c>
      <c r="G316" s="76"/>
      <c r="H316" s="78" t="s">
        <v>16</v>
      </c>
      <c r="I316" s="243">
        <f ca="1">IFERROR(__xludf.DUMMYFUNCTION("IMPORTRANGE(""https://docs.google.com/spreadsheets/d/1C3CXT74ZlgGe6_JY_1olB1XN4rF0dxEuIIF-xsYjHgg/edit?usp=sharing"",""งบกองทุน!ai27"")"),38)</f>
        <v>38</v>
      </c>
      <c r="J316" s="79">
        <f ca="1">IF(AND(J318=I318,J319=I319,J320=I320),I318,0)</f>
        <v>0</v>
      </c>
      <c r="K316" s="80">
        <f t="shared" ca="1" si="73"/>
        <v>0</v>
      </c>
      <c r="L316" s="61"/>
      <c r="M316" s="61"/>
      <c r="N316" s="61"/>
    </row>
    <row r="317" spans="1:14" ht="21.75" customHeight="1" x14ac:dyDescent="0.4">
      <c r="A317" s="55"/>
      <c r="B317" s="56"/>
      <c r="C317" s="56"/>
      <c r="D317" s="73"/>
      <c r="E317" s="77"/>
      <c r="F317" s="75"/>
      <c r="G317" s="76"/>
      <c r="H317" s="78" t="s">
        <v>103</v>
      </c>
      <c r="I317" s="243">
        <f ca="1">IFERROR(__xludf.DUMMYFUNCTION("IMPORTRANGE(""https://docs.google.com/spreadsheets/d/1C3CXT74ZlgGe6_JY_1olB1XN4rF0dxEuIIF-xsYjHgg/edit?usp=sharing"",""งบกองทุน!ah27"")"),114)</f>
        <v>114</v>
      </c>
      <c r="J317" s="154">
        <v>0</v>
      </c>
      <c r="K317" s="80">
        <f t="shared" ca="1" si="73"/>
        <v>0</v>
      </c>
      <c r="L317" s="61"/>
      <c r="M317" s="61"/>
      <c r="N317" s="61"/>
    </row>
    <row r="318" spans="1:14" ht="21.75" customHeight="1" x14ac:dyDescent="0.4">
      <c r="A318" s="55"/>
      <c r="B318" s="56"/>
      <c r="C318" s="56"/>
      <c r="D318" s="73"/>
      <c r="E318" s="77"/>
      <c r="F318" s="75"/>
      <c r="G318" s="99" t="s">
        <v>133</v>
      </c>
      <c r="H318" s="60" t="s">
        <v>16</v>
      </c>
      <c r="I318" s="200">
        <f ca="1">IFERROR(__xludf.DUMMYFUNCTION("IMPORTRANGE(""https://docs.google.com/spreadsheets/d/1C3CXT74ZlgGe6_JY_1olB1XN4rF0dxEuIIF-xsYjHgg/edit?usp=sharing"",""งบกองทุน!aj27"")"),38)</f>
        <v>38</v>
      </c>
      <c r="J318" s="68">
        <v>0</v>
      </c>
      <c r="K318" s="49">
        <f t="shared" ca="1" si="73"/>
        <v>0</v>
      </c>
      <c r="L318" s="61"/>
      <c r="M318" s="61"/>
      <c r="N318" s="61"/>
    </row>
    <row r="319" spans="1:14" ht="21.75" customHeight="1" x14ac:dyDescent="0.4">
      <c r="A319" s="55"/>
      <c r="B319" s="56"/>
      <c r="C319" s="56"/>
      <c r="D319" s="73"/>
      <c r="E319" s="77"/>
      <c r="F319" s="75"/>
      <c r="G319" s="99" t="s">
        <v>134</v>
      </c>
      <c r="H319" s="60" t="s">
        <v>16</v>
      </c>
      <c r="I319" s="200">
        <f ca="1">IFERROR(__xludf.DUMMYFUNCTION("IMPORTRANGE(""https://docs.google.com/spreadsheets/d/1C3CXT74ZlgGe6_JY_1olB1XN4rF0dxEuIIF-xsYjHgg/edit?usp=sharing"",""งบกองทุน!ak27"")"),38)</f>
        <v>38</v>
      </c>
      <c r="J319" s="68">
        <v>0</v>
      </c>
      <c r="K319" s="49">
        <f t="shared" ca="1" si="73"/>
        <v>0</v>
      </c>
      <c r="L319" s="61"/>
      <c r="M319" s="61"/>
      <c r="N319" s="61"/>
    </row>
    <row r="320" spans="1:14" ht="21.75" customHeight="1" x14ac:dyDescent="0.4">
      <c r="A320" s="55"/>
      <c r="B320" s="56"/>
      <c r="C320" s="56"/>
      <c r="D320" s="73"/>
      <c r="E320" s="77"/>
      <c r="F320" s="75"/>
      <c r="G320" s="99" t="s">
        <v>135</v>
      </c>
      <c r="H320" s="60" t="s">
        <v>16</v>
      </c>
      <c r="I320" s="200">
        <f ca="1">IFERROR(__xludf.DUMMYFUNCTION("IMPORTRANGE(""https://docs.google.com/spreadsheets/d/1C3CXT74ZlgGe6_JY_1olB1XN4rF0dxEuIIF-xsYjHgg/edit?usp=sharing"",""งบกองทุน!al27"")"),38)</f>
        <v>38</v>
      </c>
      <c r="J320" s="68">
        <v>0</v>
      </c>
      <c r="K320" s="49">
        <f t="shared" ca="1" si="73"/>
        <v>0</v>
      </c>
      <c r="L320" s="61"/>
      <c r="M320" s="61"/>
      <c r="N320" s="61"/>
    </row>
    <row r="321" spans="1:14" ht="21.75" customHeight="1" x14ac:dyDescent="0.4">
      <c r="A321" s="55"/>
      <c r="B321" s="56"/>
      <c r="C321" s="56"/>
      <c r="D321" s="73"/>
      <c r="E321" s="77"/>
      <c r="F321" s="242" t="s">
        <v>136</v>
      </c>
      <c r="G321" s="76"/>
      <c r="H321" s="78" t="s">
        <v>16</v>
      </c>
      <c r="I321" s="243">
        <f ca="1">IFERROR(__xludf.DUMMYFUNCTION("IMPORTRANGE(""https://docs.google.com/spreadsheets/d/1C3CXT74ZlgGe6_JY_1olB1XN4rF0dxEuIIF-xsYjHgg/edit?usp=sharing"",""งบกองทุน!an27"")"),10)</f>
        <v>10</v>
      </c>
      <c r="J321" s="79">
        <f ca="1">IF(AND(J323=I323,J324=I324),I323,0)</f>
        <v>0</v>
      </c>
      <c r="K321" s="80">
        <f t="shared" ca="1" si="73"/>
        <v>0</v>
      </c>
      <c r="L321" s="61"/>
      <c r="M321" s="61"/>
      <c r="N321" s="61"/>
    </row>
    <row r="322" spans="1:14" ht="21.75" customHeight="1" x14ac:dyDescent="0.4">
      <c r="A322" s="55"/>
      <c r="B322" s="56"/>
      <c r="C322" s="56"/>
      <c r="D322" s="73"/>
      <c r="E322" s="77"/>
      <c r="F322" s="75"/>
      <c r="G322" s="76"/>
      <c r="H322" s="78" t="s">
        <v>103</v>
      </c>
      <c r="I322" s="243">
        <f ca="1">IFERROR(__xludf.DUMMYFUNCTION("IMPORTRANGE(""https://docs.google.com/spreadsheets/d/1C3CXT74ZlgGe6_JY_1olB1XN4rF0dxEuIIF-xsYjHgg/edit?usp=sharing"",""งบกองทุน!am27"")"),30)</f>
        <v>30</v>
      </c>
      <c r="J322" s="154">
        <v>0</v>
      </c>
      <c r="K322" s="80">
        <f t="shared" ca="1" si="73"/>
        <v>0</v>
      </c>
      <c r="L322" s="61"/>
      <c r="M322" s="61"/>
      <c r="N322" s="61"/>
    </row>
    <row r="323" spans="1:14" ht="21.75" customHeight="1" x14ac:dyDescent="0.4">
      <c r="A323" s="55"/>
      <c r="B323" s="56"/>
      <c r="C323" s="56"/>
      <c r="D323" s="73"/>
      <c r="E323" s="77"/>
      <c r="F323" s="75"/>
      <c r="G323" s="99" t="s">
        <v>137</v>
      </c>
      <c r="H323" s="60" t="s">
        <v>16</v>
      </c>
      <c r="I323" s="248">
        <f ca="1">IFERROR(__xludf.DUMMYFUNCTION("IMPORTRANGE(""https://docs.google.com/spreadsheets/d/1C3CXT74ZlgGe6_JY_1olB1XN4rF0dxEuIIF-xsYjHgg/edit?usp=sharing"",""งบกองทุน!ao27"")"),10)</f>
        <v>10</v>
      </c>
      <c r="J323" s="68">
        <v>0</v>
      </c>
      <c r="K323" s="49">
        <f t="shared" ca="1" si="73"/>
        <v>0</v>
      </c>
      <c r="L323" s="61"/>
      <c r="M323" s="61"/>
      <c r="N323" s="61"/>
    </row>
    <row r="324" spans="1:14" ht="21.75" customHeight="1" x14ac:dyDescent="0.4">
      <c r="A324" s="55"/>
      <c r="B324" s="56"/>
      <c r="C324" s="56"/>
      <c r="D324" s="73"/>
      <c r="E324" s="77"/>
      <c r="F324" s="75"/>
      <c r="G324" s="99" t="s">
        <v>138</v>
      </c>
      <c r="H324" s="60" t="s">
        <v>16</v>
      </c>
      <c r="I324" s="248">
        <f ca="1">IFERROR(__xludf.DUMMYFUNCTION("IMPORTRANGE(""https://docs.google.com/spreadsheets/d/1C3CXT74ZlgGe6_JY_1olB1XN4rF0dxEuIIF-xsYjHgg/edit?usp=sharing"",""งบกองทุน!ap27"")"),10)</f>
        <v>10</v>
      </c>
      <c r="J324" s="68">
        <v>0</v>
      </c>
      <c r="K324" s="49">
        <f t="shared" ca="1" si="73"/>
        <v>0</v>
      </c>
      <c r="L324" s="61"/>
      <c r="M324" s="61"/>
      <c r="N324" s="61"/>
    </row>
    <row r="325" spans="1:14" ht="21.75" customHeight="1" x14ac:dyDescent="0.4">
      <c r="A325" s="55"/>
      <c r="B325" s="56"/>
      <c r="C325" s="56"/>
      <c r="D325" s="73"/>
      <c r="E325" s="77"/>
      <c r="F325" s="74" t="s">
        <v>34</v>
      </c>
      <c r="G325" s="240"/>
      <c r="H325" s="241" t="s">
        <v>16</v>
      </c>
      <c r="I325" s="79">
        <f ca="1">SUM(I326,I327)</f>
        <v>48</v>
      </c>
      <c r="J325" s="79">
        <f ca="1">IF(AND(J326=I326,J327=I327),I325,0)</f>
        <v>0</v>
      </c>
      <c r="K325" s="80">
        <f t="shared" ca="1" si="73"/>
        <v>0</v>
      </c>
      <c r="L325" s="61"/>
      <c r="M325" s="61"/>
      <c r="N325" s="61"/>
    </row>
    <row r="326" spans="1:14" ht="21.75" customHeight="1" x14ac:dyDescent="0.4">
      <c r="A326" s="249"/>
      <c r="B326" s="250"/>
      <c r="C326" s="250"/>
      <c r="D326" s="251"/>
      <c r="E326" s="77"/>
      <c r="F326" s="75"/>
      <c r="G326" s="99" t="s">
        <v>139</v>
      </c>
      <c r="H326" s="60" t="s">
        <v>16</v>
      </c>
      <c r="I326" s="248">
        <f ca="1">IFERROR(__xludf.DUMMYFUNCTION("IMPORTRANGE(""https://docs.google.com/spreadsheets/d/1C3CXT74ZlgGe6_JY_1olB1XN4rF0dxEuIIF-xsYjHgg/edit?usp=sharing"",""งบกองทุน!ar27"")"),10)</f>
        <v>10</v>
      </c>
      <c r="J326" s="68">
        <v>0</v>
      </c>
      <c r="K326" s="49">
        <f t="shared" ca="1" si="73"/>
        <v>0</v>
      </c>
      <c r="L326" s="61"/>
      <c r="M326" s="61"/>
      <c r="N326" s="61"/>
    </row>
    <row r="327" spans="1:14" ht="21.75" customHeight="1" x14ac:dyDescent="0.4">
      <c r="A327" s="249"/>
      <c r="B327" s="250"/>
      <c r="C327" s="250"/>
      <c r="D327" s="251"/>
      <c r="E327" s="77"/>
      <c r="F327" s="75"/>
      <c r="G327" s="99" t="s">
        <v>140</v>
      </c>
      <c r="H327" s="60" t="s">
        <v>16</v>
      </c>
      <c r="I327" s="248">
        <f ca="1">IFERROR(__xludf.DUMMYFUNCTION("IMPORTRANGE(""https://docs.google.com/spreadsheets/d/1C3CXT74ZlgGe6_JY_1olB1XN4rF0dxEuIIF-xsYjHgg/edit?usp=sharing"",""งบกองทุน!as27"")"),38)</f>
        <v>38</v>
      </c>
      <c r="J327" s="68">
        <v>0</v>
      </c>
      <c r="K327" s="49">
        <f t="shared" ca="1" si="73"/>
        <v>0</v>
      </c>
      <c r="L327" s="61"/>
      <c r="M327" s="61"/>
      <c r="N327" s="61"/>
    </row>
    <row r="328" spans="1:14" ht="21.75" customHeight="1" x14ac:dyDescent="0.4">
      <c r="A328" s="55"/>
      <c r="B328" s="56"/>
      <c r="C328" s="56"/>
      <c r="D328" s="73"/>
      <c r="E328" s="74" t="s">
        <v>35</v>
      </c>
      <c r="F328" s="75"/>
      <c r="G328" s="76"/>
      <c r="H328" s="66"/>
      <c r="I328" s="67"/>
      <c r="J328" s="68">
        <v>0</v>
      </c>
      <c r="K328" s="49"/>
      <c r="L328" s="61"/>
      <c r="M328" s="61"/>
      <c r="N328" s="61"/>
    </row>
    <row r="329" spans="1:14" ht="21.75" customHeight="1" x14ac:dyDescent="0.4">
      <c r="A329" s="55"/>
      <c r="B329" s="56"/>
      <c r="C329" s="56"/>
      <c r="D329" s="81">
        <v>3</v>
      </c>
      <c r="E329" s="82" t="s">
        <v>36</v>
      </c>
      <c r="F329" s="83"/>
      <c r="G329" s="84"/>
      <c r="H329" s="66"/>
      <c r="I329" s="67"/>
      <c r="J329" s="85">
        <v>0</v>
      </c>
      <c r="K329" s="49"/>
      <c r="L329" s="61"/>
      <c r="M329" s="61"/>
      <c r="N329" s="61"/>
    </row>
    <row r="330" spans="1:14" ht="21.75" customHeight="1" x14ac:dyDescent="0.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15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83000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4">
      <c r="A331" s="42"/>
      <c r="B331" s="43"/>
      <c r="C331" s="43" t="s">
        <v>17</v>
      </c>
      <c r="D331" s="44" t="s">
        <v>18</v>
      </c>
      <c r="E331" s="45"/>
      <c r="F331" s="45"/>
      <c r="G331" s="46" t="s">
        <v>19</v>
      </c>
      <c r="H331" s="47" t="s">
        <v>20</v>
      </c>
      <c r="I331" s="48" t="s">
        <v>21</v>
      </c>
      <c r="J331" s="48"/>
      <c r="K331" s="49"/>
      <c r="L331" s="50">
        <v>0</v>
      </c>
      <c r="M331" s="53">
        <v>0</v>
      </c>
      <c r="N331" s="53">
        <f t="shared" si="75"/>
        <v>0</v>
      </c>
    </row>
    <row r="332" spans="1:14" ht="21.75" customHeight="1" x14ac:dyDescent="0.4">
      <c r="A332" s="42"/>
      <c r="B332" s="43"/>
      <c r="C332" s="43"/>
      <c r="D332" s="51"/>
      <c r="E332" s="45"/>
      <c r="F332" s="45" t="s">
        <v>21</v>
      </c>
      <c r="G332" s="46" t="s">
        <v>22</v>
      </c>
      <c r="H332" s="47" t="s">
        <v>20</v>
      </c>
      <c r="I332" s="48"/>
      <c r="J332" s="48"/>
      <c r="K332" s="49"/>
      <c r="L332" s="50">
        <f t="shared" ref="L332:M332" ca="1" si="76">SUM(L333:L334)</f>
        <v>83000</v>
      </c>
      <c r="M332" s="53">
        <f t="shared" si="76"/>
        <v>0</v>
      </c>
      <c r="N332" s="53">
        <f t="shared" ca="1" si="75"/>
        <v>0</v>
      </c>
    </row>
    <row r="333" spans="1:14" ht="21.75" customHeight="1" x14ac:dyDescent="0.4">
      <c r="A333" s="42"/>
      <c r="B333" s="43"/>
      <c r="C333" s="43"/>
      <c r="D333" s="51"/>
      <c r="E333" s="45"/>
      <c r="F333" s="45"/>
      <c r="G333" s="52" t="s">
        <v>110</v>
      </c>
      <c r="H333" s="47" t="s">
        <v>20</v>
      </c>
      <c r="I333" s="48"/>
      <c r="J333" s="48"/>
      <c r="K333" s="49"/>
      <c r="L333" s="53">
        <f ca="1">IFERROR(__xludf.DUMMYFUNCTION("IMPORTRANGE(""https://docs.google.com/spreadsheets/d/1C3CXT74ZlgGe6_JY_1olB1XN4rF0dxEuIIF-xsYjHgg/edit?usp=sharing"",""งบกองทุน!au27"")"),0)</f>
        <v>0</v>
      </c>
      <c r="M333" s="53">
        <v>0</v>
      </c>
      <c r="N333" s="53">
        <f t="shared" ca="1" si="75"/>
        <v>0</v>
      </c>
    </row>
    <row r="334" spans="1:14" ht="21.75" customHeight="1" x14ac:dyDescent="0.4">
      <c r="A334" s="42"/>
      <c r="B334" s="43"/>
      <c r="C334" s="43"/>
      <c r="D334" s="51"/>
      <c r="E334" s="45"/>
      <c r="F334" s="45"/>
      <c r="G334" s="52" t="s">
        <v>111</v>
      </c>
      <c r="H334" s="47" t="s">
        <v>20</v>
      </c>
      <c r="I334" s="48"/>
      <c r="J334" s="48"/>
      <c r="K334" s="49"/>
      <c r="L334" s="53">
        <f ca="1">IFERROR(__xludf.DUMMYFUNCTION("IMPORTRANGE(""https://docs.google.com/spreadsheets/d/1C3CXT74ZlgGe6_JY_1olB1XN4rF0dxEuIIF-xsYjHgg/edit?usp=sharing"",""งบกองทุน!av27"")"),83000)</f>
        <v>83000</v>
      </c>
      <c r="M334" s="53">
        <f>SUM(M335:M338)</f>
        <v>0</v>
      </c>
      <c r="N334" s="53">
        <f t="shared" ca="1" si="75"/>
        <v>0</v>
      </c>
    </row>
    <row r="335" spans="1:14" ht="21.75" customHeight="1" x14ac:dyDescent="0.4">
      <c r="A335" s="230"/>
      <c r="B335" s="231"/>
      <c r="C335" s="43"/>
      <c r="D335" s="232"/>
      <c r="E335" s="45"/>
      <c r="F335" s="45"/>
      <c r="G335" s="46" t="s">
        <v>112</v>
      </c>
      <c r="H335" s="47" t="s">
        <v>20</v>
      </c>
      <c r="I335" s="67"/>
      <c r="J335" s="67"/>
      <c r="K335" s="233"/>
      <c r="L335" s="53"/>
      <c r="M335" s="54">
        <v>0</v>
      </c>
      <c r="N335" s="53"/>
    </row>
    <row r="336" spans="1:14" ht="21.75" customHeight="1" x14ac:dyDescent="0.4">
      <c r="A336" s="230"/>
      <c r="B336" s="231"/>
      <c r="C336" s="43"/>
      <c r="D336" s="232"/>
      <c r="E336" s="45"/>
      <c r="F336" s="45"/>
      <c r="G336" s="46" t="s">
        <v>113</v>
      </c>
      <c r="H336" s="47" t="s">
        <v>20</v>
      </c>
      <c r="I336" s="67"/>
      <c r="J336" s="67"/>
      <c r="K336" s="233"/>
      <c r="L336" s="53"/>
      <c r="M336" s="54">
        <v>0</v>
      </c>
      <c r="N336" s="53"/>
    </row>
    <row r="337" spans="1:14" ht="21.75" customHeight="1" x14ac:dyDescent="0.4">
      <c r="A337" s="230"/>
      <c r="B337" s="231"/>
      <c r="C337" s="43"/>
      <c r="D337" s="232"/>
      <c r="E337" s="45"/>
      <c r="F337" s="45"/>
      <c r="G337" s="46" t="s">
        <v>114</v>
      </c>
      <c r="H337" s="47" t="s">
        <v>20</v>
      </c>
      <c r="I337" s="67"/>
      <c r="J337" s="67"/>
      <c r="K337" s="233"/>
      <c r="L337" s="53"/>
      <c r="M337" s="54">
        <v>0</v>
      </c>
      <c r="N337" s="53"/>
    </row>
    <row r="338" spans="1:14" ht="21.75" customHeight="1" x14ac:dyDescent="0.4">
      <c r="A338" s="230"/>
      <c r="B338" s="231"/>
      <c r="C338" s="43"/>
      <c r="D338" s="232"/>
      <c r="E338" s="45"/>
      <c r="F338" s="45"/>
      <c r="G338" s="46" t="s">
        <v>115</v>
      </c>
      <c r="H338" s="47" t="s">
        <v>20</v>
      </c>
      <c r="I338" s="67"/>
      <c r="J338" s="67"/>
      <c r="K338" s="233"/>
      <c r="L338" s="53"/>
      <c r="M338" s="54">
        <v>0</v>
      </c>
      <c r="N338" s="53"/>
    </row>
    <row r="339" spans="1:14" ht="21.75" customHeight="1" x14ac:dyDescent="0.4">
      <c r="A339" s="55"/>
      <c r="B339" s="56"/>
      <c r="C339" s="43" t="s">
        <v>17</v>
      </c>
      <c r="D339" s="57" t="s">
        <v>25</v>
      </c>
      <c r="E339" s="58"/>
      <c r="F339" s="58"/>
      <c r="G339" s="59"/>
      <c r="H339" s="60"/>
      <c r="I339" s="48"/>
      <c r="J339" s="48"/>
      <c r="K339" s="49"/>
      <c r="L339" s="61"/>
      <c r="M339" s="61"/>
      <c r="N339" s="61"/>
    </row>
    <row r="340" spans="1:14" ht="21.75" customHeight="1" x14ac:dyDescent="0.4">
      <c r="A340" s="55"/>
      <c r="B340" s="56"/>
      <c r="C340" s="56"/>
      <c r="D340" s="62">
        <v>1</v>
      </c>
      <c r="E340" s="63" t="s">
        <v>26</v>
      </c>
      <c r="F340" s="64"/>
      <c r="G340" s="65"/>
      <c r="H340" s="66"/>
      <c r="I340" s="67"/>
      <c r="J340" s="85">
        <v>0</v>
      </c>
      <c r="K340" s="49"/>
      <c r="L340" s="61"/>
      <c r="M340" s="61"/>
      <c r="N340" s="61"/>
    </row>
    <row r="341" spans="1:14" ht="21.75" customHeight="1" x14ac:dyDescent="0.4">
      <c r="A341" s="55"/>
      <c r="B341" s="56"/>
      <c r="C341" s="56"/>
      <c r="D341" s="69">
        <v>2</v>
      </c>
      <c r="E341" s="70" t="s">
        <v>27</v>
      </c>
      <c r="F341" s="71"/>
      <c r="G341" s="72"/>
      <c r="H341" s="66"/>
      <c r="I341" s="67"/>
      <c r="J341" s="85">
        <v>0</v>
      </c>
      <c r="K341" s="49"/>
      <c r="L341" s="61" t="s">
        <v>21</v>
      </c>
      <c r="M341" s="61" t="s">
        <v>21</v>
      </c>
      <c r="N341" s="61"/>
    </row>
    <row r="342" spans="1:14" ht="21.75" customHeight="1" x14ac:dyDescent="0.4">
      <c r="A342" s="55"/>
      <c r="B342" s="56"/>
      <c r="C342" s="56"/>
      <c r="D342" s="73"/>
      <c r="E342" s="74" t="s">
        <v>142</v>
      </c>
      <c r="F342" s="75"/>
      <c r="G342" s="76"/>
      <c r="H342" s="66"/>
      <c r="I342" s="67"/>
      <c r="J342" s="68">
        <v>0</v>
      </c>
      <c r="K342" s="49"/>
      <c r="L342" s="61"/>
      <c r="M342" s="61"/>
      <c r="N342" s="61"/>
    </row>
    <row r="343" spans="1:14" ht="21.75" customHeight="1" x14ac:dyDescent="0.4">
      <c r="A343" s="55"/>
      <c r="B343" s="56"/>
      <c r="C343" s="56"/>
      <c r="D343" s="73"/>
      <c r="E343" s="74" t="s">
        <v>29</v>
      </c>
      <c r="F343" s="75"/>
      <c r="G343" s="76"/>
      <c r="H343" s="66"/>
      <c r="I343" s="67"/>
      <c r="J343" s="68">
        <v>0</v>
      </c>
      <c r="K343" s="49"/>
      <c r="L343" s="61"/>
      <c r="M343" s="61"/>
      <c r="N343" s="61"/>
    </row>
    <row r="344" spans="1:14" ht="21.75" customHeight="1" x14ac:dyDescent="0.4">
      <c r="A344" s="55"/>
      <c r="B344" s="56"/>
      <c r="C344" s="56"/>
      <c r="D344" s="73"/>
      <c r="E344" s="77"/>
      <c r="F344" s="260" t="s">
        <v>82</v>
      </c>
      <c r="G344" s="76"/>
      <c r="H344" s="66" t="s">
        <v>16</v>
      </c>
      <c r="I344" s="243">
        <f t="shared" ref="I344:J344" ca="1" si="77">+I345+I346+I347</f>
        <v>15</v>
      </c>
      <c r="J344" s="79">
        <f t="shared" si="77"/>
        <v>0</v>
      </c>
      <c r="K344" s="49">
        <f t="shared" ref="K344:K347" ca="1" si="78">IF(I344&gt;0,J344*100/I344,0)</f>
        <v>0</v>
      </c>
      <c r="L344" s="61"/>
      <c r="M344" s="61"/>
      <c r="N344" s="61"/>
    </row>
    <row r="345" spans="1:14" ht="21.75" customHeight="1" x14ac:dyDescent="0.4">
      <c r="A345" s="55"/>
      <c r="B345" s="56"/>
      <c r="C345" s="56"/>
      <c r="D345" s="73"/>
      <c r="E345" s="77"/>
      <c r="F345" s="75"/>
      <c r="G345" s="99" t="s">
        <v>143</v>
      </c>
      <c r="H345" s="66" t="s">
        <v>16</v>
      </c>
      <c r="I345" s="200">
        <f ca="1">IFERROR(__xludf.DUMMYFUNCTION("IMPORTRANGE(""https://docs.google.com/spreadsheets/d/1C3CXT74ZlgGe6_JY_1olB1XN4rF0dxEuIIF-xsYjHgg/edit?usp=sharing"",""งบกองทุน!ay27"")"),15)</f>
        <v>15</v>
      </c>
      <c r="J345" s="68">
        <v>0</v>
      </c>
      <c r="K345" s="49">
        <f t="shared" ca="1" si="78"/>
        <v>0</v>
      </c>
      <c r="L345" s="61"/>
      <c r="M345" s="61"/>
      <c r="N345" s="61"/>
    </row>
    <row r="346" spans="1:14" ht="21.75" customHeight="1" x14ac:dyDescent="0.4">
      <c r="A346" s="55"/>
      <c r="B346" s="56"/>
      <c r="C346" s="56"/>
      <c r="D346" s="73"/>
      <c r="E346" s="77"/>
      <c r="F346" s="75"/>
      <c r="G346" s="76" t="s">
        <v>144</v>
      </c>
      <c r="H346" s="66" t="s">
        <v>16</v>
      </c>
      <c r="I346" s="200">
        <f ca="1">IFERROR(__xludf.DUMMYFUNCTION("IMPORTRANGE(""https://docs.google.com/spreadsheets/d/1C3CXT74ZlgGe6_JY_1olB1XN4rF0dxEuIIF-xsYjHgg/edit?usp=sharing"",""งบกองทุน!az27"")"),0)</f>
        <v>0</v>
      </c>
      <c r="J346" s="67">
        <v>0</v>
      </c>
      <c r="K346" s="49">
        <f t="shared" ca="1" si="78"/>
        <v>0</v>
      </c>
      <c r="L346" s="61"/>
      <c r="M346" s="61"/>
      <c r="N346" s="61"/>
    </row>
    <row r="347" spans="1:14" ht="21.75" customHeight="1" x14ac:dyDescent="0.4">
      <c r="A347" s="55"/>
      <c r="B347" s="56"/>
      <c r="C347" s="56"/>
      <c r="D347" s="73"/>
      <c r="E347" s="77"/>
      <c r="F347" s="75"/>
      <c r="G347" s="76" t="s">
        <v>145</v>
      </c>
      <c r="H347" s="66" t="s">
        <v>16</v>
      </c>
      <c r="I347" s="67">
        <f ca="1">IFERROR(__xludf.DUMMYFUNCTION("IMPORTRANGE(""https://docs.google.com/spreadsheets/d/1C3CXT74ZlgGe6_JY_1olB1XN4rF0dxEuIIF-xsYjHgg/edit?usp=sharing"",""งบกองทุน!Ba27"")"),0)</f>
        <v>0</v>
      </c>
      <c r="J347" s="67">
        <v>0</v>
      </c>
      <c r="K347" s="49">
        <f t="shared" ca="1" si="78"/>
        <v>0</v>
      </c>
      <c r="L347" s="61"/>
      <c r="M347" s="61"/>
      <c r="N347" s="61"/>
    </row>
    <row r="348" spans="1:14" ht="21.75" customHeight="1" x14ac:dyDescent="0.4">
      <c r="A348" s="55"/>
      <c r="B348" s="56"/>
      <c r="C348" s="56"/>
      <c r="D348" s="73"/>
      <c r="E348" s="74" t="s">
        <v>35</v>
      </c>
      <c r="F348" s="75"/>
      <c r="G348" s="76"/>
      <c r="H348" s="66"/>
      <c r="I348" s="67"/>
      <c r="J348" s="68">
        <v>0</v>
      </c>
      <c r="K348" s="49"/>
      <c r="L348" s="61"/>
      <c r="M348" s="61"/>
      <c r="N348" s="61"/>
    </row>
    <row r="349" spans="1:14" ht="21.75" customHeight="1" x14ac:dyDescent="0.4">
      <c r="A349" s="55"/>
      <c r="B349" s="56"/>
      <c r="C349" s="56"/>
      <c r="D349" s="81">
        <v>3</v>
      </c>
      <c r="E349" s="82" t="s">
        <v>36</v>
      </c>
      <c r="F349" s="83"/>
      <c r="G349" s="84"/>
      <c r="H349" s="66"/>
      <c r="I349" s="67"/>
      <c r="J349" s="85">
        <v>0</v>
      </c>
      <c r="K349" s="49"/>
      <c r="L349" s="61"/>
      <c r="M349" s="61"/>
      <c r="N349" s="61"/>
    </row>
    <row r="350" spans="1:14" ht="21.75" customHeight="1" x14ac:dyDescent="0.4">
      <c r="A350" s="222"/>
      <c r="B350" s="223">
        <v>5</v>
      </c>
      <c r="C350" s="224" t="s">
        <v>146</v>
      </c>
      <c r="D350" s="224"/>
      <c r="E350" s="224"/>
      <c r="F350" s="224"/>
      <c r="G350" s="225"/>
      <c r="H350" s="226" t="s">
        <v>103</v>
      </c>
      <c r="I350" s="227">
        <f ca="1">I359</f>
        <v>74168</v>
      </c>
      <c r="J350" s="227">
        <f>+J359</f>
        <v>0</v>
      </c>
      <c r="K350" s="228">
        <f ca="1">IF(I350&gt;0,J350*100/I350,0)</f>
        <v>0</v>
      </c>
      <c r="L350" s="229">
        <f t="shared" ref="L350:M350" ca="1" si="79">SUM(L351:L352)</f>
        <v>579537</v>
      </c>
      <c r="M350" s="229">
        <f t="shared" si="79"/>
        <v>16416.64</v>
      </c>
      <c r="N350" s="229">
        <f t="shared" ref="N350:N354" ca="1" si="80">+IF(L350&gt;0,M350*100/L350,0)</f>
        <v>2.8327164615891651</v>
      </c>
    </row>
    <row r="351" spans="1:14" ht="21.75" customHeight="1" x14ac:dyDescent="0.4">
      <c r="A351" s="42"/>
      <c r="B351" s="43"/>
      <c r="C351" s="43" t="s">
        <v>17</v>
      </c>
      <c r="D351" s="44" t="s">
        <v>18</v>
      </c>
      <c r="E351" s="45"/>
      <c r="F351" s="45"/>
      <c r="G351" s="46" t="s">
        <v>19</v>
      </c>
      <c r="H351" s="47" t="s">
        <v>20</v>
      </c>
      <c r="I351" s="48" t="s">
        <v>21</v>
      </c>
      <c r="J351" s="48"/>
      <c r="K351" s="49"/>
      <c r="L351" s="50">
        <v>0</v>
      </c>
      <c r="M351" s="53">
        <v>0</v>
      </c>
      <c r="N351" s="53">
        <f t="shared" si="80"/>
        <v>0</v>
      </c>
    </row>
    <row r="352" spans="1:14" ht="21.75" customHeight="1" x14ac:dyDescent="0.4">
      <c r="A352" s="42"/>
      <c r="B352" s="43"/>
      <c r="C352" s="43"/>
      <c r="D352" s="51"/>
      <c r="E352" s="45"/>
      <c r="F352" s="45" t="s">
        <v>21</v>
      </c>
      <c r="G352" s="46" t="s">
        <v>22</v>
      </c>
      <c r="H352" s="47" t="s">
        <v>20</v>
      </c>
      <c r="I352" s="48"/>
      <c r="J352" s="48"/>
      <c r="K352" s="49"/>
      <c r="L352" s="50">
        <f t="shared" ref="L352:M352" ca="1" si="81">SUM(L353:L354)</f>
        <v>579537</v>
      </c>
      <c r="M352" s="53">
        <f t="shared" si="81"/>
        <v>16416.64</v>
      </c>
      <c r="N352" s="53">
        <f t="shared" ca="1" si="80"/>
        <v>2.8327164615891651</v>
      </c>
    </row>
    <row r="353" spans="1:14" ht="21.75" customHeight="1" x14ac:dyDescent="0.4">
      <c r="A353" s="42"/>
      <c r="B353" s="43"/>
      <c r="C353" s="43"/>
      <c r="D353" s="51"/>
      <c r="E353" s="45"/>
      <c r="F353" s="45"/>
      <c r="G353" s="52" t="s">
        <v>110</v>
      </c>
      <c r="H353" s="47" t="s">
        <v>20</v>
      </c>
      <c r="I353" s="48"/>
      <c r="J353" s="48"/>
      <c r="K353" s="49"/>
      <c r="L353" s="53">
        <f ca="1">IFERROR(__xludf.DUMMYFUNCTION("IMPORTRANGE(""https://docs.google.com/spreadsheets/d/1C3CXT74ZlgGe6_JY_1olB1XN4rF0dxEuIIF-xsYjHgg/edit?usp=sharing"",""งบกองทุน!Bc27"")"),0)</f>
        <v>0</v>
      </c>
      <c r="M353" s="53">
        <v>0</v>
      </c>
      <c r="N353" s="53">
        <f t="shared" ca="1" si="80"/>
        <v>0</v>
      </c>
    </row>
    <row r="354" spans="1:14" ht="21.75" customHeight="1" x14ac:dyDescent="0.4">
      <c r="A354" s="42"/>
      <c r="B354" s="43"/>
      <c r="C354" s="43"/>
      <c r="D354" s="51"/>
      <c r="E354" s="45"/>
      <c r="F354" s="45"/>
      <c r="G354" s="52" t="s">
        <v>111</v>
      </c>
      <c r="H354" s="47" t="s">
        <v>20</v>
      </c>
      <c r="I354" s="48"/>
      <c r="J354" s="48"/>
      <c r="K354" s="49"/>
      <c r="L354" s="53">
        <f ca="1">IFERROR(__xludf.DUMMYFUNCTION("IMPORTRANGE(""https://docs.google.com/spreadsheets/d/1C3CXT74ZlgGe6_JY_1olB1XN4rF0dxEuIIF-xsYjHgg/edit?usp=sharing"",""งบกองทุน!Bd27"")"),579537)</f>
        <v>579537</v>
      </c>
      <c r="M354" s="53">
        <f>SUM(M355:M358)</f>
        <v>16416.64</v>
      </c>
      <c r="N354" s="53">
        <f t="shared" ca="1" si="80"/>
        <v>2.8327164615891651</v>
      </c>
    </row>
    <row r="355" spans="1:14" ht="21.75" customHeight="1" x14ac:dyDescent="0.4">
      <c r="A355" s="230"/>
      <c r="B355" s="231"/>
      <c r="C355" s="43"/>
      <c r="D355" s="232"/>
      <c r="E355" s="45"/>
      <c r="F355" s="45"/>
      <c r="G355" s="46" t="s">
        <v>112</v>
      </c>
      <c r="H355" s="47" t="s">
        <v>20</v>
      </c>
      <c r="I355" s="67"/>
      <c r="J355" s="67"/>
      <c r="K355" s="233"/>
      <c r="L355" s="53"/>
      <c r="M355" s="53">
        <v>0</v>
      </c>
      <c r="N355" s="53"/>
    </row>
    <row r="356" spans="1:14" ht="21.75" customHeight="1" x14ac:dyDescent="0.4">
      <c r="A356" s="230"/>
      <c r="B356" s="231"/>
      <c r="C356" s="43"/>
      <c r="D356" s="232"/>
      <c r="E356" s="45"/>
      <c r="F356" s="45"/>
      <c r="G356" s="46" t="s">
        <v>113</v>
      </c>
      <c r="H356" s="47" t="s">
        <v>20</v>
      </c>
      <c r="I356" s="67"/>
      <c r="J356" s="67"/>
      <c r="K356" s="233"/>
      <c r="L356" s="53"/>
      <c r="M356" s="53">
        <v>0</v>
      </c>
      <c r="N356" s="53"/>
    </row>
    <row r="357" spans="1:14" ht="21.75" customHeight="1" x14ac:dyDescent="0.4">
      <c r="A357" s="230"/>
      <c r="B357" s="231"/>
      <c r="C357" s="43"/>
      <c r="D357" s="232"/>
      <c r="E357" s="45"/>
      <c r="F357" s="45"/>
      <c r="G357" s="46" t="s">
        <v>114</v>
      </c>
      <c r="H357" s="47" t="s">
        <v>20</v>
      </c>
      <c r="I357" s="67"/>
      <c r="J357" s="67"/>
      <c r="K357" s="233"/>
      <c r="L357" s="53"/>
      <c r="M357" s="54">
        <v>7451.64</v>
      </c>
      <c r="N357" s="53"/>
    </row>
    <row r="358" spans="1:14" ht="21.75" customHeight="1" x14ac:dyDescent="0.4">
      <c r="A358" s="230"/>
      <c r="B358" s="231"/>
      <c r="C358" s="43"/>
      <c r="D358" s="232"/>
      <c r="E358" s="45"/>
      <c r="F358" s="45"/>
      <c r="G358" s="46" t="s">
        <v>115</v>
      </c>
      <c r="H358" s="47" t="s">
        <v>20</v>
      </c>
      <c r="I358" s="67"/>
      <c r="J358" s="67"/>
      <c r="K358" s="233"/>
      <c r="L358" s="53"/>
      <c r="M358" s="54">
        <v>8965</v>
      </c>
      <c r="N358" s="53"/>
    </row>
    <row r="359" spans="1:14" ht="21.75" customHeight="1" x14ac:dyDescent="0.4">
      <c r="A359" s="55"/>
      <c r="B359" s="56"/>
      <c r="C359" s="261" t="s">
        <v>147</v>
      </c>
      <c r="D359" s="261"/>
      <c r="E359" s="262"/>
      <c r="F359" s="262"/>
      <c r="G359" s="263"/>
      <c r="H359" s="136" t="s">
        <v>103</v>
      </c>
      <c r="I359" s="137">
        <f ca="1">IFERROR(__xludf.DUMMYFUNCTION("IMPORTRANGE(""https://docs.google.com/spreadsheets/d/1C3CXT74ZlgGe6_JY_1olB1XN4rF0dxEuIIF-xsYjHgg/edit?usp=sharing"",""งบกองทุน!BE27"")"),74168)</f>
        <v>74168</v>
      </c>
      <c r="J359" s="137">
        <f>+J376</f>
        <v>0</v>
      </c>
      <c r="K359" s="138">
        <f t="shared" ref="K359:K425" ca="1" si="82">IF(I359&gt;0,J359*100/I359,0)</f>
        <v>0</v>
      </c>
      <c r="L359" s="140"/>
      <c r="M359" s="140"/>
      <c r="N359" s="140"/>
    </row>
    <row r="360" spans="1:14" ht="21.75" customHeight="1" x14ac:dyDescent="0.4">
      <c r="A360" s="249"/>
      <c r="B360" s="250"/>
      <c r="C360" s="250"/>
      <c r="D360" s="251"/>
      <c r="E360" s="73" t="s">
        <v>148</v>
      </c>
      <c r="F360" s="75"/>
      <c r="G360" s="76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IFERROR(__xludf.DUMMYFUNCTION("IMPORTRANGE(""https://docs.google.com/spreadsheets/d/1C3CXT74ZlgGe6_JY_1olB1XN4rF0dxEuIIF-xsYjHgg/edit?usp=sharing"",""งบกองทุน!BE27"")"),74168)</f>
        <v>74168</v>
      </c>
      <c r="J360" s="265">
        <f t="shared" ref="J360:J361" si="83">+J362+J364+J366</f>
        <v>0</v>
      </c>
      <c r="K360" s="80">
        <f t="shared" ca="1" si="82"/>
        <v>0</v>
      </c>
      <c r="L360" s="61"/>
      <c r="M360" s="61"/>
      <c r="N360" s="61"/>
    </row>
    <row r="361" spans="1:14" ht="21.75" customHeight="1" x14ac:dyDescent="0.4">
      <c r="A361" s="249"/>
      <c r="B361" s="250"/>
      <c r="C361" s="250"/>
      <c r="D361" s="251"/>
      <c r="E361" s="75"/>
      <c r="F361" s="75"/>
      <c r="G361" s="76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IFERROR(__xludf.DUMMYFUNCTION("IMPORTRANGE(""https://docs.google.com/spreadsheets/d/1C3CXT74ZlgGe6_JY_1olB1XN4rF0dxEuIIF-xsYjHgg/edit?usp=sharing"",""งบกองทุน!Bf27"")"),7854)</f>
        <v>7854</v>
      </c>
      <c r="J361" s="265">
        <f t="shared" si="83"/>
        <v>0</v>
      </c>
      <c r="K361" s="80">
        <f t="shared" ca="1" si="82"/>
        <v>0</v>
      </c>
      <c r="L361" s="61"/>
      <c r="M361" s="61"/>
      <c r="N361" s="61"/>
    </row>
    <row r="362" spans="1:14" ht="21.75" customHeight="1" x14ac:dyDescent="0.4">
      <c r="A362" s="249"/>
      <c r="B362" s="250"/>
      <c r="C362" s="250"/>
      <c r="D362" s="251"/>
      <c r="E362" s="75"/>
      <c r="F362" s="242" t="s">
        <v>149</v>
      </c>
      <c r="G362" s="266"/>
      <c r="H362" s="267" t="s">
        <v>103</v>
      </c>
      <c r="I362" s="48">
        <v>0</v>
      </c>
      <c r="J362" s="68">
        <v>0</v>
      </c>
      <c r="K362" s="49">
        <f t="shared" si="82"/>
        <v>0</v>
      </c>
      <c r="L362" s="61"/>
      <c r="M362" s="61"/>
      <c r="N362" s="61"/>
    </row>
    <row r="363" spans="1:14" ht="21.75" customHeight="1" x14ac:dyDescent="0.4">
      <c r="A363" s="249"/>
      <c r="B363" s="250"/>
      <c r="C363" s="250"/>
      <c r="D363" s="251"/>
      <c r="E363" s="75"/>
      <c r="F363" s="75"/>
      <c r="G363" s="266"/>
      <c r="H363" s="267" t="s">
        <v>15</v>
      </c>
      <c r="I363" s="48">
        <v>0</v>
      </c>
      <c r="J363" s="68">
        <v>0</v>
      </c>
      <c r="K363" s="49">
        <f t="shared" si="82"/>
        <v>0</v>
      </c>
      <c r="L363" s="61"/>
      <c r="M363" s="61"/>
      <c r="N363" s="61"/>
    </row>
    <row r="364" spans="1:14" ht="21.75" customHeight="1" x14ac:dyDescent="0.4">
      <c r="A364" s="249"/>
      <c r="B364" s="250"/>
      <c r="C364" s="250"/>
      <c r="D364" s="251"/>
      <c r="E364" s="75"/>
      <c r="F364" s="242" t="s">
        <v>150</v>
      </c>
      <c r="G364" s="266"/>
      <c r="H364" s="267" t="s">
        <v>103</v>
      </c>
      <c r="I364" s="48">
        <v>0</v>
      </c>
      <c r="J364" s="68">
        <v>0</v>
      </c>
      <c r="K364" s="49">
        <f t="shared" si="82"/>
        <v>0</v>
      </c>
      <c r="L364" s="61"/>
      <c r="M364" s="61"/>
      <c r="N364" s="61"/>
    </row>
    <row r="365" spans="1:14" ht="21.75" customHeight="1" x14ac:dyDescent="0.4">
      <c r="A365" s="249"/>
      <c r="B365" s="250"/>
      <c r="C365" s="250"/>
      <c r="D365" s="251"/>
      <c r="E365" s="75"/>
      <c r="F365" s="75"/>
      <c r="G365" s="266"/>
      <c r="H365" s="267" t="s">
        <v>15</v>
      </c>
      <c r="I365" s="48">
        <v>0</v>
      </c>
      <c r="J365" s="68">
        <v>0</v>
      </c>
      <c r="K365" s="49">
        <f t="shared" si="82"/>
        <v>0</v>
      </c>
      <c r="L365" s="61"/>
      <c r="M365" s="61"/>
      <c r="N365" s="61"/>
    </row>
    <row r="366" spans="1:14" ht="21.75" customHeight="1" x14ac:dyDescent="0.4">
      <c r="A366" s="249"/>
      <c r="B366" s="250"/>
      <c r="C366" s="250"/>
      <c r="D366" s="251"/>
      <c r="E366" s="75"/>
      <c r="F366" s="242" t="s">
        <v>151</v>
      </c>
      <c r="G366" s="266"/>
      <c r="H366" s="267" t="s">
        <v>103</v>
      </c>
      <c r="I366" s="48">
        <v>0</v>
      </c>
      <c r="J366" s="68">
        <v>0</v>
      </c>
      <c r="K366" s="49">
        <f t="shared" si="82"/>
        <v>0</v>
      </c>
      <c r="L366" s="61"/>
      <c r="M366" s="61"/>
      <c r="N366" s="61"/>
    </row>
    <row r="367" spans="1:14" ht="21.75" customHeight="1" x14ac:dyDescent="0.4">
      <c r="A367" s="249"/>
      <c r="B367" s="250"/>
      <c r="C367" s="250"/>
      <c r="D367" s="251"/>
      <c r="E367" s="75"/>
      <c r="F367" s="75"/>
      <c r="G367" s="75"/>
      <c r="H367" s="267" t="s">
        <v>15</v>
      </c>
      <c r="I367" s="48">
        <v>0</v>
      </c>
      <c r="J367" s="68">
        <v>0</v>
      </c>
      <c r="K367" s="49">
        <f t="shared" si="82"/>
        <v>0</v>
      </c>
      <c r="L367" s="61"/>
      <c r="M367" s="61"/>
      <c r="N367" s="61"/>
    </row>
    <row r="368" spans="1:14" ht="21.75" customHeight="1" x14ac:dyDescent="0.4">
      <c r="A368" s="249"/>
      <c r="B368" s="250"/>
      <c r="C368" s="250"/>
      <c r="D368" s="251"/>
      <c r="E368" s="155" t="s">
        <v>152</v>
      </c>
      <c r="F368" s="75"/>
      <c r="G368" s="76"/>
      <c r="H368" s="264" t="s">
        <v>103</v>
      </c>
      <c r="I368" s="265">
        <f ca="1">+I359</f>
        <v>74168</v>
      </c>
      <c r="J368" s="265">
        <f t="shared" ref="J368:J369" si="84">+J370+J372+J374</f>
        <v>0</v>
      </c>
      <c r="K368" s="80">
        <f t="shared" ca="1" si="82"/>
        <v>0</v>
      </c>
      <c r="L368" s="61"/>
      <c r="M368" s="61"/>
      <c r="N368" s="61"/>
    </row>
    <row r="369" spans="1:14" ht="21.75" customHeight="1" x14ac:dyDescent="0.4">
      <c r="A369" s="249"/>
      <c r="B369" s="250"/>
      <c r="C369" s="250"/>
      <c r="D369" s="251"/>
      <c r="E369" s="75"/>
      <c r="F369" s="75"/>
      <c r="G369" s="76"/>
      <c r="H369" s="264" t="s">
        <v>15</v>
      </c>
      <c r="I369" s="265">
        <f ca="1">I361</f>
        <v>7854</v>
      </c>
      <c r="J369" s="265">
        <f t="shared" si="84"/>
        <v>0</v>
      </c>
      <c r="K369" s="49">
        <f t="shared" ca="1" si="82"/>
        <v>0</v>
      </c>
      <c r="L369" s="61"/>
      <c r="M369" s="61"/>
      <c r="N369" s="61"/>
    </row>
    <row r="370" spans="1:14" ht="21.75" customHeight="1" x14ac:dyDescent="0.4">
      <c r="A370" s="249"/>
      <c r="B370" s="250"/>
      <c r="C370" s="250"/>
      <c r="D370" s="251"/>
      <c r="E370" s="75"/>
      <c r="F370" s="74" t="s">
        <v>153</v>
      </c>
      <c r="G370" s="266"/>
      <c r="H370" s="267" t="s">
        <v>103</v>
      </c>
      <c r="I370" s="48">
        <v>0</v>
      </c>
      <c r="J370" s="68">
        <v>0</v>
      </c>
      <c r="K370" s="49">
        <f t="shared" si="82"/>
        <v>0</v>
      </c>
      <c r="L370" s="61"/>
      <c r="M370" s="61"/>
      <c r="N370" s="61"/>
    </row>
    <row r="371" spans="1:14" ht="21.75" customHeight="1" x14ac:dyDescent="0.4">
      <c r="A371" s="249"/>
      <c r="B371" s="250"/>
      <c r="C371" s="250"/>
      <c r="D371" s="251"/>
      <c r="E371" s="75"/>
      <c r="F371" s="75"/>
      <c r="G371" s="266"/>
      <c r="H371" s="267" t="s">
        <v>15</v>
      </c>
      <c r="I371" s="48">
        <v>0</v>
      </c>
      <c r="J371" s="68">
        <v>0</v>
      </c>
      <c r="K371" s="49">
        <f t="shared" si="82"/>
        <v>0</v>
      </c>
      <c r="L371" s="61"/>
      <c r="M371" s="61"/>
      <c r="N371" s="61"/>
    </row>
    <row r="372" spans="1:14" ht="21.75" customHeight="1" x14ac:dyDescent="0.4">
      <c r="A372" s="249"/>
      <c r="B372" s="250"/>
      <c r="C372" s="250"/>
      <c r="D372" s="251"/>
      <c r="E372" s="75"/>
      <c r="F372" s="74" t="s">
        <v>154</v>
      </c>
      <c r="G372" s="266"/>
      <c r="H372" s="267" t="s">
        <v>103</v>
      </c>
      <c r="I372" s="48">
        <v>0</v>
      </c>
      <c r="J372" s="68">
        <v>0</v>
      </c>
      <c r="K372" s="49">
        <f t="shared" si="82"/>
        <v>0</v>
      </c>
      <c r="L372" s="61"/>
      <c r="M372" s="61"/>
      <c r="N372" s="61"/>
    </row>
    <row r="373" spans="1:14" ht="21.75" customHeight="1" x14ac:dyDescent="0.4">
      <c r="A373" s="249"/>
      <c r="B373" s="250"/>
      <c r="C373" s="250"/>
      <c r="D373" s="251"/>
      <c r="E373" s="75"/>
      <c r="F373" s="75"/>
      <c r="G373" s="266"/>
      <c r="H373" s="267" t="s">
        <v>15</v>
      </c>
      <c r="I373" s="48">
        <v>0</v>
      </c>
      <c r="J373" s="68">
        <v>0</v>
      </c>
      <c r="K373" s="49">
        <f t="shared" si="82"/>
        <v>0</v>
      </c>
      <c r="L373" s="61"/>
      <c r="M373" s="61"/>
      <c r="N373" s="61"/>
    </row>
    <row r="374" spans="1:14" ht="21.75" customHeight="1" x14ac:dyDescent="0.4">
      <c r="A374" s="249"/>
      <c r="B374" s="250"/>
      <c r="C374" s="250"/>
      <c r="D374" s="251"/>
      <c r="E374" s="75"/>
      <c r="F374" s="74" t="s">
        <v>155</v>
      </c>
      <c r="G374" s="266"/>
      <c r="H374" s="267" t="s">
        <v>103</v>
      </c>
      <c r="I374" s="48">
        <v>0</v>
      </c>
      <c r="J374" s="68">
        <v>0</v>
      </c>
      <c r="K374" s="49">
        <f t="shared" si="82"/>
        <v>0</v>
      </c>
      <c r="L374" s="61"/>
      <c r="M374" s="61"/>
      <c r="N374" s="61"/>
    </row>
    <row r="375" spans="1:14" ht="21.75" customHeight="1" x14ac:dyDescent="0.4">
      <c r="A375" s="249"/>
      <c r="B375" s="250"/>
      <c r="C375" s="250"/>
      <c r="D375" s="251"/>
      <c r="E375" s="75"/>
      <c r="F375" s="75"/>
      <c r="G375" s="76"/>
      <c r="H375" s="267" t="s">
        <v>15</v>
      </c>
      <c r="I375" s="48">
        <v>0</v>
      </c>
      <c r="J375" s="68">
        <v>0</v>
      </c>
      <c r="K375" s="49">
        <f t="shared" si="82"/>
        <v>0</v>
      </c>
      <c r="L375" s="61"/>
      <c r="M375" s="61"/>
      <c r="N375" s="61"/>
    </row>
    <row r="376" spans="1:14" ht="21.75" customHeight="1" x14ac:dyDescent="0.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74168</v>
      </c>
      <c r="J376" s="265">
        <f t="shared" ref="J376:J377" si="85">+J378+J380+J382+J388</f>
        <v>0</v>
      </c>
      <c r="K376" s="80">
        <f t="shared" ca="1" si="82"/>
        <v>0</v>
      </c>
      <c r="L376" s="275"/>
      <c r="M376" s="275"/>
      <c r="N376" s="275"/>
    </row>
    <row r="377" spans="1:14" ht="21.75" customHeight="1" x14ac:dyDescent="0.4">
      <c r="A377" s="249"/>
      <c r="B377" s="250"/>
      <c r="C377" s="250"/>
      <c r="D377" s="251"/>
      <c r="E377" s="75"/>
      <c r="F377" s="75"/>
      <c r="G377" s="76"/>
      <c r="H377" s="264" t="s">
        <v>15</v>
      </c>
      <c r="I377" s="265">
        <f ca="1">I361</f>
        <v>7854</v>
      </c>
      <c r="J377" s="265">
        <f t="shared" si="85"/>
        <v>0</v>
      </c>
      <c r="K377" s="49">
        <f t="shared" ca="1" si="82"/>
        <v>0</v>
      </c>
      <c r="L377" s="61"/>
      <c r="M377" s="61"/>
      <c r="N377" s="61"/>
    </row>
    <row r="378" spans="1:14" ht="21.75" customHeight="1" x14ac:dyDescent="0.4">
      <c r="A378" s="249"/>
      <c r="B378" s="250"/>
      <c r="C378" s="250"/>
      <c r="D378" s="251"/>
      <c r="E378" s="75"/>
      <c r="F378" s="74" t="s">
        <v>157</v>
      </c>
      <c r="G378" s="266"/>
      <c r="H378" s="267" t="s">
        <v>103</v>
      </c>
      <c r="I378" s="48">
        <v>0</v>
      </c>
      <c r="J378" s="68">
        <v>0</v>
      </c>
      <c r="K378" s="49">
        <f t="shared" si="82"/>
        <v>0</v>
      </c>
      <c r="L378" s="61"/>
      <c r="M378" s="61"/>
      <c r="N378" s="61"/>
    </row>
    <row r="379" spans="1:14" ht="21.75" customHeight="1" x14ac:dyDescent="0.4">
      <c r="A379" s="249"/>
      <c r="B379" s="250"/>
      <c r="C379" s="250"/>
      <c r="D379" s="251"/>
      <c r="E379" s="75"/>
      <c r="F379" s="75"/>
      <c r="G379" s="266"/>
      <c r="H379" s="267" t="s">
        <v>15</v>
      </c>
      <c r="I379" s="48">
        <v>0</v>
      </c>
      <c r="J379" s="68">
        <v>0</v>
      </c>
      <c r="K379" s="49">
        <f t="shared" si="82"/>
        <v>0</v>
      </c>
      <c r="L379" s="61"/>
      <c r="M379" s="61"/>
      <c r="N379" s="61"/>
    </row>
    <row r="380" spans="1:14" ht="21.75" customHeight="1" x14ac:dyDescent="0.4">
      <c r="A380" s="249"/>
      <c r="B380" s="250"/>
      <c r="C380" s="250"/>
      <c r="D380" s="251"/>
      <c r="E380" s="75"/>
      <c r="F380" s="74" t="s">
        <v>158</v>
      </c>
      <c r="G380" s="266"/>
      <c r="H380" s="267" t="s">
        <v>103</v>
      </c>
      <c r="I380" s="48">
        <v>0</v>
      </c>
      <c r="J380" s="68">
        <v>0</v>
      </c>
      <c r="K380" s="49">
        <f t="shared" si="82"/>
        <v>0</v>
      </c>
      <c r="L380" s="61"/>
      <c r="M380" s="61"/>
      <c r="N380" s="61"/>
    </row>
    <row r="381" spans="1:14" ht="21.75" customHeight="1" x14ac:dyDescent="0.4">
      <c r="A381" s="249"/>
      <c r="B381" s="250"/>
      <c r="C381" s="250"/>
      <c r="D381" s="251"/>
      <c r="E381" s="75"/>
      <c r="F381" s="75"/>
      <c r="G381" s="266"/>
      <c r="H381" s="267" t="s">
        <v>15</v>
      </c>
      <c r="I381" s="48">
        <v>0</v>
      </c>
      <c r="J381" s="68">
        <v>0</v>
      </c>
      <c r="K381" s="49">
        <f t="shared" si="82"/>
        <v>0</v>
      </c>
      <c r="L381" s="61"/>
      <c r="M381" s="61"/>
      <c r="N381" s="61"/>
    </row>
    <row r="382" spans="1:14" ht="21.75" customHeight="1" x14ac:dyDescent="0.4">
      <c r="A382" s="249"/>
      <c r="B382" s="250"/>
      <c r="C382" s="250"/>
      <c r="D382" s="251"/>
      <c r="E382" s="75"/>
      <c r="F382" s="74" t="s">
        <v>159</v>
      </c>
      <c r="G382" s="266"/>
      <c r="H382" s="267" t="s">
        <v>103</v>
      </c>
      <c r="I382" s="48">
        <v>0</v>
      </c>
      <c r="J382" s="265">
        <f t="shared" ref="J382:J383" si="86">J384+J386</f>
        <v>0</v>
      </c>
      <c r="K382" s="49">
        <f t="shared" si="82"/>
        <v>0</v>
      </c>
      <c r="L382" s="61"/>
      <c r="M382" s="61"/>
      <c r="N382" s="61"/>
    </row>
    <row r="383" spans="1:14" ht="21.75" customHeight="1" x14ac:dyDescent="0.4">
      <c r="A383" s="249"/>
      <c r="B383" s="250"/>
      <c r="C383" s="250"/>
      <c r="D383" s="251"/>
      <c r="E383" s="75"/>
      <c r="F383" s="75"/>
      <c r="G383" s="75"/>
      <c r="H383" s="267" t="s">
        <v>15</v>
      </c>
      <c r="I383" s="48">
        <v>0</v>
      </c>
      <c r="J383" s="265">
        <f t="shared" si="86"/>
        <v>0</v>
      </c>
      <c r="K383" s="49">
        <f t="shared" si="82"/>
        <v>0</v>
      </c>
      <c r="L383" s="61"/>
      <c r="M383" s="61"/>
      <c r="N383" s="61"/>
    </row>
    <row r="384" spans="1:14" ht="21.75" customHeight="1" x14ac:dyDescent="0.4">
      <c r="A384" s="249"/>
      <c r="B384" s="250"/>
      <c r="C384" s="250"/>
      <c r="D384" s="251"/>
      <c r="E384" s="75"/>
      <c r="F384" s="75"/>
      <c r="G384" s="74" t="s">
        <v>160</v>
      </c>
      <c r="H384" s="267" t="s">
        <v>103</v>
      </c>
      <c r="I384" s="48">
        <v>0</v>
      </c>
      <c r="J384" s="68">
        <v>0</v>
      </c>
      <c r="K384" s="49">
        <f t="shared" si="82"/>
        <v>0</v>
      </c>
      <c r="L384" s="61"/>
      <c r="M384" s="61"/>
      <c r="N384" s="61"/>
    </row>
    <row r="385" spans="1:14" ht="21.75" customHeight="1" x14ac:dyDescent="0.4">
      <c r="A385" s="249"/>
      <c r="B385" s="250"/>
      <c r="C385" s="250"/>
      <c r="D385" s="251"/>
      <c r="E385" s="75"/>
      <c r="F385" s="75"/>
      <c r="G385" s="75"/>
      <c r="H385" s="267" t="s">
        <v>15</v>
      </c>
      <c r="I385" s="48">
        <v>0</v>
      </c>
      <c r="J385" s="68">
        <v>0</v>
      </c>
      <c r="K385" s="49">
        <f t="shared" si="82"/>
        <v>0</v>
      </c>
      <c r="L385" s="61"/>
      <c r="M385" s="61"/>
      <c r="N385" s="61"/>
    </row>
    <row r="386" spans="1:14" ht="21.75" customHeight="1" x14ac:dyDescent="0.4">
      <c r="A386" s="249"/>
      <c r="B386" s="250"/>
      <c r="C386" s="250"/>
      <c r="D386" s="251"/>
      <c r="E386" s="75"/>
      <c r="F386" s="75"/>
      <c r="G386" s="74" t="s">
        <v>161</v>
      </c>
      <c r="H386" s="267" t="s">
        <v>103</v>
      </c>
      <c r="I386" s="48">
        <v>0</v>
      </c>
      <c r="J386" s="68">
        <v>0</v>
      </c>
      <c r="K386" s="49">
        <f t="shared" si="82"/>
        <v>0</v>
      </c>
      <c r="L386" s="61"/>
      <c r="M386" s="61"/>
      <c r="N386" s="61"/>
    </row>
    <row r="387" spans="1:14" ht="21.75" customHeight="1" x14ac:dyDescent="0.4">
      <c r="A387" s="249"/>
      <c r="B387" s="250"/>
      <c r="C387" s="250"/>
      <c r="D387" s="251"/>
      <c r="E387" s="75"/>
      <c r="F387" s="75"/>
      <c r="G387" s="76"/>
      <c r="H387" s="267" t="s">
        <v>15</v>
      </c>
      <c r="I387" s="48">
        <v>0</v>
      </c>
      <c r="J387" s="68">
        <v>0</v>
      </c>
      <c r="K387" s="49">
        <f t="shared" si="82"/>
        <v>0</v>
      </c>
      <c r="L387" s="61"/>
      <c r="M387" s="61"/>
      <c r="N387" s="61"/>
    </row>
    <row r="388" spans="1:14" ht="21.75" customHeight="1" x14ac:dyDescent="0.4">
      <c r="A388" s="249"/>
      <c r="B388" s="250"/>
      <c r="C388" s="250"/>
      <c r="D388" s="251"/>
      <c r="E388" s="75"/>
      <c r="F388" s="74" t="s">
        <v>162</v>
      </c>
      <c r="G388" s="266"/>
      <c r="H388" s="267" t="s">
        <v>103</v>
      </c>
      <c r="I388" s="48">
        <v>0</v>
      </c>
      <c r="J388" s="68">
        <v>0</v>
      </c>
      <c r="K388" s="49">
        <f t="shared" si="82"/>
        <v>0</v>
      </c>
      <c r="L388" s="61"/>
      <c r="M388" s="61"/>
      <c r="N388" s="61"/>
    </row>
    <row r="389" spans="1:14" ht="21.75" customHeight="1" x14ac:dyDescent="0.4">
      <c r="A389" s="276"/>
      <c r="B389" s="277"/>
      <c r="C389" s="277"/>
      <c r="D389" s="278"/>
      <c r="E389" s="204"/>
      <c r="F389" s="204"/>
      <c r="G389" s="204"/>
      <c r="H389" s="279" t="s">
        <v>15</v>
      </c>
      <c r="I389" s="384">
        <v>0</v>
      </c>
      <c r="J389" s="68">
        <v>0</v>
      </c>
      <c r="K389" s="114">
        <f t="shared" si="82"/>
        <v>0</v>
      </c>
      <c r="L389" s="115"/>
      <c r="M389" s="115"/>
      <c r="N389" s="115"/>
    </row>
    <row r="390" spans="1:14" ht="21.75" customHeight="1" x14ac:dyDescent="0.4">
      <c r="A390" s="55"/>
      <c r="B390" s="56"/>
      <c r="C390" s="261" t="s">
        <v>163</v>
      </c>
      <c r="D390" s="261"/>
      <c r="E390" s="262"/>
      <c r="F390" s="262"/>
      <c r="G390" s="263"/>
      <c r="H390" s="136" t="s">
        <v>103</v>
      </c>
      <c r="I390" s="137">
        <f ca="1">IFERROR(__xludf.DUMMYFUNCTION("IMPORTRANGE(""https://docs.google.com/spreadsheets/d/1C3CXT74ZlgGe6_JY_1olB1XN4rF0dxEuIIF-xsYjHgg/edit?usp=sharing"",""งบกองทุน!cd27"")"),1363)</f>
        <v>1363</v>
      </c>
      <c r="J390" s="137">
        <f>J391</f>
        <v>0</v>
      </c>
      <c r="K390" s="138">
        <f t="shared" ca="1" si="82"/>
        <v>0</v>
      </c>
      <c r="L390" s="140"/>
      <c r="M390" s="140"/>
      <c r="N390" s="140"/>
    </row>
    <row r="391" spans="1:14" ht="21.75" customHeight="1" x14ac:dyDescent="0.4">
      <c r="A391" s="55"/>
      <c r="B391" s="56"/>
      <c r="C391" s="56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IFERROR(__xludf.DUMMYFUNCTION("IMPORTRANGE(""https://docs.google.com/spreadsheets/d/1C3CXT74ZlgGe6_JY_1olB1XN4rF0dxEuIIF-xsYjHgg/edit?usp=sharing"",""งบกองทุน!cd27"")"),1363)</f>
        <v>1363</v>
      </c>
      <c r="J391" s="265">
        <f t="shared" ref="J391:J392" si="87">J393+J401+J407</f>
        <v>0</v>
      </c>
      <c r="K391" s="49">
        <f t="shared" ca="1" si="82"/>
        <v>0</v>
      </c>
      <c r="L391" s="61"/>
      <c r="M391" s="61"/>
      <c r="N391" s="61"/>
    </row>
    <row r="392" spans="1:14" ht="21.75" customHeight="1" x14ac:dyDescent="0.4">
      <c r="A392" s="55"/>
      <c r="B392" s="56"/>
      <c r="C392" s="56"/>
      <c r="D392" s="73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IFERROR(__xludf.DUMMYFUNCTION("IMPORTRANGE(""https://docs.google.com/spreadsheets/d/1C3CXT74ZlgGe6_JY_1olB1XN4rF0dxEuIIF-xsYjHgg/edit?usp=sharing"",""งบกองทุน!cc27"")"),69)</f>
        <v>69</v>
      </c>
      <c r="J392" s="265">
        <f t="shared" si="87"/>
        <v>0</v>
      </c>
      <c r="K392" s="80">
        <f t="shared" ca="1" si="82"/>
        <v>0</v>
      </c>
      <c r="L392" s="61"/>
      <c r="M392" s="61"/>
      <c r="N392" s="61"/>
    </row>
    <row r="393" spans="1:14" ht="21.75" customHeight="1" x14ac:dyDescent="0.4">
      <c r="A393" s="55"/>
      <c r="B393" s="56"/>
      <c r="C393" s="56"/>
      <c r="D393" s="251"/>
      <c r="E393" s="251" t="s">
        <v>165</v>
      </c>
      <c r="F393" s="75"/>
      <c r="G393" s="76"/>
      <c r="H393" s="267" t="s">
        <v>103</v>
      </c>
      <c r="I393" s="48">
        <v>0</v>
      </c>
      <c r="J393" s="48">
        <f t="shared" ref="J393:J394" si="88">J395+J397+J399</f>
        <v>0</v>
      </c>
      <c r="K393" s="49">
        <f t="shared" si="82"/>
        <v>0</v>
      </c>
      <c r="L393" s="61"/>
      <c r="M393" s="61"/>
      <c r="N393" s="61"/>
    </row>
    <row r="394" spans="1:14" ht="21.75" customHeight="1" x14ac:dyDescent="0.4">
      <c r="A394" s="55"/>
      <c r="B394" s="56"/>
      <c r="C394" s="56"/>
      <c r="D394" s="73"/>
      <c r="E394" s="75"/>
      <c r="F394" s="75"/>
      <c r="G394" s="76"/>
      <c r="H394" s="267" t="s">
        <v>15</v>
      </c>
      <c r="I394" s="48">
        <v>0</v>
      </c>
      <c r="J394" s="48">
        <f t="shared" si="88"/>
        <v>0</v>
      </c>
      <c r="K394" s="49">
        <f t="shared" si="82"/>
        <v>0</v>
      </c>
      <c r="L394" s="61"/>
      <c r="M394" s="61"/>
      <c r="N394" s="61"/>
    </row>
    <row r="395" spans="1:14" ht="21.75" customHeight="1" x14ac:dyDescent="0.4">
      <c r="A395" s="55"/>
      <c r="B395" s="56"/>
      <c r="C395" s="56"/>
      <c r="D395" s="73"/>
      <c r="E395" s="75"/>
      <c r="F395" s="242" t="s">
        <v>166</v>
      </c>
      <c r="G395" s="266"/>
      <c r="H395" s="267" t="s">
        <v>103</v>
      </c>
      <c r="I395" s="48">
        <v>0</v>
      </c>
      <c r="J395" s="68">
        <v>0</v>
      </c>
      <c r="K395" s="49">
        <f t="shared" si="82"/>
        <v>0</v>
      </c>
      <c r="L395" s="61"/>
      <c r="M395" s="61"/>
      <c r="N395" s="61"/>
    </row>
    <row r="396" spans="1:14" ht="21.75" customHeight="1" x14ac:dyDescent="0.4">
      <c r="A396" s="55"/>
      <c r="B396" s="56"/>
      <c r="C396" s="56"/>
      <c r="D396" s="73"/>
      <c r="E396" s="75"/>
      <c r="F396" s="75"/>
      <c r="G396" s="266"/>
      <c r="H396" s="267" t="s">
        <v>15</v>
      </c>
      <c r="I396" s="48">
        <v>0</v>
      </c>
      <c r="J396" s="68">
        <v>0</v>
      </c>
      <c r="K396" s="49">
        <f t="shared" si="82"/>
        <v>0</v>
      </c>
      <c r="L396" s="61"/>
      <c r="M396" s="61"/>
      <c r="N396" s="61"/>
    </row>
    <row r="397" spans="1:14" ht="21.75" customHeight="1" x14ac:dyDescent="0.4">
      <c r="A397" s="55"/>
      <c r="B397" s="56"/>
      <c r="C397" s="56"/>
      <c r="D397" s="73"/>
      <c r="E397" s="75"/>
      <c r="F397" s="242" t="s">
        <v>167</v>
      </c>
      <c r="G397" s="266"/>
      <c r="H397" s="267" t="s">
        <v>103</v>
      </c>
      <c r="I397" s="48">
        <v>0</v>
      </c>
      <c r="J397" s="68">
        <v>0</v>
      </c>
      <c r="K397" s="49">
        <f t="shared" si="82"/>
        <v>0</v>
      </c>
      <c r="L397" s="61"/>
      <c r="M397" s="61"/>
      <c r="N397" s="61"/>
    </row>
    <row r="398" spans="1:14" ht="21.75" customHeight="1" x14ac:dyDescent="0.4">
      <c r="A398" s="55"/>
      <c r="B398" s="56"/>
      <c r="C398" s="56"/>
      <c r="D398" s="73"/>
      <c r="E398" s="75"/>
      <c r="F398" s="75"/>
      <c r="G398" s="266"/>
      <c r="H398" s="267" t="s">
        <v>15</v>
      </c>
      <c r="I398" s="48">
        <v>0</v>
      </c>
      <c r="J398" s="68">
        <v>0</v>
      </c>
      <c r="K398" s="49">
        <f t="shared" si="82"/>
        <v>0</v>
      </c>
      <c r="L398" s="61"/>
      <c r="M398" s="61"/>
      <c r="N398" s="61"/>
    </row>
    <row r="399" spans="1:14" ht="21.75" customHeight="1" x14ac:dyDescent="0.4">
      <c r="A399" s="55"/>
      <c r="B399" s="56"/>
      <c r="C399" s="56"/>
      <c r="D399" s="73"/>
      <c r="E399" s="75"/>
      <c r="F399" s="242" t="s">
        <v>168</v>
      </c>
      <c r="G399" s="266"/>
      <c r="H399" s="267" t="s">
        <v>103</v>
      </c>
      <c r="I399" s="48">
        <v>0</v>
      </c>
      <c r="J399" s="68">
        <v>0</v>
      </c>
      <c r="K399" s="49">
        <f t="shared" si="82"/>
        <v>0</v>
      </c>
      <c r="L399" s="61"/>
      <c r="M399" s="61"/>
      <c r="N399" s="61"/>
    </row>
    <row r="400" spans="1:14" ht="21.75" customHeight="1" x14ac:dyDescent="0.4">
      <c r="A400" s="55"/>
      <c r="B400" s="56"/>
      <c r="C400" s="56"/>
      <c r="D400" s="73"/>
      <c r="E400" s="75"/>
      <c r="F400" s="75"/>
      <c r="G400" s="75"/>
      <c r="H400" s="267" t="s">
        <v>15</v>
      </c>
      <c r="I400" s="48">
        <v>0</v>
      </c>
      <c r="J400" s="68">
        <v>0</v>
      </c>
      <c r="K400" s="49">
        <f t="shared" si="82"/>
        <v>0</v>
      </c>
      <c r="L400" s="61"/>
      <c r="M400" s="61"/>
      <c r="N400" s="61"/>
    </row>
    <row r="401" spans="1:14" ht="21.75" customHeight="1" x14ac:dyDescent="0.4">
      <c r="A401" s="55"/>
      <c r="B401" s="56"/>
      <c r="C401" s="56"/>
      <c r="D401" s="73"/>
      <c r="E401" s="74" t="s">
        <v>169</v>
      </c>
      <c r="F401" s="75"/>
      <c r="G401" s="266"/>
      <c r="H401" s="267" t="s">
        <v>103</v>
      </c>
      <c r="I401" s="48">
        <v>0</v>
      </c>
      <c r="J401" s="48">
        <f t="shared" ref="J401:J402" si="89">+J403+J405</f>
        <v>0</v>
      </c>
      <c r="K401" s="49">
        <f t="shared" si="82"/>
        <v>0</v>
      </c>
      <c r="L401" s="61"/>
      <c r="M401" s="61"/>
      <c r="N401" s="61"/>
    </row>
    <row r="402" spans="1:14" ht="21.75" customHeight="1" x14ac:dyDescent="0.4">
      <c r="A402" s="55"/>
      <c r="B402" s="56"/>
      <c r="C402" s="56"/>
      <c r="D402" s="73"/>
      <c r="E402" s="75"/>
      <c r="F402" s="75"/>
      <c r="G402" s="75"/>
      <c r="H402" s="267" t="s">
        <v>15</v>
      </c>
      <c r="I402" s="48">
        <v>0</v>
      </c>
      <c r="J402" s="48">
        <f t="shared" si="89"/>
        <v>0</v>
      </c>
      <c r="K402" s="49">
        <f t="shared" si="82"/>
        <v>0</v>
      </c>
      <c r="L402" s="61"/>
      <c r="M402" s="61"/>
      <c r="N402" s="61"/>
    </row>
    <row r="403" spans="1:14" ht="21.75" customHeight="1" x14ac:dyDescent="0.4">
      <c r="A403" s="55"/>
      <c r="B403" s="56"/>
      <c r="C403" s="56"/>
      <c r="D403" s="73"/>
      <c r="E403" s="75"/>
      <c r="F403" s="74" t="s">
        <v>170</v>
      </c>
      <c r="G403" s="75"/>
      <c r="H403" s="267" t="s">
        <v>103</v>
      </c>
      <c r="I403" s="48">
        <v>0</v>
      </c>
      <c r="J403" s="68">
        <v>0</v>
      </c>
      <c r="K403" s="49">
        <f t="shared" si="82"/>
        <v>0</v>
      </c>
      <c r="L403" s="61"/>
      <c r="M403" s="61"/>
      <c r="N403" s="61"/>
    </row>
    <row r="404" spans="1:14" ht="21.75" customHeight="1" x14ac:dyDescent="0.4">
      <c r="A404" s="55"/>
      <c r="B404" s="56"/>
      <c r="C404" s="56"/>
      <c r="D404" s="73"/>
      <c r="E404" s="75"/>
      <c r="F404" s="75"/>
      <c r="G404" s="75"/>
      <c r="H404" s="267" t="s">
        <v>15</v>
      </c>
      <c r="I404" s="48">
        <v>0</v>
      </c>
      <c r="J404" s="68">
        <v>0</v>
      </c>
      <c r="K404" s="49">
        <f t="shared" si="82"/>
        <v>0</v>
      </c>
      <c r="L404" s="61"/>
      <c r="M404" s="61"/>
      <c r="N404" s="61"/>
    </row>
    <row r="405" spans="1:14" ht="21.75" customHeight="1" x14ac:dyDescent="0.4">
      <c r="A405" s="55"/>
      <c r="B405" s="56"/>
      <c r="C405" s="56"/>
      <c r="D405" s="73"/>
      <c r="E405" s="75"/>
      <c r="F405" s="74" t="s">
        <v>171</v>
      </c>
      <c r="G405" s="75"/>
      <c r="H405" s="267" t="s">
        <v>103</v>
      </c>
      <c r="I405" s="48">
        <v>0</v>
      </c>
      <c r="J405" s="68">
        <v>0</v>
      </c>
      <c r="K405" s="49">
        <f t="shared" si="82"/>
        <v>0</v>
      </c>
      <c r="L405" s="61"/>
      <c r="M405" s="61"/>
      <c r="N405" s="61"/>
    </row>
    <row r="406" spans="1:14" ht="21.75" customHeight="1" x14ac:dyDescent="0.4">
      <c r="A406" s="55"/>
      <c r="B406" s="56"/>
      <c r="C406" s="56"/>
      <c r="D406" s="73"/>
      <c r="E406" s="75"/>
      <c r="F406" s="75"/>
      <c r="G406" s="76"/>
      <c r="H406" s="267" t="s">
        <v>15</v>
      </c>
      <c r="I406" s="48">
        <v>0</v>
      </c>
      <c r="J406" s="68">
        <v>0</v>
      </c>
      <c r="K406" s="49">
        <f t="shared" si="82"/>
        <v>0</v>
      </c>
      <c r="L406" s="61"/>
      <c r="M406" s="61"/>
      <c r="N406" s="61"/>
    </row>
    <row r="407" spans="1:14" ht="21.75" customHeight="1" x14ac:dyDescent="0.4">
      <c r="A407" s="55"/>
      <c r="B407" s="56"/>
      <c r="C407" s="56"/>
      <c r="D407" s="251"/>
      <c r="E407" s="251" t="s">
        <v>225</v>
      </c>
      <c r="F407" s="75"/>
      <c r="G407" s="76"/>
      <c r="H407" s="267" t="s">
        <v>103</v>
      </c>
      <c r="I407" s="48">
        <v>0</v>
      </c>
      <c r="J407" s="68">
        <v>0</v>
      </c>
      <c r="K407" s="49">
        <f t="shared" si="82"/>
        <v>0</v>
      </c>
      <c r="L407" s="61"/>
      <c r="M407" s="61"/>
      <c r="N407" s="61"/>
    </row>
    <row r="408" spans="1:14" ht="21.75" customHeight="1" x14ac:dyDescent="0.4">
      <c r="A408" s="55"/>
      <c r="B408" s="56"/>
      <c r="C408" s="56"/>
      <c r="D408" s="73"/>
      <c r="E408" s="75"/>
      <c r="F408" s="75"/>
      <c r="G408" s="76"/>
      <c r="H408" s="267" t="s">
        <v>15</v>
      </c>
      <c r="I408" s="48">
        <v>0</v>
      </c>
      <c r="J408" s="68">
        <v>0</v>
      </c>
      <c r="K408" s="49">
        <f t="shared" si="82"/>
        <v>0</v>
      </c>
      <c r="L408" s="61"/>
      <c r="M408" s="61"/>
      <c r="N408" s="61"/>
    </row>
    <row r="409" spans="1:14" ht="21.75" customHeight="1" x14ac:dyDescent="0.4">
      <c r="A409" s="55"/>
      <c r="B409" s="56"/>
      <c r="C409" s="261" t="s">
        <v>173</v>
      </c>
      <c r="D409" s="261"/>
      <c r="E409" s="285"/>
      <c r="F409" s="285"/>
      <c r="G409" s="286"/>
      <c r="H409" s="287" t="s">
        <v>103</v>
      </c>
      <c r="I409" s="137">
        <f ca="1">IFERROR(__xludf.DUMMYFUNCTION("IMPORTRANGE(""https://docs.google.com/spreadsheets/d/1C3CXT74ZlgGe6_JY_1olB1XN4rF0dxEuIIF-xsYjHgg/edit?usp=sharing"",""งบกองทุน!cz27"")"),0)</f>
        <v>0</v>
      </c>
      <c r="J409" s="137">
        <f ca="1">SUM(J412,J414)</f>
        <v>0</v>
      </c>
      <c r="K409" s="138">
        <f t="shared" ca="1" si="82"/>
        <v>0</v>
      </c>
      <c r="L409" s="61"/>
      <c r="M409" s="61"/>
      <c r="N409" s="61"/>
    </row>
    <row r="410" spans="1:14" ht="21.75" customHeight="1" x14ac:dyDescent="0.4">
      <c r="A410" s="55"/>
      <c r="B410" s="56"/>
      <c r="C410" s="288"/>
      <c r="D410" s="288"/>
      <c r="E410" s="288" t="s">
        <v>174</v>
      </c>
      <c r="F410" s="289"/>
      <c r="G410" s="290"/>
      <c r="H410" s="291" t="s">
        <v>103</v>
      </c>
      <c r="I410" s="150">
        <f ca="1">IFERROR(__xludf.DUMMYFUNCTION("IMPORTRANGE(""https://docs.google.com/spreadsheets/d/1C3CXT74ZlgGe6_JY_1olB1XN4rF0dxEuIIF-xsYjHgg/edit?usp=sharing"",""งบกองทุน!cz27"")"),0)</f>
        <v>0</v>
      </c>
      <c r="J410" s="150">
        <f t="shared" ref="J410:J411" ca="1" si="90">SUM(J412,J414)</f>
        <v>0</v>
      </c>
      <c r="K410" s="147">
        <f t="shared" ca="1" si="82"/>
        <v>0</v>
      </c>
      <c r="L410" s="61"/>
      <c r="M410" s="61"/>
      <c r="N410" s="61"/>
    </row>
    <row r="411" spans="1:14" ht="21.75" customHeight="1" x14ac:dyDescent="0.4">
      <c r="A411" s="55"/>
      <c r="B411" s="56"/>
      <c r="C411" s="288"/>
      <c r="D411" s="288"/>
      <c r="E411" s="288" t="s">
        <v>175</v>
      </c>
      <c r="F411" s="289"/>
      <c r="G411" s="290"/>
      <c r="H411" s="291" t="s">
        <v>15</v>
      </c>
      <c r="I411" s="150">
        <f ca="1">IFERROR(__xludf.DUMMYFUNCTION("IMPORTRANGE(""https://docs.google.com/spreadsheets/d/1C3CXT74ZlgGe6_JY_1olB1XN4rF0dxEuIIF-xsYjHgg/edit?usp=sharing"",""งบกองทุน!cy27"")"),0)</f>
        <v>0</v>
      </c>
      <c r="J411" s="150">
        <f t="shared" ca="1" si="90"/>
        <v>0</v>
      </c>
      <c r="K411" s="147">
        <f t="shared" ca="1" si="82"/>
        <v>0</v>
      </c>
      <c r="L411" s="61"/>
      <c r="M411" s="61"/>
      <c r="N411" s="61"/>
    </row>
    <row r="412" spans="1:14" ht="21.75" customHeight="1" x14ac:dyDescent="0.4">
      <c r="A412" s="55"/>
      <c r="B412" s="56"/>
      <c r="C412" s="56"/>
      <c r="D412" s="73"/>
      <c r="E412" s="75"/>
      <c r="F412" s="75"/>
      <c r="G412" s="99" t="s">
        <v>176</v>
      </c>
      <c r="H412" s="267" t="s">
        <v>103</v>
      </c>
      <c r="I412" s="48">
        <v>0</v>
      </c>
      <c r="J412" s="67">
        <f ca="1">IFERROR(__xludf.DUMMYFUNCTION("IMPORTRANGE(""https://docs.google.com/spreadsheets/d/1C3CXT74ZlgGe6_JY_1olB1XN4rF0dxEuIIF-xsYjHgg/edit?usp=sharing"",""งบกองทุน!db27"")"),0)</f>
        <v>0</v>
      </c>
      <c r="K412" s="49">
        <f t="shared" si="82"/>
        <v>0</v>
      </c>
      <c r="L412" s="61"/>
      <c r="M412" s="61"/>
      <c r="N412" s="61"/>
    </row>
    <row r="413" spans="1:14" ht="21.75" customHeight="1" x14ac:dyDescent="0.4">
      <c r="A413" s="55"/>
      <c r="B413" s="56"/>
      <c r="C413" s="56"/>
      <c r="D413" s="73"/>
      <c r="E413" s="75"/>
      <c r="F413" s="75"/>
      <c r="G413" s="76"/>
      <c r="H413" s="267" t="s">
        <v>15</v>
      </c>
      <c r="I413" s="48">
        <v>0</v>
      </c>
      <c r="J413" s="67">
        <f ca="1">IFERROR(__xludf.DUMMYFUNCTION("IMPORTRANGE(""https://docs.google.com/spreadsheets/d/1C3CXT74ZlgGe6_JY_1olB1XN4rF0dxEuIIF-xsYjHgg/edit?usp=sharing"",""งบกองทุน!da27"")"),0)</f>
        <v>0</v>
      </c>
      <c r="K413" s="49">
        <f t="shared" si="82"/>
        <v>0</v>
      </c>
      <c r="L413" s="61"/>
      <c r="M413" s="61"/>
      <c r="N413" s="61"/>
    </row>
    <row r="414" spans="1:14" ht="21.75" customHeight="1" x14ac:dyDescent="0.4">
      <c r="A414" s="55"/>
      <c r="B414" s="56"/>
      <c r="C414" s="56"/>
      <c r="D414" s="73"/>
      <c r="E414" s="75"/>
      <c r="F414" s="75"/>
      <c r="G414" s="99" t="s">
        <v>177</v>
      </c>
      <c r="H414" s="267" t="s">
        <v>103</v>
      </c>
      <c r="I414" s="48">
        <v>0</v>
      </c>
      <c r="J414" s="67">
        <f ca="1">IFERROR(__xludf.DUMMYFUNCTION("IMPORTRANGE(""https://docs.google.com/spreadsheets/d/1C3CXT74ZlgGe6_JY_1olB1XN4rF0dxEuIIF-xsYjHgg/edit?usp=sharing"",""งบกองทุน!dd27"")"),0)</f>
        <v>0</v>
      </c>
      <c r="K414" s="49">
        <f t="shared" si="82"/>
        <v>0</v>
      </c>
      <c r="L414" s="61"/>
      <c r="M414" s="61"/>
      <c r="N414" s="61"/>
    </row>
    <row r="415" spans="1:14" ht="21.75" customHeight="1" x14ac:dyDescent="0.4">
      <c r="A415" s="55"/>
      <c r="B415" s="56"/>
      <c r="C415" s="56"/>
      <c r="D415" s="73"/>
      <c r="E415" s="75"/>
      <c r="F415" s="75"/>
      <c r="G415" s="76"/>
      <c r="H415" s="267" t="s">
        <v>15</v>
      </c>
      <c r="I415" s="48">
        <v>0</v>
      </c>
      <c r="J415" s="67">
        <f ca="1">IFERROR(__xludf.DUMMYFUNCTION("IMPORTRANGE(""https://docs.google.com/spreadsheets/d/1C3CXT74ZlgGe6_JY_1olB1XN4rF0dxEuIIF-xsYjHgg/edit?usp=sharing"",""งบกองทุน!dc27"")"),0)</f>
        <v>0</v>
      </c>
      <c r="K415" s="49">
        <f t="shared" si="82"/>
        <v>0</v>
      </c>
      <c r="L415" s="61"/>
      <c r="M415" s="61"/>
      <c r="N415" s="61"/>
    </row>
    <row r="416" spans="1:14" ht="21.75" customHeight="1" x14ac:dyDescent="0.4">
      <c r="A416" s="55"/>
      <c r="B416" s="56"/>
      <c r="C416" s="56"/>
      <c r="D416" s="73"/>
      <c r="E416" s="75"/>
      <c r="F416" s="75"/>
      <c r="G416" s="99" t="s">
        <v>178</v>
      </c>
      <c r="H416" s="267" t="s">
        <v>103</v>
      </c>
      <c r="I416" s="48">
        <v>0</v>
      </c>
      <c r="J416" s="67">
        <f ca="1">IFERROR(__xludf.DUMMYFUNCTION("IMPORTRANGE(""https://docs.google.com/spreadsheets/d/1C3CXT74ZlgGe6_JY_1olB1XN4rF0dxEuIIF-xsYjHgg/edit?usp=sharing"",""งบกองทุน!df27"")"),0)</f>
        <v>0</v>
      </c>
      <c r="K416" s="49">
        <f t="shared" si="82"/>
        <v>0</v>
      </c>
      <c r="L416" s="61"/>
      <c r="M416" s="61"/>
      <c r="N416" s="61"/>
    </row>
    <row r="417" spans="1:14" ht="21.75" customHeight="1" x14ac:dyDescent="0.4">
      <c r="A417" s="55"/>
      <c r="B417" s="56"/>
      <c r="C417" s="56"/>
      <c r="D417" s="73"/>
      <c r="E417" s="75"/>
      <c r="F417" s="75"/>
      <c r="G417" s="76"/>
      <c r="H417" s="267" t="s">
        <v>15</v>
      </c>
      <c r="I417" s="48">
        <v>0</v>
      </c>
      <c r="J417" s="67">
        <f ca="1">IFERROR(__xludf.DUMMYFUNCTION("IMPORTRANGE(""https://docs.google.com/spreadsheets/d/1C3CXT74ZlgGe6_JY_1olB1XN4rF0dxEuIIF-xsYjHgg/edit?usp=sharing"",""งบกองทุน!de27"")"),0)</f>
        <v>0</v>
      </c>
      <c r="K417" s="49">
        <f t="shared" si="82"/>
        <v>0</v>
      </c>
      <c r="L417" s="61"/>
      <c r="M417" s="61"/>
      <c r="N417" s="61"/>
    </row>
    <row r="418" spans="1:14" ht="21.75" customHeight="1" x14ac:dyDescent="0.4">
      <c r="A418" s="55"/>
      <c r="B418" s="56"/>
      <c r="C418" s="288"/>
      <c r="D418" s="288"/>
      <c r="E418" s="288" t="s">
        <v>179</v>
      </c>
      <c r="F418" s="289"/>
      <c r="G418" s="290"/>
      <c r="H418" s="291" t="s">
        <v>103</v>
      </c>
      <c r="I418" s="150">
        <f t="shared" ref="I418:I419" ca="1" si="91">J416</f>
        <v>0</v>
      </c>
      <c r="J418" s="150">
        <f t="shared" ref="J418:J419" si="92">SUM(J420,J422,J424)</f>
        <v>0</v>
      </c>
      <c r="K418" s="147">
        <f t="shared" ca="1" si="82"/>
        <v>0</v>
      </c>
      <c r="L418" s="61"/>
      <c r="M418" s="61"/>
      <c r="N418" s="61"/>
    </row>
    <row r="419" spans="1:14" ht="21.75" customHeight="1" x14ac:dyDescent="0.4">
      <c r="A419" s="55"/>
      <c r="B419" s="56"/>
      <c r="C419" s="288"/>
      <c r="D419" s="288"/>
      <c r="E419" s="288" t="s">
        <v>180</v>
      </c>
      <c r="F419" s="289"/>
      <c r="G419" s="290"/>
      <c r="H419" s="291" t="s">
        <v>15</v>
      </c>
      <c r="I419" s="150">
        <f t="shared" ca="1" si="91"/>
        <v>0</v>
      </c>
      <c r="J419" s="150">
        <f t="shared" si="92"/>
        <v>0</v>
      </c>
      <c r="K419" s="147">
        <f t="shared" ca="1" si="82"/>
        <v>0</v>
      </c>
      <c r="L419" s="61"/>
      <c r="M419" s="61"/>
      <c r="N419" s="61"/>
    </row>
    <row r="420" spans="1:14" ht="21.75" customHeight="1" x14ac:dyDescent="0.4">
      <c r="A420" s="55"/>
      <c r="B420" s="56"/>
      <c r="C420" s="56"/>
      <c r="D420" s="73"/>
      <c r="E420" s="75"/>
      <c r="F420" s="75"/>
      <c r="G420" s="99" t="s">
        <v>176</v>
      </c>
      <c r="H420" s="267" t="s">
        <v>103</v>
      </c>
      <c r="I420" s="48">
        <v>0</v>
      </c>
      <c r="J420" s="68">
        <v>0</v>
      </c>
      <c r="K420" s="49">
        <f t="shared" si="82"/>
        <v>0</v>
      </c>
      <c r="L420" s="61"/>
      <c r="M420" s="61"/>
      <c r="N420" s="61"/>
    </row>
    <row r="421" spans="1:14" ht="21.75" customHeight="1" x14ac:dyDescent="0.4">
      <c r="A421" s="55"/>
      <c r="B421" s="56"/>
      <c r="C421" s="56"/>
      <c r="D421" s="73"/>
      <c r="E421" s="75"/>
      <c r="F421" s="75"/>
      <c r="G421" s="76"/>
      <c r="H421" s="267" t="s">
        <v>15</v>
      </c>
      <c r="I421" s="48">
        <v>0</v>
      </c>
      <c r="J421" s="68">
        <v>0</v>
      </c>
      <c r="K421" s="49">
        <f t="shared" si="82"/>
        <v>0</v>
      </c>
      <c r="L421" s="61"/>
      <c r="M421" s="61"/>
      <c r="N421" s="61"/>
    </row>
    <row r="422" spans="1:14" ht="21.75" customHeight="1" x14ac:dyDescent="0.4">
      <c r="A422" s="55"/>
      <c r="B422" s="56"/>
      <c r="C422" s="56"/>
      <c r="D422" s="73"/>
      <c r="E422" s="75"/>
      <c r="F422" s="75"/>
      <c r="G422" s="99" t="s">
        <v>177</v>
      </c>
      <c r="H422" s="267" t="s">
        <v>103</v>
      </c>
      <c r="I422" s="48">
        <v>0</v>
      </c>
      <c r="J422" s="68">
        <v>0</v>
      </c>
      <c r="K422" s="49">
        <f t="shared" si="82"/>
        <v>0</v>
      </c>
      <c r="L422" s="61"/>
      <c r="M422" s="61"/>
      <c r="N422" s="61"/>
    </row>
    <row r="423" spans="1:14" ht="21.75" customHeight="1" x14ac:dyDescent="0.4">
      <c r="A423" s="55"/>
      <c r="B423" s="56"/>
      <c r="C423" s="56"/>
      <c r="D423" s="73"/>
      <c r="E423" s="75"/>
      <c r="F423" s="75"/>
      <c r="G423" s="76"/>
      <c r="H423" s="267" t="s">
        <v>15</v>
      </c>
      <c r="I423" s="48">
        <v>0</v>
      </c>
      <c r="J423" s="68">
        <v>0</v>
      </c>
      <c r="K423" s="49">
        <f t="shared" si="82"/>
        <v>0</v>
      </c>
      <c r="L423" s="61"/>
      <c r="M423" s="61"/>
      <c r="N423" s="61"/>
    </row>
    <row r="424" spans="1:14" ht="21.75" customHeight="1" x14ac:dyDescent="0.4">
      <c r="A424" s="55"/>
      <c r="B424" s="56"/>
      <c r="C424" s="56"/>
      <c r="D424" s="73"/>
      <c r="E424" s="75"/>
      <c r="F424" s="75"/>
      <c r="G424" s="99" t="s">
        <v>181</v>
      </c>
      <c r="H424" s="267" t="s">
        <v>103</v>
      </c>
      <c r="I424" s="48">
        <v>0</v>
      </c>
      <c r="J424" s="68">
        <v>0</v>
      </c>
      <c r="K424" s="49">
        <f t="shared" si="82"/>
        <v>0</v>
      </c>
      <c r="L424" s="61"/>
      <c r="M424" s="61"/>
      <c r="N424" s="61"/>
    </row>
    <row r="425" spans="1:14" ht="21.75" customHeight="1" x14ac:dyDescent="0.4">
      <c r="A425" s="292"/>
      <c r="B425" s="293"/>
      <c r="C425" s="293"/>
      <c r="D425" s="294"/>
      <c r="E425" s="295"/>
      <c r="F425" s="295"/>
      <c r="G425" s="296"/>
      <c r="H425" s="297" t="s">
        <v>15</v>
      </c>
      <c r="I425" s="298">
        <v>0</v>
      </c>
      <c r="J425" s="299">
        <v>0</v>
      </c>
      <c r="K425" s="309">
        <f t="shared" si="82"/>
        <v>0</v>
      </c>
      <c r="L425" s="300"/>
      <c r="M425" s="300"/>
      <c r="N425" s="300"/>
    </row>
    <row r="426" spans="1:14" ht="21.75" customHeight="1" x14ac:dyDescent="0.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3">I440</f>
        <v>22</v>
      </c>
      <c r="J426" s="257">
        <f t="shared" si="93"/>
        <v>22</v>
      </c>
      <c r="K426" s="258">
        <f ca="1">IF(I426&gt;0,J426*100/I426,0)</f>
        <v>100</v>
      </c>
      <c r="L426" s="259">
        <f t="shared" ref="L426:M426" ca="1" si="94">SUM(L427:L428)</f>
        <v>34340</v>
      </c>
      <c r="M426" s="259">
        <f t="shared" si="94"/>
        <v>17605</v>
      </c>
      <c r="N426" s="259">
        <f t="shared" ref="N426:N430" ca="1" si="95">+IF(L426&gt;0,M426*100/L426,0)</f>
        <v>51.266744321490975</v>
      </c>
    </row>
    <row r="427" spans="1:14" ht="21.75" customHeight="1" x14ac:dyDescent="0.4">
      <c r="A427" s="42"/>
      <c r="B427" s="43"/>
      <c r="C427" s="43" t="s">
        <v>17</v>
      </c>
      <c r="D427" s="44" t="s">
        <v>18</v>
      </c>
      <c r="E427" s="45"/>
      <c r="F427" s="45"/>
      <c r="G427" s="46" t="s">
        <v>19</v>
      </c>
      <c r="H427" s="47" t="s">
        <v>20</v>
      </c>
      <c r="I427" s="48" t="s">
        <v>21</v>
      </c>
      <c r="J427" s="48"/>
      <c r="K427" s="49"/>
      <c r="L427" s="50">
        <v>0</v>
      </c>
      <c r="M427" s="53">
        <v>0</v>
      </c>
      <c r="N427" s="53">
        <f t="shared" si="95"/>
        <v>0</v>
      </c>
    </row>
    <row r="428" spans="1:14" ht="21.75" customHeight="1" x14ac:dyDescent="0.4">
      <c r="A428" s="42"/>
      <c r="B428" s="43"/>
      <c r="C428" s="43"/>
      <c r="D428" s="51"/>
      <c r="E428" s="45"/>
      <c r="F428" s="45" t="s">
        <v>21</v>
      </c>
      <c r="G428" s="46" t="s">
        <v>22</v>
      </c>
      <c r="H428" s="47" t="s">
        <v>20</v>
      </c>
      <c r="I428" s="48"/>
      <c r="J428" s="48"/>
      <c r="K428" s="49"/>
      <c r="L428" s="50">
        <f t="shared" ref="L428:M428" ca="1" si="96">SUM(L429:L430)</f>
        <v>34340</v>
      </c>
      <c r="M428" s="53">
        <f t="shared" si="96"/>
        <v>17605</v>
      </c>
      <c r="N428" s="53">
        <f t="shared" ca="1" si="95"/>
        <v>51.266744321490975</v>
      </c>
    </row>
    <row r="429" spans="1:14" ht="21.75" customHeight="1" x14ac:dyDescent="0.4">
      <c r="A429" s="42"/>
      <c r="B429" s="43"/>
      <c r="C429" s="43"/>
      <c r="D429" s="51"/>
      <c r="E429" s="45"/>
      <c r="F429" s="45"/>
      <c r="G429" s="52" t="s">
        <v>110</v>
      </c>
      <c r="H429" s="47" t="s">
        <v>20</v>
      </c>
      <c r="I429" s="48"/>
      <c r="J429" s="48"/>
      <c r="K429" s="49"/>
      <c r="L429" s="53">
        <f ca="1">IFERROR(__xludf.DUMMYFUNCTION("IMPORTRANGE(""https://docs.google.com/spreadsheets/d/1C3CXT74ZlgGe6_JY_1olB1XN4rF0dxEuIIF-xsYjHgg/edit?usp=sharing"",""งบกองทุน!dn27"")"),0)</f>
        <v>0</v>
      </c>
      <c r="M429" s="53">
        <v>0</v>
      </c>
      <c r="N429" s="53">
        <f t="shared" ca="1" si="95"/>
        <v>0</v>
      </c>
    </row>
    <row r="430" spans="1:14" ht="21.75" customHeight="1" x14ac:dyDescent="0.4">
      <c r="A430" s="42"/>
      <c r="B430" s="43"/>
      <c r="C430" s="43"/>
      <c r="D430" s="51"/>
      <c r="E430" s="45"/>
      <c r="F430" s="45"/>
      <c r="G430" s="52" t="s">
        <v>111</v>
      </c>
      <c r="H430" s="47" t="s">
        <v>20</v>
      </c>
      <c r="I430" s="48"/>
      <c r="J430" s="48"/>
      <c r="K430" s="49"/>
      <c r="L430" s="53">
        <f ca="1">IFERROR(__xludf.DUMMYFUNCTION("IMPORTRANGE(""https://docs.google.com/spreadsheets/d/1C3CXT74ZlgGe6_JY_1olB1XN4rF0dxEuIIF-xsYjHgg/edit?usp=sharing"",""งบกองทุน!do27"")"),34340)</f>
        <v>34340</v>
      </c>
      <c r="M430" s="53">
        <f>SUM(M431:M434)</f>
        <v>17605</v>
      </c>
      <c r="N430" s="53">
        <f t="shared" ca="1" si="95"/>
        <v>51.266744321490975</v>
      </c>
    </row>
    <row r="431" spans="1:14" ht="21.75" customHeight="1" x14ac:dyDescent="0.4">
      <c r="A431" s="230"/>
      <c r="B431" s="231"/>
      <c r="C431" s="43"/>
      <c r="D431" s="232"/>
      <c r="E431" s="45"/>
      <c r="F431" s="45"/>
      <c r="G431" s="46" t="s">
        <v>112</v>
      </c>
      <c r="H431" s="47" t="s">
        <v>20</v>
      </c>
      <c r="I431" s="67"/>
      <c r="J431" s="67"/>
      <c r="K431" s="233"/>
      <c r="L431" s="53"/>
      <c r="M431" s="54">
        <v>16605</v>
      </c>
      <c r="N431" s="53"/>
    </row>
    <row r="432" spans="1:14" ht="21.75" customHeight="1" x14ac:dyDescent="0.4">
      <c r="A432" s="230"/>
      <c r="B432" s="231"/>
      <c r="C432" s="43"/>
      <c r="D432" s="232"/>
      <c r="E432" s="45"/>
      <c r="F432" s="45"/>
      <c r="G432" s="46" t="s">
        <v>113</v>
      </c>
      <c r="H432" s="47" t="s">
        <v>20</v>
      </c>
      <c r="I432" s="67"/>
      <c r="J432" s="67"/>
      <c r="K432" s="233"/>
      <c r="L432" s="53"/>
      <c r="M432" s="54">
        <v>0</v>
      </c>
      <c r="N432" s="53"/>
    </row>
    <row r="433" spans="1:14" ht="21.75" customHeight="1" x14ac:dyDescent="0.4">
      <c r="A433" s="230"/>
      <c r="B433" s="231"/>
      <c r="C433" s="43"/>
      <c r="D433" s="232"/>
      <c r="E433" s="45"/>
      <c r="F433" s="45"/>
      <c r="G433" s="46" t="s">
        <v>114</v>
      </c>
      <c r="H433" s="47" t="s">
        <v>20</v>
      </c>
      <c r="I433" s="67"/>
      <c r="J433" s="67"/>
      <c r="K433" s="233"/>
      <c r="L433" s="53"/>
      <c r="M433" s="54">
        <v>0</v>
      </c>
      <c r="N433" s="53"/>
    </row>
    <row r="434" spans="1:14" ht="21.75" customHeight="1" x14ac:dyDescent="0.4">
      <c r="A434" s="230"/>
      <c r="B434" s="231"/>
      <c r="C434" s="43"/>
      <c r="D434" s="232"/>
      <c r="E434" s="45"/>
      <c r="F434" s="45"/>
      <c r="G434" s="46" t="s">
        <v>115</v>
      </c>
      <c r="H434" s="47" t="s">
        <v>20</v>
      </c>
      <c r="I434" s="67"/>
      <c r="J434" s="67"/>
      <c r="K434" s="233"/>
      <c r="L434" s="53"/>
      <c r="M434" s="54">
        <v>1000</v>
      </c>
      <c r="N434" s="53"/>
    </row>
    <row r="435" spans="1:14" ht="21.75" customHeight="1" x14ac:dyDescent="0.4">
      <c r="A435" s="55"/>
      <c r="B435" s="56"/>
      <c r="C435" s="43" t="s">
        <v>17</v>
      </c>
      <c r="D435" s="57" t="s">
        <v>25</v>
      </c>
      <c r="E435" s="58"/>
      <c r="F435" s="58"/>
      <c r="G435" s="59"/>
      <c r="H435" s="60"/>
      <c r="I435" s="48"/>
      <c r="J435" s="48"/>
      <c r="K435" s="49"/>
      <c r="L435" s="61"/>
      <c r="M435" s="61"/>
      <c r="N435" s="61"/>
    </row>
    <row r="436" spans="1:14" ht="21.75" customHeight="1" x14ac:dyDescent="0.4">
      <c r="A436" s="55"/>
      <c r="B436" s="56"/>
      <c r="C436" s="56"/>
      <c r="D436" s="62">
        <v>1</v>
      </c>
      <c r="E436" s="63" t="s">
        <v>26</v>
      </c>
      <c r="F436" s="64"/>
      <c r="G436" s="65"/>
      <c r="H436" s="66"/>
      <c r="I436" s="67"/>
      <c r="J436" s="68">
        <v>0</v>
      </c>
      <c r="K436" s="49"/>
      <c r="L436" s="61"/>
      <c r="M436" s="61"/>
      <c r="N436" s="61"/>
    </row>
    <row r="437" spans="1:14" ht="21.75" customHeight="1" x14ac:dyDescent="0.4">
      <c r="A437" s="55"/>
      <c r="B437" s="56"/>
      <c r="C437" s="56"/>
      <c r="D437" s="69">
        <v>2</v>
      </c>
      <c r="E437" s="70" t="s">
        <v>27</v>
      </c>
      <c r="F437" s="71"/>
      <c r="G437" s="72"/>
      <c r="H437" s="66"/>
      <c r="I437" s="67"/>
      <c r="J437" s="68">
        <v>0</v>
      </c>
      <c r="K437" s="49"/>
      <c r="L437" s="61" t="s">
        <v>21</v>
      </c>
      <c r="M437" s="61" t="s">
        <v>21</v>
      </c>
      <c r="N437" s="61"/>
    </row>
    <row r="438" spans="1:14" ht="21.75" customHeight="1" x14ac:dyDescent="0.4">
      <c r="A438" s="55"/>
      <c r="B438" s="56"/>
      <c r="C438" s="56"/>
      <c r="D438" s="73"/>
      <c r="E438" s="74" t="s">
        <v>28</v>
      </c>
      <c r="F438" s="75"/>
      <c r="G438" s="76"/>
      <c r="H438" s="66"/>
      <c r="I438" s="67"/>
      <c r="J438" s="68">
        <v>1</v>
      </c>
      <c r="K438" s="49"/>
      <c r="L438" s="61"/>
      <c r="M438" s="61"/>
      <c r="N438" s="61"/>
    </row>
    <row r="439" spans="1:14" ht="21.75" customHeight="1" x14ac:dyDescent="0.4">
      <c r="A439" s="55"/>
      <c r="B439" s="56"/>
      <c r="C439" s="56"/>
      <c r="D439" s="73"/>
      <c r="E439" s="74" t="s">
        <v>29</v>
      </c>
      <c r="F439" s="75"/>
      <c r="G439" s="76"/>
      <c r="H439" s="66"/>
      <c r="I439" s="67"/>
      <c r="J439" s="68">
        <v>1</v>
      </c>
      <c r="K439" s="49"/>
      <c r="L439" s="61"/>
      <c r="M439" s="61"/>
      <c r="N439" s="61"/>
    </row>
    <row r="440" spans="1:14" ht="21.75" customHeight="1" x14ac:dyDescent="0.4">
      <c r="A440" s="55"/>
      <c r="B440" s="56"/>
      <c r="C440" s="56"/>
      <c r="D440" s="73"/>
      <c r="E440" s="77"/>
      <c r="F440" s="75"/>
      <c r="G440" s="99" t="s">
        <v>183</v>
      </c>
      <c r="H440" s="66" t="s">
        <v>16</v>
      </c>
      <c r="I440" s="200">
        <f ca="1">IFERROR(__xludf.DUMMYFUNCTION("IMPORTRANGE(""https://docs.google.com/spreadsheets/d/1C3CXT74ZlgGe6_JY_1olB1XN4rF0dxEuIIF-xsYjHgg/edit?usp=sharing"",""งบกองทุน!dq27"")"),22)</f>
        <v>22</v>
      </c>
      <c r="J440" s="68">
        <v>22</v>
      </c>
      <c r="K440" s="49">
        <f t="shared" ref="K440:K441" ca="1" si="97">IF(I440&gt;0,J440*100/I440,0)</f>
        <v>100</v>
      </c>
      <c r="L440" s="61"/>
      <c r="M440" s="61"/>
      <c r="N440" s="61"/>
    </row>
    <row r="441" spans="1:14" ht="21.75" hidden="1" customHeight="1" x14ac:dyDescent="0.4">
      <c r="A441" s="55"/>
      <c r="B441" s="56"/>
      <c r="C441" s="56"/>
      <c r="D441" s="73"/>
      <c r="E441" s="77"/>
      <c r="F441" s="75"/>
      <c r="G441" s="99" t="s">
        <v>184</v>
      </c>
      <c r="H441" s="66" t="s">
        <v>16</v>
      </c>
      <c r="I441" s="200">
        <f ca="1">IFERROR(__xludf.DUMMYFUNCTION("IMPORTRANGE(""https://docs.google.com/spreadsheets/d/1C3CXT74ZlgGe6_JY_1olB1XN4rF0dxEuIIF-xsYjHgg/edit?usp=sharing"",""งบกองทุน!dr27"")"),22)</f>
        <v>22</v>
      </c>
      <c r="J441" s="68">
        <v>0</v>
      </c>
      <c r="K441" s="49">
        <f t="shared" ca="1" si="97"/>
        <v>0</v>
      </c>
      <c r="L441" s="61"/>
      <c r="M441" s="61"/>
      <c r="N441" s="61"/>
    </row>
    <row r="442" spans="1:14" ht="21.75" customHeight="1" x14ac:dyDescent="0.4">
      <c r="A442" s="55"/>
      <c r="B442" s="56"/>
      <c r="C442" s="56"/>
      <c r="D442" s="73"/>
      <c r="E442" s="74" t="s">
        <v>35</v>
      </c>
      <c r="F442" s="75"/>
      <c r="G442" s="76"/>
      <c r="H442" s="66"/>
      <c r="I442" s="67"/>
      <c r="J442" s="68">
        <v>1</v>
      </c>
      <c r="K442" s="49"/>
      <c r="L442" s="61"/>
      <c r="M442" s="61"/>
      <c r="N442" s="61"/>
    </row>
    <row r="443" spans="1:14" ht="21.75" customHeight="1" x14ac:dyDescent="0.4">
      <c r="A443" s="292"/>
      <c r="B443" s="293"/>
      <c r="C443" s="293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309"/>
      <c r="L443" s="300"/>
      <c r="M443" s="300"/>
      <c r="N443" s="300"/>
    </row>
    <row r="444" spans="1:14" ht="21.75" customHeight="1" x14ac:dyDescent="0.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8">SUM(I453,I455)</f>
        <v>0</v>
      </c>
      <c r="J444" s="257">
        <f t="shared" si="98"/>
        <v>0</v>
      </c>
      <c r="K444" s="258">
        <f ca="1">IF(I444&gt;0,J444*100/I444,0)</f>
        <v>0</v>
      </c>
      <c r="L444" s="259">
        <f t="shared" ref="L444:M444" ca="1" si="99">SUM(L445:L446)</f>
        <v>0</v>
      </c>
      <c r="M444" s="259">
        <f t="shared" si="99"/>
        <v>0</v>
      </c>
      <c r="N444" s="259">
        <f t="shared" ref="N444:N448" ca="1" si="100">+IF(L444&gt;0,M444*100/L444,0)</f>
        <v>0</v>
      </c>
    </row>
    <row r="445" spans="1:14" ht="21.75" customHeight="1" x14ac:dyDescent="0.4">
      <c r="A445" s="42"/>
      <c r="B445" s="43"/>
      <c r="C445" s="43" t="s">
        <v>17</v>
      </c>
      <c r="D445" s="44" t="s">
        <v>18</v>
      </c>
      <c r="E445" s="45"/>
      <c r="F445" s="45"/>
      <c r="G445" s="46" t="s">
        <v>19</v>
      </c>
      <c r="H445" s="47" t="s">
        <v>20</v>
      </c>
      <c r="I445" s="48" t="s">
        <v>21</v>
      </c>
      <c r="J445" s="48"/>
      <c r="K445" s="49"/>
      <c r="L445" s="50">
        <v>0</v>
      </c>
      <c r="M445" s="53">
        <v>0</v>
      </c>
      <c r="N445" s="53">
        <f t="shared" si="100"/>
        <v>0</v>
      </c>
    </row>
    <row r="446" spans="1:14" ht="21.75" customHeight="1" x14ac:dyDescent="0.4">
      <c r="A446" s="42"/>
      <c r="B446" s="43"/>
      <c r="C446" s="43"/>
      <c r="D446" s="51"/>
      <c r="E446" s="45"/>
      <c r="F446" s="45" t="s">
        <v>21</v>
      </c>
      <c r="G446" s="46" t="s">
        <v>22</v>
      </c>
      <c r="H446" s="47" t="s">
        <v>20</v>
      </c>
      <c r="I446" s="48"/>
      <c r="J446" s="48"/>
      <c r="K446" s="49"/>
      <c r="L446" s="50">
        <f t="shared" ref="L446:M446" ca="1" si="101">SUM(L447:L448)</f>
        <v>0</v>
      </c>
      <c r="M446" s="53">
        <f t="shared" si="101"/>
        <v>0</v>
      </c>
      <c r="N446" s="53">
        <f t="shared" ca="1" si="100"/>
        <v>0</v>
      </c>
    </row>
    <row r="447" spans="1:14" ht="21.75" customHeight="1" x14ac:dyDescent="0.4">
      <c r="A447" s="42"/>
      <c r="B447" s="43"/>
      <c r="C447" s="43"/>
      <c r="D447" s="51"/>
      <c r="E447" s="45"/>
      <c r="F447" s="45"/>
      <c r="G447" s="52" t="s">
        <v>110</v>
      </c>
      <c r="H447" s="47" t="s">
        <v>20</v>
      </c>
      <c r="I447" s="48"/>
      <c r="J447" s="48"/>
      <c r="K447" s="49"/>
      <c r="L447" s="53">
        <f ca="1">IFERROR(__xludf.DUMMYFUNCTION("IMPORTRANGE(""https://docs.google.com/spreadsheets/d/1C3CXT74ZlgGe6_JY_1olB1XN4rF0dxEuIIF-xsYjHgg/edit?usp=sharing"",""งบกองทุน!dt27"")"),0)</f>
        <v>0</v>
      </c>
      <c r="M447" s="53">
        <v>0</v>
      </c>
      <c r="N447" s="53">
        <f t="shared" ca="1" si="100"/>
        <v>0</v>
      </c>
    </row>
    <row r="448" spans="1:14" ht="21.75" customHeight="1" x14ac:dyDescent="0.4">
      <c r="A448" s="42"/>
      <c r="B448" s="43"/>
      <c r="C448" s="43"/>
      <c r="D448" s="51"/>
      <c r="E448" s="45"/>
      <c r="F448" s="45"/>
      <c r="G448" s="52" t="s">
        <v>111</v>
      </c>
      <c r="H448" s="47" t="s">
        <v>20</v>
      </c>
      <c r="I448" s="48"/>
      <c r="J448" s="48"/>
      <c r="K448" s="49"/>
      <c r="L448" s="53">
        <f ca="1">IFERROR(__xludf.DUMMYFUNCTION("IMPORTRANGE(""https://docs.google.com/spreadsheets/d/1C3CXT74ZlgGe6_JY_1olB1XN4rF0dxEuIIF-xsYjHgg/edit?usp=sharing"",""งบกองทุน!du27"")"),0)</f>
        <v>0</v>
      </c>
      <c r="M448" s="53">
        <f>SUM(M449:M452)</f>
        <v>0</v>
      </c>
      <c r="N448" s="53">
        <f t="shared" ca="1" si="100"/>
        <v>0</v>
      </c>
    </row>
    <row r="449" spans="1:14" ht="21.75" customHeight="1" x14ac:dyDescent="0.4">
      <c r="A449" s="230"/>
      <c r="B449" s="231"/>
      <c r="C449" s="43"/>
      <c r="D449" s="232"/>
      <c r="E449" s="45"/>
      <c r="F449" s="45"/>
      <c r="G449" s="46" t="s">
        <v>112</v>
      </c>
      <c r="H449" s="47" t="s">
        <v>20</v>
      </c>
      <c r="I449" s="67"/>
      <c r="J449" s="67"/>
      <c r="K449" s="233"/>
      <c r="L449" s="53"/>
      <c r="M449" s="53">
        <v>0</v>
      </c>
      <c r="N449" s="53"/>
    </row>
    <row r="450" spans="1:14" ht="21.75" customHeight="1" x14ac:dyDescent="0.4">
      <c r="A450" s="230"/>
      <c r="B450" s="231"/>
      <c r="C450" s="43"/>
      <c r="D450" s="232"/>
      <c r="E450" s="45"/>
      <c r="F450" s="45"/>
      <c r="G450" s="46" t="s">
        <v>113</v>
      </c>
      <c r="H450" s="47" t="s">
        <v>20</v>
      </c>
      <c r="I450" s="67"/>
      <c r="J450" s="67"/>
      <c r="K450" s="233"/>
      <c r="L450" s="53"/>
      <c r="M450" s="53">
        <v>0</v>
      </c>
      <c r="N450" s="53"/>
    </row>
    <row r="451" spans="1:14" ht="21.75" customHeight="1" x14ac:dyDescent="0.4">
      <c r="A451" s="230"/>
      <c r="B451" s="231"/>
      <c r="C451" s="43"/>
      <c r="D451" s="232"/>
      <c r="E451" s="45"/>
      <c r="F451" s="45"/>
      <c r="G451" s="46" t="s">
        <v>114</v>
      </c>
      <c r="H451" s="47" t="s">
        <v>20</v>
      </c>
      <c r="I451" s="67"/>
      <c r="J451" s="67"/>
      <c r="K451" s="233"/>
      <c r="L451" s="53"/>
      <c r="M451" s="53">
        <v>0</v>
      </c>
      <c r="N451" s="53"/>
    </row>
    <row r="452" spans="1:14" ht="21.75" customHeight="1" x14ac:dyDescent="0.4">
      <c r="A452" s="230"/>
      <c r="B452" s="231"/>
      <c r="C452" s="43"/>
      <c r="D452" s="232"/>
      <c r="E452" s="45"/>
      <c r="F452" s="45"/>
      <c r="G452" s="46" t="s">
        <v>115</v>
      </c>
      <c r="H452" s="47" t="s">
        <v>20</v>
      </c>
      <c r="I452" s="67"/>
      <c r="J452" s="67"/>
      <c r="K452" s="233"/>
      <c r="L452" s="53"/>
      <c r="M452" s="53">
        <v>0</v>
      </c>
      <c r="N452" s="53"/>
    </row>
    <row r="453" spans="1:14" ht="21.75" customHeight="1" x14ac:dyDescent="0.4">
      <c r="A453" s="55"/>
      <c r="B453" s="56"/>
      <c r="C453" s="56"/>
      <c r="D453" s="73"/>
      <c r="E453" s="75"/>
      <c r="F453" s="75" t="s">
        <v>186</v>
      </c>
      <c r="G453" s="76"/>
      <c r="H453" s="315" t="s">
        <v>103</v>
      </c>
      <c r="I453" s="48">
        <f ca="1">IFERROR(__xludf.DUMMYFUNCTION("IMPORTRANGE(""https://docs.google.com/spreadsheets/d/1C3CXT74ZlgGe6_JY_1olB1XN4rF0dxEuIIF-xsYjHgg/edit?usp=sharing"",""งบกองทุน!dw27"")"),0)</f>
        <v>0</v>
      </c>
      <c r="J453" s="67">
        <v>0</v>
      </c>
      <c r="K453" s="233">
        <f t="shared" ref="K453:K457" ca="1" si="102">IF(I453&gt;0,J453*100/I453,0)</f>
        <v>0</v>
      </c>
      <c r="L453" s="53"/>
      <c r="M453" s="53"/>
      <c r="N453" s="61"/>
    </row>
    <row r="454" spans="1:14" ht="21.75" customHeight="1" x14ac:dyDescent="0.4">
      <c r="A454" s="55"/>
      <c r="B454" s="56"/>
      <c r="C454" s="56"/>
      <c r="D454" s="73"/>
      <c r="E454" s="75"/>
      <c r="F454" s="75"/>
      <c r="G454" s="76"/>
      <c r="H454" s="315" t="s">
        <v>15</v>
      </c>
      <c r="I454" s="48">
        <f ca="1">IFERROR(__xludf.DUMMYFUNCTION("IMPORTRANGE(""https://docs.google.com/spreadsheets/d/1C3CXT74ZlgGe6_JY_1olB1XN4rF0dxEuIIF-xsYjHgg/edit?usp=sharing"",""งบกองทุน!dx27"")"),0)</f>
        <v>0</v>
      </c>
      <c r="J454" s="67">
        <v>0</v>
      </c>
      <c r="K454" s="233">
        <f t="shared" ca="1" si="102"/>
        <v>0</v>
      </c>
      <c r="L454" s="53"/>
      <c r="M454" s="53"/>
      <c r="N454" s="61"/>
    </row>
    <row r="455" spans="1:14" ht="21.75" customHeight="1" x14ac:dyDescent="0.4">
      <c r="A455" s="55"/>
      <c r="B455" s="56"/>
      <c r="C455" s="56"/>
      <c r="D455" s="73"/>
      <c r="E455" s="75"/>
      <c r="F455" s="75" t="s">
        <v>187</v>
      </c>
      <c r="G455" s="76"/>
      <c r="H455" s="315" t="s">
        <v>103</v>
      </c>
      <c r="I455" s="48">
        <f ca="1">IFERROR(__xludf.DUMMYFUNCTION("IMPORTRANGE(""https://docs.google.com/spreadsheets/d/1C3CXT74ZlgGe6_JY_1olB1XN4rF0dxEuIIF-xsYjHgg/edit?usp=sharing"",""งบกองทุน!dy27"")"),0)</f>
        <v>0</v>
      </c>
      <c r="J455" s="67">
        <v>0</v>
      </c>
      <c r="K455" s="233">
        <f t="shared" ca="1" si="102"/>
        <v>0</v>
      </c>
      <c r="L455" s="53"/>
      <c r="M455" s="53"/>
      <c r="N455" s="61"/>
    </row>
    <row r="456" spans="1:14" ht="21.75" customHeight="1" x14ac:dyDescent="0.4">
      <c r="A456" s="55"/>
      <c r="B456" s="56"/>
      <c r="C456" s="56"/>
      <c r="D456" s="73"/>
      <c r="E456" s="75"/>
      <c r="F456" s="75"/>
      <c r="G456" s="76"/>
      <c r="H456" s="315" t="s">
        <v>15</v>
      </c>
      <c r="I456" s="48">
        <f ca="1">IFERROR(__xludf.DUMMYFUNCTION("IMPORTRANGE(""https://docs.google.com/spreadsheets/d/1C3CXT74ZlgGe6_JY_1olB1XN4rF0dxEuIIF-xsYjHgg/edit?usp=sharing"",""งบกองทุน!dz27"")"),0)</f>
        <v>0</v>
      </c>
      <c r="J456" s="67">
        <v>0</v>
      </c>
      <c r="K456" s="233">
        <f t="shared" ca="1" si="102"/>
        <v>0</v>
      </c>
      <c r="L456" s="53"/>
      <c r="M456" s="53"/>
      <c r="N456" s="61"/>
    </row>
    <row r="457" spans="1:14" ht="21.75" customHeight="1" x14ac:dyDescent="0.4">
      <c r="A457" s="222"/>
      <c r="B457" s="223">
        <v>8</v>
      </c>
      <c r="C457" s="224" t="s">
        <v>188</v>
      </c>
      <c r="D457" s="224"/>
      <c r="E457" s="224"/>
      <c r="F457" s="224"/>
      <c r="G457" s="225"/>
      <c r="H457" s="226" t="s">
        <v>16</v>
      </c>
      <c r="I457" s="227">
        <f ca="1">I466</f>
        <v>1100</v>
      </c>
      <c r="J457" s="227">
        <f>+J466</f>
        <v>256</v>
      </c>
      <c r="K457" s="228">
        <f t="shared" ca="1" si="102"/>
        <v>23.272727272727273</v>
      </c>
      <c r="L457" s="229">
        <f t="shared" ref="L457:M457" ca="1" si="103">SUM(L458:L459)</f>
        <v>126080</v>
      </c>
      <c r="M457" s="229">
        <f t="shared" si="103"/>
        <v>7451.64</v>
      </c>
      <c r="N457" s="229">
        <f t="shared" ref="N457:N461" ca="1" si="104">+IF(L457&gt;0,M457*100/L457,0)</f>
        <v>5.9102474619289342</v>
      </c>
    </row>
    <row r="458" spans="1:14" ht="21.75" customHeight="1" x14ac:dyDescent="0.4">
      <c r="A458" s="42"/>
      <c r="B458" s="43"/>
      <c r="C458" s="43" t="s">
        <v>17</v>
      </c>
      <c r="D458" s="44" t="s">
        <v>18</v>
      </c>
      <c r="E458" s="45"/>
      <c r="F458" s="45"/>
      <c r="G458" s="46" t="s">
        <v>19</v>
      </c>
      <c r="H458" s="47" t="s">
        <v>20</v>
      </c>
      <c r="I458" s="48" t="s">
        <v>21</v>
      </c>
      <c r="J458" s="48"/>
      <c r="K458" s="49"/>
      <c r="L458" s="50">
        <v>0</v>
      </c>
      <c r="M458" s="53">
        <v>0</v>
      </c>
      <c r="N458" s="53">
        <f t="shared" si="104"/>
        <v>0</v>
      </c>
    </row>
    <row r="459" spans="1:14" ht="21.75" customHeight="1" x14ac:dyDescent="0.4">
      <c r="A459" s="42"/>
      <c r="B459" s="43"/>
      <c r="C459" s="43"/>
      <c r="D459" s="51"/>
      <c r="E459" s="45"/>
      <c r="F459" s="45" t="s">
        <v>21</v>
      </c>
      <c r="G459" s="46" t="s">
        <v>22</v>
      </c>
      <c r="H459" s="47" t="s">
        <v>20</v>
      </c>
      <c r="I459" s="48"/>
      <c r="J459" s="48"/>
      <c r="K459" s="49"/>
      <c r="L459" s="50">
        <f t="shared" ref="L459:M459" ca="1" si="105">SUM(L460:L461)</f>
        <v>126080</v>
      </c>
      <c r="M459" s="53">
        <f t="shared" si="105"/>
        <v>7451.64</v>
      </c>
      <c r="N459" s="53">
        <f t="shared" ca="1" si="104"/>
        <v>5.9102474619289342</v>
      </c>
    </row>
    <row r="460" spans="1:14" ht="21.75" customHeight="1" x14ac:dyDescent="0.4">
      <c r="A460" s="42"/>
      <c r="B460" s="43"/>
      <c r="C460" s="43"/>
      <c r="D460" s="51"/>
      <c r="E460" s="45"/>
      <c r="F460" s="45"/>
      <c r="G460" s="52" t="s">
        <v>110</v>
      </c>
      <c r="H460" s="47" t="s">
        <v>20</v>
      </c>
      <c r="I460" s="48"/>
      <c r="J460" s="48"/>
      <c r="K460" s="49"/>
      <c r="L460" s="53">
        <f ca="1">IFERROR(__xludf.DUMMYFUNCTION("IMPORTRANGE(""https://docs.google.com/spreadsheets/d/1C3CXT74ZlgGe6_JY_1olB1XN4rF0dxEuIIF-xsYjHgg/edit?usp=sharing"",""งบกองทุน!Eb27"")"),0)</f>
        <v>0</v>
      </c>
      <c r="M460" s="53">
        <v>0</v>
      </c>
      <c r="N460" s="53">
        <f t="shared" ca="1" si="104"/>
        <v>0</v>
      </c>
    </row>
    <row r="461" spans="1:14" ht="21.75" customHeight="1" x14ac:dyDescent="0.4">
      <c r="A461" s="42"/>
      <c r="B461" s="43"/>
      <c r="C461" s="43"/>
      <c r="D461" s="51"/>
      <c r="E461" s="45"/>
      <c r="F461" s="45"/>
      <c r="G461" s="52" t="s">
        <v>111</v>
      </c>
      <c r="H461" s="47" t="s">
        <v>20</v>
      </c>
      <c r="I461" s="48"/>
      <c r="J461" s="48"/>
      <c r="K461" s="49"/>
      <c r="L461" s="53">
        <f ca="1">IFERROR(__xludf.DUMMYFUNCTION("IMPORTRANGE(""https://docs.google.com/spreadsheets/d/1C3CXT74ZlgGe6_JY_1olB1XN4rF0dxEuIIF-xsYjHgg/edit?usp=sharing"",""งบกองทุน!Ec27"")"),126080)</f>
        <v>126080</v>
      </c>
      <c r="M461" s="53">
        <f>SUM(M462:M465)</f>
        <v>7451.64</v>
      </c>
      <c r="N461" s="53">
        <f t="shared" ca="1" si="104"/>
        <v>5.9102474619289342</v>
      </c>
    </row>
    <row r="462" spans="1:14" ht="21.75" customHeight="1" x14ac:dyDescent="0.4">
      <c r="A462" s="230"/>
      <c r="B462" s="231"/>
      <c r="C462" s="43"/>
      <c r="D462" s="232"/>
      <c r="E462" s="45"/>
      <c r="F462" s="45"/>
      <c r="G462" s="46" t="s">
        <v>112</v>
      </c>
      <c r="H462" s="47" t="s">
        <v>20</v>
      </c>
      <c r="I462" s="67"/>
      <c r="J462" s="67"/>
      <c r="K462" s="233"/>
      <c r="L462" s="53"/>
      <c r="M462" s="53">
        <v>0</v>
      </c>
      <c r="N462" s="53"/>
    </row>
    <row r="463" spans="1:14" ht="21.75" customHeight="1" x14ac:dyDescent="0.4">
      <c r="A463" s="230"/>
      <c r="B463" s="231"/>
      <c r="C463" s="43"/>
      <c r="D463" s="232"/>
      <c r="E463" s="45"/>
      <c r="F463" s="45"/>
      <c r="G463" s="46" t="s">
        <v>113</v>
      </c>
      <c r="H463" s="47" t="s">
        <v>20</v>
      </c>
      <c r="I463" s="67"/>
      <c r="J463" s="67"/>
      <c r="K463" s="233"/>
      <c r="L463" s="53"/>
      <c r="M463" s="53">
        <v>0</v>
      </c>
      <c r="N463" s="53"/>
    </row>
    <row r="464" spans="1:14" ht="21.75" customHeight="1" x14ac:dyDescent="0.4">
      <c r="A464" s="230"/>
      <c r="B464" s="231"/>
      <c r="C464" s="43"/>
      <c r="D464" s="232"/>
      <c r="E464" s="45"/>
      <c r="F464" s="45"/>
      <c r="G464" s="46" t="s">
        <v>114</v>
      </c>
      <c r="H464" s="47" t="s">
        <v>20</v>
      </c>
      <c r="I464" s="67"/>
      <c r="J464" s="67"/>
      <c r="K464" s="233"/>
      <c r="L464" s="53"/>
      <c r="M464" s="54">
        <v>7451.64</v>
      </c>
      <c r="N464" s="53"/>
    </row>
    <row r="465" spans="1:14" ht="21.75" customHeight="1" x14ac:dyDescent="0.4">
      <c r="A465" s="230"/>
      <c r="B465" s="231"/>
      <c r="C465" s="43"/>
      <c r="D465" s="232"/>
      <c r="E465" s="45"/>
      <c r="F465" s="45"/>
      <c r="G465" s="46" t="s">
        <v>115</v>
      </c>
      <c r="H465" s="47" t="s">
        <v>20</v>
      </c>
      <c r="I465" s="67"/>
      <c r="J465" s="67"/>
      <c r="K465" s="233"/>
      <c r="L465" s="53"/>
      <c r="M465" s="54">
        <v>0</v>
      </c>
      <c r="N465" s="53"/>
    </row>
    <row r="466" spans="1:14" ht="21.75" customHeight="1" x14ac:dyDescent="0.4">
      <c r="A466" s="55"/>
      <c r="B466" s="56"/>
      <c r="C466" s="56"/>
      <c r="D466" s="75"/>
      <c r="E466" s="74" t="s">
        <v>21</v>
      </c>
      <c r="F466" s="260" t="s">
        <v>189</v>
      </c>
      <c r="G466" s="240"/>
      <c r="H466" s="314" t="s">
        <v>16</v>
      </c>
      <c r="I466" s="265">
        <f ca="1">IFERROR(__xludf.DUMMYFUNCTION("IMPORTRANGE(""https://docs.google.com/spreadsheets/d/1C3CXT74ZlgGe6_JY_1olB1XN4rF0dxEuIIF-xsYjHgg/edit?usp=sharing"",""งบกองทุน!Ed27"")"),1100)</f>
        <v>1100</v>
      </c>
      <c r="J466" s="265">
        <f>+J469+J470+J471+J472</f>
        <v>256</v>
      </c>
      <c r="K466" s="80">
        <f ca="1">IF(I466&gt;0,J466*100/I466,0)</f>
        <v>23.272727272727273</v>
      </c>
      <c r="L466" s="61"/>
      <c r="M466" s="61"/>
      <c r="N466" s="61"/>
    </row>
    <row r="467" spans="1:14" ht="21.75" customHeight="1" x14ac:dyDescent="0.4">
      <c r="A467" s="55"/>
      <c r="B467" s="56"/>
      <c r="C467" s="56"/>
      <c r="D467" s="75"/>
      <c r="E467" s="75"/>
      <c r="F467" s="74" t="s">
        <v>190</v>
      </c>
      <c r="G467" s="76"/>
      <c r="H467" s="315"/>
      <c r="I467" s="48"/>
      <c r="J467" s="48"/>
      <c r="K467" s="49"/>
      <c r="L467" s="61"/>
      <c r="M467" s="61"/>
      <c r="N467" s="61"/>
    </row>
    <row r="468" spans="1:14" ht="21.75" customHeight="1" x14ac:dyDescent="0.4">
      <c r="A468" s="55"/>
      <c r="B468" s="56"/>
      <c r="C468" s="56"/>
      <c r="D468" s="75"/>
      <c r="E468" s="74" t="s">
        <v>21</v>
      </c>
      <c r="F468" s="74" t="s">
        <v>191</v>
      </c>
      <c r="G468" s="76"/>
      <c r="H468" s="315" t="s">
        <v>57</v>
      </c>
      <c r="I468" s="48">
        <v>0</v>
      </c>
      <c r="J468" s="68">
        <v>0</v>
      </c>
      <c r="K468" s="49">
        <f t="shared" ref="K468:K472" si="106">IF(I468&gt;0,J468*100/I468,0)</f>
        <v>0</v>
      </c>
      <c r="L468" s="61"/>
      <c r="M468" s="61"/>
      <c r="N468" s="61"/>
    </row>
    <row r="469" spans="1:14" ht="21.75" customHeight="1" x14ac:dyDescent="0.4">
      <c r="A469" s="55"/>
      <c r="B469" s="56"/>
      <c r="C469" s="56"/>
      <c r="D469" s="75"/>
      <c r="E469" s="75"/>
      <c r="F469" s="74" t="s">
        <v>192</v>
      </c>
      <c r="G469" s="76"/>
      <c r="H469" s="315" t="s">
        <v>16</v>
      </c>
      <c r="I469" s="48">
        <v>0</v>
      </c>
      <c r="J469" s="68"/>
      <c r="K469" s="49">
        <f t="shared" si="106"/>
        <v>0</v>
      </c>
      <c r="L469" s="61"/>
      <c r="M469" s="61"/>
      <c r="N469" s="61"/>
    </row>
    <row r="470" spans="1:14" ht="21.75" customHeight="1" x14ac:dyDescent="0.4">
      <c r="A470" s="55"/>
      <c r="B470" s="56"/>
      <c r="C470" s="56"/>
      <c r="D470" s="75"/>
      <c r="E470" s="75"/>
      <c r="F470" s="74" t="s">
        <v>193</v>
      </c>
      <c r="G470" s="76"/>
      <c r="H470" s="315" t="s">
        <v>16</v>
      </c>
      <c r="I470" s="48">
        <v>0</v>
      </c>
      <c r="J470" s="68">
        <v>256</v>
      </c>
      <c r="K470" s="49">
        <f t="shared" si="106"/>
        <v>0</v>
      </c>
      <c r="L470" s="61"/>
      <c r="M470" s="61"/>
      <c r="N470" s="61"/>
    </row>
    <row r="471" spans="1:14" ht="21.75" customHeight="1" x14ac:dyDescent="0.4">
      <c r="A471" s="55"/>
      <c r="B471" s="56"/>
      <c r="C471" s="56"/>
      <c r="D471" s="75"/>
      <c r="E471" s="75"/>
      <c r="F471" s="74" t="s">
        <v>194</v>
      </c>
      <c r="G471" s="266"/>
      <c r="H471" s="315" t="s">
        <v>16</v>
      </c>
      <c r="I471" s="48">
        <v>0</v>
      </c>
      <c r="J471" s="68">
        <v>0</v>
      </c>
      <c r="K471" s="49">
        <f t="shared" si="106"/>
        <v>0</v>
      </c>
      <c r="L471" s="61"/>
      <c r="M471" s="61"/>
      <c r="N471" s="61"/>
    </row>
    <row r="472" spans="1:14" ht="21.75" customHeight="1" x14ac:dyDescent="0.4">
      <c r="A472" s="55"/>
      <c r="B472" s="56"/>
      <c r="C472" s="56"/>
      <c r="D472" s="75"/>
      <c r="E472" s="75"/>
      <c r="F472" s="74" t="s">
        <v>195</v>
      </c>
      <c r="G472" s="266"/>
      <c r="H472" s="315" t="s">
        <v>16</v>
      </c>
      <c r="I472" s="48">
        <v>0</v>
      </c>
      <c r="J472" s="68">
        <v>0</v>
      </c>
      <c r="K472" s="49">
        <f t="shared" si="106"/>
        <v>0</v>
      </c>
      <c r="L472" s="61"/>
      <c r="M472" s="61"/>
      <c r="N472" s="61"/>
    </row>
    <row r="473" spans="1:14" ht="21.75" customHeight="1" x14ac:dyDescent="0.4">
      <c r="A473" s="222"/>
      <c r="B473" s="223">
        <v>9</v>
      </c>
      <c r="C473" s="224" t="s">
        <v>196</v>
      </c>
      <c r="D473" s="224"/>
      <c r="E473" s="224"/>
      <c r="F473" s="224"/>
      <c r="G473" s="225"/>
      <c r="H473" s="226" t="s">
        <v>16</v>
      </c>
      <c r="I473" s="227">
        <f ca="1">I484</f>
        <v>200</v>
      </c>
      <c r="J473" s="227">
        <f ca="1">J488</f>
        <v>1</v>
      </c>
      <c r="K473" s="228">
        <f ca="1">IF(I473&gt;0,J473*100/I473,0)</f>
        <v>0.5</v>
      </c>
      <c r="L473" s="229">
        <f ca="1">SUM(L474,L475)</f>
        <v>352400</v>
      </c>
      <c r="M473" s="229">
        <f>SUM(M474:M475)</f>
        <v>7451.64</v>
      </c>
      <c r="N473" s="229">
        <f t="shared" ref="N473:N477" ca="1" si="107">+IF(L473&gt;0,M473*100/L473,0)</f>
        <v>2.1145402951191827</v>
      </c>
    </row>
    <row r="474" spans="1:14" ht="21.75" customHeight="1" x14ac:dyDescent="0.4">
      <c r="A474" s="42"/>
      <c r="B474" s="43"/>
      <c r="C474" s="43" t="s">
        <v>17</v>
      </c>
      <c r="D474" s="44" t="s">
        <v>18</v>
      </c>
      <c r="E474" s="45"/>
      <c r="F474" s="45"/>
      <c r="G474" s="46" t="s">
        <v>19</v>
      </c>
      <c r="H474" s="47" t="s">
        <v>20</v>
      </c>
      <c r="I474" s="48" t="s">
        <v>21</v>
      </c>
      <c r="J474" s="48"/>
      <c r="K474" s="49"/>
      <c r="L474" s="50">
        <v>0</v>
      </c>
      <c r="M474" s="53">
        <v>0</v>
      </c>
      <c r="N474" s="53">
        <f t="shared" si="107"/>
        <v>0</v>
      </c>
    </row>
    <row r="475" spans="1:14" ht="21.75" customHeight="1" x14ac:dyDescent="0.4">
      <c r="A475" s="42"/>
      <c r="B475" s="43"/>
      <c r="C475" s="43"/>
      <c r="D475" s="51"/>
      <c r="E475" s="45"/>
      <c r="F475" s="45" t="s">
        <v>21</v>
      </c>
      <c r="G475" s="46" t="s">
        <v>22</v>
      </c>
      <c r="H475" s="47" t="s">
        <v>20</v>
      </c>
      <c r="I475" s="48"/>
      <c r="J475" s="48"/>
      <c r="K475" s="49"/>
      <c r="L475" s="50">
        <f t="shared" ref="L475:M475" ca="1" si="108">SUM(L476:L477)</f>
        <v>352400</v>
      </c>
      <c r="M475" s="53">
        <f t="shared" si="108"/>
        <v>7451.64</v>
      </c>
      <c r="N475" s="53">
        <f t="shared" ca="1" si="107"/>
        <v>2.1145402951191827</v>
      </c>
    </row>
    <row r="476" spans="1:14" ht="21.75" customHeight="1" x14ac:dyDescent="0.4">
      <c r="A476" s="42"/>
      <c r="B476" s="43"/>
      <c r="C476" s="43"/>
      <c r="D476" s="51"/>
      <c r="E476" s="45"/>
      <c r="F476" s="45"/>
      <c r="G476" s="52" t="s">
        <v>110</v>
      </c>
      <c r="H476" s="47" t="s">
        <v>20</v>
      </c>
      <c r="I476" s="48"/>
      <c r="J476" s="48"/>
      <c r="K476" s="49"/>
      <c r="L476" s="53">
        <f ca="1">IFERROR(__xludf.DUMMYFUNCTION("IMPORTRANGE(""https://docs.google.com/spreadsheets/d/1C3CXT74ZlgGe6_JY_1olB1XN4rF0dxEuIIF-xsYjHgg/edit?usp=sharing"",""งบกองทุน!Ek27"")"),0)</f>
        <v>0</v>
      </c>
      <c r="M476" s="53">
        <v>0</v>
      </c>
      <c r="N476" s="53">
        <f t="shared" ca="1" si="107"/>
        <v>0</v>
      </c>
    </row>
    <row r="477" spans="1:14" ht="21.75" customHeight="1" x14ac:dyDescent="0.4">
      <c r="A477" s="42"/>
      <c r="B477" s="43"/>
      <c r="C477" s="43"/>
      <c r="D477" s="51"/>
      <c r="E477" s="45"/>
      <c r="F477" s="45"/>
      <c r="G477" s="52" t="s">
        <v>111</v>
      </c>
      <c r="H477" s="47" t="s">
        <v>20</v>
      </c>
      <c r="I477" s="48"/>
      <c r="J477" s="48"/>
      <c r="K477" s="49"/>
      <c r="L477" s="53">
        <f ca="1">IFERROR(__xludf.DUMMYFUNCTION("IMPORTRANGE(""https://docs.google.com/spreadsheets/d/1C3CXT74ZlgGe6_JY_1olB1XN4rF0dxEuIIF-xsYjHgg/edit?usp=sharing"",""งบกองทุน!El27"")"),352400)</f>
        <v>352400</v>
      </c>
      <c r="M477" s="53">
        <f>SUM(M478:M481)</f>
        <v>7451.64</v>
      </c>
      <c r="N477" s="53">
        <f t="shared" ca="1" si="107"/>
        <v>2.1145402951191827</v>
      </c>
    </row>
    <row r="478" spans="1:14" ht="21.75" customHeight="1" x14ac:dyDescent="0.4">
      <c r="A478" s="230"/>
      <c r="B478" s="231"/>
      <c r="C478" s="43"/>
      <c r="D478" s="232"/>
      <c r="E478" s="45"/>
      <c r="F478" s="45"/>
      <c r="G478" s="46" t="s">
        <v>112</v>
      </c>
      <c r="H478" s="47" t="s">
        <v>20</v>
      </c>
      <c r="I478" s="67"/>
      <c r="J478" s="67"/>
      <c r="K478" s="233"/>
      <c r="L478" s="53"/>
      <c r="M478" s="53">
        <v>0</v>
      </c>
      <c r="N478" s="53"/>
    </row>
    <row r="479" spans="1:14" ht="21.75" customHeight="1" x14ac:dyDescent="0.4">
      <c r="A479" s="230"/>
      <c r="B479" s="231"/>
      <c r="C479" s="43"/>
      <c r="D479" s="232"/>
      <c r="E479" s="45"/>
      <c r="F479" s="45"/>
      <c r="G479" s="46" t="s">
        <v>113</v>
      </c>
      <c r="H479" s="47" t="s">
        <v>20</v>
      </c>
      <c r="I479" s="67"/>
      <c r="J479" s="67"/>
      <c r="K479" s="233"/>
      <c r="L479" s="53"/>
      <c r="M479" s="53">
        <v>0</v>
      </c>
      <c r="N479" s="53"/>
    </row>
    <row r="480" spans="1:14" ht="21.75" customHeight="1" x14ac:dyDescent="0.4">
      <c r="A480" s="230"/>
      <c r="B480" s="231"/>
      <c r="C480" s="43"/>
      <c r="D480" s="232"/>
      <c r="E480" s="45"/>
      <c r="F480" s="45"/>
      <c r="G480" s="46" t="s">
        <v>114</v>
      </c>
      <c r="H480" s="47" t="s">
        <v>20</v>
      </c>
      <c r="I480" s="67"/>
      <c r="J480" s="67"/>
      <c r="K480" s="233"/>
      <c r="L480" s="53"/>
      <c r="M480" s="54">
        <v>7451.64</v>
      </c>
      <c r="N480" s="53"/>
    </row>
    <row r="481" spans="1:14" ht="21.75" customHeight="1" x14ac:dyDescent="0.4">
      <c r="A481" s="230"/>
      <c r="B481" s="231"/>
      <c r="C481" s="43"/>
      <c r="D481" s="232"/>
      <c r="E481" s="45"/>
      <c r="F481" s="45"/>
      <c r="G481" s="46" t="s">
        <v>115</v>
      </c>
      <c r="H481" s="47" t="s">
        <v>20</v>
      </c>
      <c r="I481" s="67"/>
      <c r="J481" s="67"/>
      <c r="K481" s="233"/>
      <c r="L481" s="53"/>
      <c r="M481" s="54">
        <v>0</v>
      </c>
      <c r="N481" s="53"/>
    </row>
    <row r="482" spans="1:14" ht="21.75" customHeight="1" x14ac:dyDescent="0.4">
      <c r="A482" s="316"/>
      <c r="B482" s="51"/>
      <c r="C482" s="43"/>
      <c r="D482" s="155"/>
      <c r="E482" s="74" t="s">
        <v>197</v>
      </c>
      <c r="F482" s="75"/>
      <c r="G482" s="76"/>
      <c r="H482" s="60" t="s">
        <v>15</v>
      </c>
      <c r="I482" s="200">
        <f ca="1">IFERROR(__xludf.DUMMYFUNCTION("IMPORTRANGE(""https://docs.google.com/spreadsheets/d/1C3CXT74ZlgGe6_JY_1olB1XN4rF0dxEuIIF-xsYjHgg/edit?usp=sharing"",""งบกองทุน!Em27"")"),200)</f>
        <v>200</v>
      </c>
      <c r="J482" s="67">
        <f ca="1">IFERROR(__xludf.DUMMYFUNCTION("IMPORTRANGE(""https://docs.google.com/spreadsheets/d/1AGHcLOeeYFL3K4b9R1dSzyJy00PE_ra89DNTVfnxSWM/edit?usp=sharing"",""รวมที่ชุมชน!G16"")"),0)</f>
        <v>0</v>
      </c>
      <c r="K482" s="49">
        <f t="shared" ref="K482:K489" ca="1" si="109">IF(I482&gt;0,J482*100/I482,0)</f>
        <v>0</v>
      </c>
      <c r="L482" s="61"/>
      <c r="M482" s="61"/>
      <c r="N482" s="61"/>
    </row>
    <row r="483" spans="1:14" ht="21.75" customHeight="1" x14ac:dyDescent="0.4">
      <c r="A483" s="316"/>
      <c r="B483" s="51"/>
      <c r="C483" s="43"/>
      <c r="D483" s="155"/>
      <c r="E483" s="75"/>
      <c r="F483" s="75"/>
      <c r="G483" s="76"/>
      <c r="H483" s="60" t="s">
        <v>103</v>
      </c>
      <c r="I483" s="200">
        <f ca="1">IFERROR(__xludf.DUMMYFUNCTION("IMPORTRANGE(""https://docs.google.com/spreadsheets/d/1C3CXT74ZlgGe6_JY_1olB1XN4rF0dxEuIIF-xsYjHgg/edit?usp=sharing"",""งบกองทุน!En27"")"),0)</f>
        <v>0</v>
      </c>
      <c r="J483" s="67">
        <f ca="1">IFERROR(__xludf.DUMMYFUNCTION("IMPORTRANGE(""https://docs.google.com/spreadsheets/d/1AGHcLOeeYFL3K4b9R1dSzyJy00PE_ra89DNTVfnxSWM/edit?usp=sharing"",""รวมที่ชุมชน!H16"")"),0)</f>
        <v>0</v>
      </c>
      <c r="K483" s="49">
        <f t="shared" ca="1" si="109"/>
        <v>0</v>
      </c>
      <c r="L483" s="61"/>
      <c r="M483" s="61"/>
      <c r="N483" s="61"/>
    </row>
    <row r="484" spans="1:14" ht="21.75" customHeight="1" x14ac:dyDescent="0.4">
      <c r="A484" s="316"/>
      <c r="B484" s="51"/>
      <c r="C484" s="43"/>
      <c r="D484" s="155"/>
      <c r="E484" s="74" t="s">
        <v>104</v>
      </c>
      <c r="F484" s="75"/>
      <c r="G484" s="76"/>
      <c r="H484" s="60" t="s">
        <v>16</v>
      </c>
      <c r="I484" s="200">
        <f ca="1">IFERROR(__xludf.DUMMYFUNCTION("IMPORTRANGE(""https://docs.google.com/spreadsheets/d/1C3CXT74ZlgGe6_JY_1olB1XN4rF0dxEuIIF-xsYjHgg/edit?usp=sharing"",""งบกองทุน!Eo27"")"),200)</f>
        <v>200</v>
      </c>
      <c r="J484" s="67">
        <f ca="1">IFERROR(__xludf.DUMMYFUNCTION("IMPORTRANGE(""https://docs.google.com/spreadsheets/d/1AGHcLOeeYFL3K4b9R1dSzyJy00PE_ra89DNTVfnxSWM/edit?usp=sharing"",""รวมที่ชุมชน!J16"")"),1)</f>
        <v>1</v>
      </c>
      <c r="K484" s="49">
        <f t="shared" ca="1" si="109"/>
        <v>0.5</v>
      </c>
      <c r="L484" s="61"/>
      <c r="M484" s="61"/>
      <c r="N484" s="61"/>
    </row>
    <row r="485" spans="1:14" ht="21.75" customHeight="1" x14ac:dyDescent="0.4">
      <c r="A485" s="316"/>
      <c r="B485" s="51"/>
      <c r="C485" s="43"/>
      <c r="D485" s="155"/>
      <c r="E485" s="75"/>
      <c r="F485" s="75"/>
      <c r="G485" s="76"/>
      <c r="H485" s="60" t="s">
        <v>103</v>
      </c>
      <c r="I485" s="200">
        <f ca="1">IFERROR(__xludf.DUMMYFUNCTION("IMPORTRANGE(""https://docs.google.com/spreadsheets/d/1C3CXT74ZlgGe6_JY_1olB1XN4rF0dxEuIIF-xsYjHgg/edit?usp=sharing"",""งบกองทุน!Ep27"")"),0)</f>
        <v>0</v>
      </c>
      <c r="J485" s="67">
        <f ca="1">IFERROR(__xludf.DUMMYFUNCTION("IMPORTRANGE(""https://docs.google.com/spreadsheets/d/1AGHcLOeeYFL3K4b9R1dSzyJy00PE_ra89DNTVfnxSWM/edit?usp=sharing"",""รวมที่ชุมชน!L16"")"),0.6)</f>
        <v>0.6</v>
      </c>
      <c r="K485" s="49">
        <f t="shared" ca="1" si="109"/>
        <v>0</v>
      </c>
      <c r="L485" s="61"/>
      <c r="M485" s="61"/>
      <c r="N485" s="61"/>
    </row>
    <row r="486" spans="1:14" ht="21.75" customHeight="1" x14ac:dyDescent="0.4">
      <c r="A486" s="316"/>
      <c r="B486" s="51"/>
      <c r="C486" s="43"/>
      <c r="D486" s="155"/>
      <c r="E486" s="74" t="s">
        <v>105</v>
      </c>
      <c r="F486" s="75"/>
      <c r="G486" s="76"/>
      <c r="H486" s="60" t="s">
        <v>16</v>
      </c>
      <c r="I486" s="200">
        <f ca="1">IFERROR(__xludf.DUMMYFUNCTION("IMPORTRANGE(""https://docs.google.com/spreadsheets/d/1C3CXT74ZlgGe6_JY_1olB1XN4rF0dxEuIIF-xsYjHgg/edit?usp=sharing"",""งบกองทุน!Eq27"")"),200)</f>
        <v>200</v>
      </c>
      <c r="J486" s="67">
        <f ca="1">IFERROR(__xludf.DUMMYFUNCTION("IMPORTRANGE(""https://docs.google.com/spreadsheets/d/1AGHcLOeeYFL3K4b9R1dSzyJy00PE_ra89DNTVfnxSWM/edit?usp=sharing"",""รวมที่ชุมชน!S16"")"),0)</f>
        <v>0</v>
      </c>
      <c r="K486" s="49">
        <f t="shared" ca="1" si="109"/>
        <v>0</v>
      </c>
      <c r="L486" s="61"/>
      <c r="M486" s="61"/>
      <c r="N486" s="61"/>
    </row>
    <row r="487" spans="1:14" ht="21.75" customHeight="1" x14ac:dyDescent="0.4">
      <c r="A487" s="316"/>
      <c r="B487" s="51"/>
      <c r="C487" s="43"/>
      <c r="D487" s="155"/>
      <c r="E487" s="75"/>
      <c r="F487" s="75"/>
      <c r="G487" s="76"/>
      <c r="H487" s="60" t="s">
        <v>103</v>
      </c>
      <c r="I487" s="200">
        <f ca="1">IFERROR(__xludf.DUMMYFUNCTION("IMPORTRANGE(""https://docs.google.com/spreadsheets/d/1C3CXT74ZlgGe6_JY_1olB1XN4rF0dxEuIIF-xsYjHgg/edit?usp=sharing"",""งบกองทุน!Er27"")"),0)</f>
        <v>0</v>
      </c>
      <c r="J487" s="67">
        <f ca="1">IFERROR(__xludf.DUMMYFUNCTION("IMPORTRANGE(""https://docs.google.com/spreadsheets/d/1AGHcLOeeYFL3K4b9R1dSzyJy00PE_ra89DNTVfnxSWM/edit?usp=sharing"",""รวมที่ชุมชน!U16"")"),0)</f>
        <v>0</v>
      </c>
      <c r="K487" s="49">
        <f t="shared" ca="1" si="109"/>
        <v>0</v>
      </c>
      <c r="L487" s="61"/>
      <c r="M487" s="61"/>
      <c r="N487" s="61"/>
    </row>
    <row r="488" spans="1:14" ht="21.75" customHeight="1" x14ac:dyDescent="0.4">
      <c r="A488" s="316"/>
      <c r="B488" s="51"/>
      <c r="C488" s="43"/>
      <c r="D488" s="155"/>
      <c r="E488" s="74" t="s">
        <v>106</v>
      </c>
      <c r="F488" s="75"/>
      <c r="G488" s="76"/>
      <c r="H488" s="60" t="s">
        <v>16</v>
      </c>
      <c r="I488" s="200">
        <f ca="1">IFERROR(__xludf.DUMMYFUNCTION("IMPORTRANGE(""https://docs.google.com/spreadsheets/d/1C3CXT74ZlgGe6_JY_1olB1XN4rF0dxEuIIF-xsYjHgg/edit?usp=sharing"",""งบกองทุน!Es27"")"),200)</f>
        <v>200</v>
      </c>
      <c r="J488" s="67">
        <f ca="1">IFERROR(__xludf.DUMMYFUNCTION("IMPORTRANGE(""https://docs.google.com/spreadsheets/d/1AGHcLOeeYFL3K4b9R1dSzyJy00PE_ra89DNTVfnxSWM/edit?usp=sharing"",""รวมที่ชุมชน!V16"")"),1)</f>
        <v>1</v>
      </c>
      <c r="K488" s="49">
        <f t="shared" ca="1" si="109"/>
        <v>0.5</v>
      </c>
      <c r="L488" s="61"/>
      <c r="M488" s="61"/>
      <c r="N488" s="61"/>
    </row>
    <row r="489" spans="1:14" ht="21.75" customHeight="1" x14ac:dyDescent="0.4">
      <c r="A489" s="317"/>
      <c r="B489" s="318"/>
      <c r="C489" s="319"/>
      <c r="D489" s="320"/>
      <c r="E489" s="295"/>
      <c r="F489" s="295"/>
      <c r="G489" s="296"/>
      <c r="H489" s="321" t="s">
        <v>103</v>
      </c>
      <c r="I489" s="322">
        <f ca="1">IFERROR(__xludf.DUMMYFUNCTION("IMPORTRANGE(""https://docs.google.com/spreadsheets/d/1C3CXT74ZlgGe6_JY_1olB1XN4rF0dxEuIIF-xsYjHgg/edit?usp=sharing"",""งบกองทุน!Et27"")"),0)</f>
        <v>0</v>
      </c>
      <c r="J489" s="112">
        <f ca="1">IFERROR(__xludf.DUMMYFUNCTION("IMPORTRANGE(""https://docs.google.com/spreadsheets/d/1AGHcLOeeYFL3K4b9R1dSzyJy00PE_ra89DNTVfnxSWM/edit?usp=sharing"",""รวมที่ชุมชน!X16"")"),0.6)</f>
        <v>0.6</v>
      </c>
      <c r="K489" s="114">
        <f t="shared" ca="1" si="109"/>
        <v>0</v>
      </c>
      <c r="L489" s="300"/>
      <c r="M489" s="300"/>
      <c r="N489" s="300"/>
    </row>
    <row r="490" spans="1:14" ht="21.75" customHeight="1" x14ac:dyDescent="0.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10">I504</f>
        <v>50</v>
      </c>
      <c r="J490" s="375">
        <f t="shared" si="110"/>
        <v>0</v>
      </c>
      <c r="K490" s="301">
        <f ca="1">IF(I490&gt;0,J490*100/I490,0)</f>
        <v>0</v>
      </c>
      <c r="L490" s="259">
        <f ca="1">SUM(L491,L492)</f>
        <v>4550</v>
      </c>
      <c r="M490" s="259">
        <f>SUM(M491:M492)</f>
        <v>0</v>
      </c>
      <c r="N490" s="259">
        <f t="shared" ref="N490:N494" ca="1" si="111">+IF(L490&gt;0,M490*100/L490,0)</f>
        <v>0</v>
      </c>
    </row>
    <row r="491" spans="1:14" ht="21.75" customHeight="1" x14ac:dyDescent="0.4">
      <c r="A491" s="42"/>
      <c r="B491" s="43"/>
      <c r="C491" s="43" t="s">
        <v>17</v>
      </c>
      <c r="D491" s="44" t="s">
        <v>18</v>
      </c>
      <c r="E491" s="45"/>
      <c r="F491" s="45"/>
      <c r="G491" s="46" t="s">
        <v>19</v>
      </c>
      <c r="H491" s="47" t="s">
        <v>20</v>
      </c>
      <c r="I491" s="48" t="s">
        <v>21</v>
      </c>
      <c r="J491" s="48"/>
      <c r="K491" s="49"/>
      <c r="L491" s="50">
        <v>0</v>
      </c>
      <c r="M491" s="53">
        <v>0</v>
      </c>
      <c r="N491" s="53">
        <f t="shared" si="111"/>
        <v>0</v>
      </c>
    </row>
    <row r="492" spans="1:14" ht="21.75" customHeight="1" x14ac:dyDescent="0.4">
      <c r="A492" s="42"/>
      <c r="B492" s="43"/>
      <c r="C492" s="43"/>
      <c r="D492" s="51"/>
      <c r="E492" s="45"/>
      <c r="F492" s="45" t="s">
        <v>21</v>
      </c>
      <c r="G492" s="46" t="s">
        <v>22</v>
      </c>
      <c r="H492" s="47" t="s">
        <v>20</v>
      </c>
      <c r="I492" s="48"/>
      <c r="J492" s="48"/>
      <c r="K492" s="49"/>
      <c r="L492" s="50">
        <f t="shared" ref="L492:M492" ca="1" si="112">SUM(L493:L494)</f>
        <v>4550</v>
      </c>
      <c r="M492" s="53">
        <f t="shared" si="112"/>
        <v>0</v>
      </c>
      <c r="N492" s="53">
        <f t="shared" ca="1" si="111"/>
        <v>0</v>
      </c>
    </row>
    <row r="493" spans="1:14" ht="21.75" customHeight="1" x14ac:dyDescent="0.4">
      <c r="A493" s="42"/>
      <c r="B493" s="43"/>
      <c r="C493" s="43"/>
      <c r="D493" s="51"/>
      <c r="E493" s="45"/>
      <c r="F493" s="45"/>
      <c r="G493" s="52" t="s">
        <v>110</v>
      </c>
      <c r="H493" s="47" t="s">
        <v>20</v>
      </c>
      <c r="I493" s="48"/>
      <c r="J493" s="48"/>
      <c r="K493" s="49"/>
      <c r="L493" s="53">
        <f ca="1">IFERROR(__xludf.DUMMYFUNCTION("IMPORTRANGE(""https://docs.google.com/spreadsheets/d/1C3CXT74ZlgGe6_JY_1olB1XN4rF0dxEuIIF-xsYjHgg/edit?usp=sharing"",""งบกองทุน!Ev27"")"),0)</f>
        <v>0</v>
      </c>
      <c r="M493" s="53">
        <v>0</v>
      </c>
      <c r="N493" s="53">
        <f t="shared" ca="1" si="111"/>
        <v>0</v>
      </c>
    </row>
    <row r="494" spans="1:14" ht="21.75" customHeight="1" x14ac:dyDescent="0.4">
      <c r="A494" s="42"/>
      <c r="B494" s="43"/>
      <c r="C494" s="43"/>
      <c r="D494" s="51"/>
      <c r="E494" s="45"/>
      <c r="F494" s="45"/>
      <c r="G494" s="52" t="s">
        <v>111</v>
      </c>
      <c r="H494" s="47" t="s">
        <v>20</v>
      </c>
      <c r="I494" s="48"/>
      <c r="J494" s="48"/>
      <c r="K494" s="49"/>
      <c r="L494" s="53">
        <f ca="1">IFERROR(__xludf.DUMMYFUNCTION("IMPORTRANGE(""https://docs.google.com/spreadsheets/d/1C3CXT74ZlgGe6_JY_1olB1XN4rF0dxEuIIF-xsYjHgg/edit?usp=sharing"",""งบกองทุน!Ew27"")"),4550)</f>
        <v>4550</v>
      </c>
      <c r="M494" s="53">
        <f>SUM(M495:M498)</f>
        <v>0</v>
      </c>
      <c r="N494" s="53">
        <f t="shared" ca="1" si="111"/>
        <v>0</v>
      </c>
    </row>
    <row r="495" spans="1:14" ht="21.75" customHeight="1" x14ac:dyDescent="0.4">
      <c r="A495" s="230"/>
      <c r="B495" s="231"/>
      <c r="C495" s="43"/>
      <c r="D495" s="232"/>
      <c r="E495" s="45"/>
      <c r="F495" s="45"/>
      <c r="G495" s="46" t="s">
        <v>112</v>
      </c>
      <c r="H495" s="47" t="s">
        <v>20</v>
      </c>
      <c r="I495" s="67"/>
      <c r="J495" s="67"/>
      <c r="K495" s="233"/>
      <c r="L495" s="53"/>
      <c r="M495" s="53">
        <v>0</v>
      </c>
      <c r="N495" s="53"/>
    </row>
    <row r="496" spans="1:14" ht="21.75" customHeight="1" x14ac:dyDescent="0.4">
      <c r="A496" s="230"/>
      <c r="B496" s="231"/>
      <c r="C496" s="43"/>
      <c r="D496" s="232"/>
      <c r="E496" s="45"/>
      <c r="F496" s="45"/>
      <c r="G496" s="46" t="s">
        <v>113</v>
      </c>
      <c r="H496" s="47" t="s">
        <v>20</v>
      </c>
      <c r="I496" s="67"/>
      <c r="J496" s="67"/>
      <c r="K496" s="233"/>
      <c r="L496" s="53"/>
      <c r="M496" s="53">
        <v>0</v>
      </c>
      <c r="N496" s="53"/>
    </row>
    <row r="497" spans="1:14" ht="21.75" customHeight="1" x14ac:dyDescent="0.4">
      <c r="A497" s="230"/>
      <c r="B497" s="231"/>
      <c r="C497" s="43"/>
      <c r="D497" s="232"/>
      <c r="E497" s="45"/>
      <c r="F497" s="45"/>
      <c r="G497" s="46" t="s">
        <v>114</v>
      </c>
      <c r="H497" s="47" t="s">
        <v>20</v>
      </c>
      <c r="I497" s="67"/>
      <c r="J497" s="67"/>
      <c r="K497" s="233"/>
      <c r="L497" s="53"/>
      <c r="M497" s="54">
        <v>0</v>
      </c>
      <c r="N497" s="53"/>
    </row>
    <row r="498" spans="1:14" ht="21.75" customHeight="1" x14ac:dyDescent="0.4">
      <c r="A498" s="230"/>
      <c r="B498" s="231"/>
      <c r="C498" s="43"/>
      <c r="D498" s="232"/>
      <c r="E498" s="45"/>
      <c r="F498" s="45"/>
      <c r="G498" s="46" t="s">
        <v>115</v>
      </c>
      <c r="H498" s="47" t="s">
        <v>20</v>
      </c>
      <c r="I498" s="67"/>
      <c r="J498" s="67"/>
      <c r="K498" s="233"/>
      <c r="L498" s="53"/>
      <c r="M498" s="54">
        <v>0</v>
      </c>
      <c r="N498" s="53"/>
    </row>
    <row r="499" spans="1:14" ht="21.75" customHeight="1" x14ac:dyDescent="0.4">
      <c r="A499" s="55"/>
      <c r="B499" s="56"/>
      <c r="C499" s="43" t="s">
        <v>17</v>
      </c>
      <c r="D499" s="57" t="s">
        <v>25</v>
      </c>
      <c r="E499" s="58"/>
      <c r="F499" s="58"/>
      <c r="G499" s="59"/>
      <c r="H499" s="60"/>
      <c r="I499" s="48"/>
      <c r="J499" s="48"/>
      <c r="K499" s="49"/>
      <c r="L499" s="61"/>
      <c r="M499" s="61"/>
      <c r="N499" s="61"/>
    </row>
    <row r="500" spans="1:14" ht="21.75" customHeight="1" x14ac:dyDescent="0.4">
      <c r="A500" s="55"/>
      <c r="B500" s="56"/>
      <c r="C500" s="56"/>
      <c r="D500" s="62">
        <v>1</v>
      </c>
      <c r="E500" s="63" t="s">
        <v>26</v>
      </c>
      <c r="F500" s="64"/>
      <c r="G500" s="65"/>
      <c r="H500" s="66"/>
      <c r="I500" s="67"/>
      <c r="J500" s="68">
        <v>0</v>
      </c>
      <c r="K500" s="49"/>
      <c r="L500" s="61"/>
      <c r="M500" s="61"/>
      <c r="N500" s="61"/>
    </row>
    <row r="501" spans="1:14" ht="21.75" customHeight="1" x14ac:dyDescent="0.4">
      <c r="A501" s="55"/>
      <c r="B501" s="56"/>
      <c r="C501" s="56"/>
      <c r="D501" s="69">
        <v>2</v>
      </c>
      <c r="E501" s="70" t="s">
        <v>27</v>
      </c>
      <c r="F501" s="71"/>
      <c r="G501" s="72"/>
      <c r="H501" s="66"/>
      <c r="I501" s="67"/>
      <c r="J501" s="68">
        <v>0</v>
      </c>
      <c r="K501" s="49"/>
      <c r="L501" s="61" t="s">
        <v>21</v>
      </c>
      <c r="M501" s="61" t="s">
        <v>21</v>
      </c>
      <c r="N501" s="61"/>
    </row>
    <row r="502" spans="1:14" ht="21.75" hidden="1" customHeight="1" x14ac:dyDescent="0.4">
      <c r="A502" s="376"/>
      <c r="B502" s="377"/>
      <c r="C502" s="377"/>
      <c r="D502" s="378"/>
      <c r="E502" s="379" t="s">
        <v>28</v>
      </c>
      <c r="F502" s="380"/>
      <c r="G502" s="381"/>
      <c r="H502" s="330"/>
      <c r="I502" s="331"/>
      <c r="J502" s="331">
        <v>0</v>
      </c>
      <c r="K502" s="382"/>
      <c r="L502" s="383"/>
      <c r="M502" s="383"/>
      <c r="N502" s="383"/>
    </row>
    <row r="503" spans="1:14" ht="21.75" hidden="1" customHeight="1" x14ac:dyDescent="0.4">
      <c r="A503" s="376"/>
      <c r="B503" s="377"/>
      <c r="C503" s="377"/>
      <c r="D503" s="378"/>
      <c r="E503" s="379" t="s">
        <v>29</v>
      </c>
      <c r="F503" s="380"/>
      <c r="G503" s="381"/>
      <c r="H503" s="330"/>
      <c r="I503" s="331"/>
      <c r="J503" s="331">
        <v>0</v>
      </c>
      <c r="K503" s="382"/>
      <c r="L503" s="383"/>
      <c r="M503" s="383"/>
      <c r="N503" s="383"/>
    </row>
    <row r="504" spans="1:14" ht="21.75" customHeight="1" x14ac:dyDescent="0.4">
      <c r="A504" s="55"/>
      <c r="B504" s="56"/>
      <c r="C504" s="56"/>
      <c r="D504" s="73"/>
      <c r="E504" s="75"/>
      <c r="F504" s="75" t="s">
        <v>199</v>
      </c>
      <c r="G504" s="76"/>
      <c r="H504" s="60" t="s">
        <v>103</v>
      </c>
      <c r="I504" s="67">
        <f ca="1">IFERROR(__xludf.DUMMYFUNCTION("IMPORTRANGE(""https://docs.google.com/spreadsheets/d/1C3CXT74ZlgGe6_JY_1olB1XN4rF0dxEuIIF-xsYjHgg/edit?usp=sharing"",""งบกองทุน!EZ27"")"),50)</f>
        <v>50</v>
      </c>
      <c r="J504" s="48">
        <f>+J510</f>
        <v>0</v>
      </c>
      <c r="K504" s="49">
        <f t="shared" ref="K504:K512" ca="1" si="113">IF(I$504&gt;0,J504*100/I$504,0)</f>
        <v>0</v>
      </c>
      <c r="L504" s="61"/>
      <c r="M504" s="61"/>
      <c r="N504" s="61"/>
    </row>
    <row r="505" spans="1:14" ht="21.75" customHeight="1" x14ac:dyDescent="0.4">
      <c r="A505" s="55"/>
      <c r="B505" s="56"/>
      <c r="C505" s="56"/>
      <c r="D505" s="73"/>
      <c r="E505" s="77"/>
      <c r="F505" s="75"/>
      <c r="G505" s="99" t="s">
        <v>200</v>
      </c>
      <c r="H505" s="60" t="s">
        <v>103</v>
      </c>
      <c r="I505" s="67">
        <v>0</v>
      </c>
      <c r="J505" s="68">
        <v>0</v>
      </c>
      <c r="K505" s="49">
        <f t="shared" ca="1" si="113"/>
        <v>0</v>
      </c>
      <c r="L505" s="61"/>
      <c r="M505" s="61"/>
      <c r="N505" s="61"/>
    </row>
    <row r="506" spans="1:14" ht="21.75" customHeight="1" x14ac:dyDescent="0.4">
      <c r="A506" s="55"/>
      <c r="B506" s="56"/>
      <c r="C506" s="56"/>
      <c r="D506" s="73"/>
      <c r="E506" s="77"/>
      <c r="F506" s="75"/>
      <c r="G506" s="99" t="s">
        <v>201</v>
      </c>
      <c r="H506" s="60" t="s">
        <v>103</v>
      </c>
      <c r="I506" s="67">
        <v>0</v>
      </c>
      <c r="J506" s="68">
        <v>0</v>
      </c>
      <c r="K506" s="49">
        <f t="shared" ca="1" si="113"/>
        <v>0</v>
      </c>
      <c r="L506" s="61"/>
      <c r="M506" s="61"/>
      <c r="N506" s="61"/>
    </row>
    <row r="507" spans="1:14" ht="21.75" customHeight="1" x14ac:dyDescent="0.4">
      <c r="A507" s="55"/>
      <c r="B507" s="56"/>
      <c r="C507" s="56"/>
      <c r="D507" s="73"/>
      <c r="E507" s="77"/>
      <c r="F507" s="75"/>
      <c r="G507" s="99" t="s">
        <v>202</v>
      </c>
      <c r="H507" s="60" t="s">
        <v>103</v>
      </c>
      <c r="I507" s="67">
        <v>0</v>
      </c>
      <c r="J507" s="68">
        <v>0</v>
      </c>
      <c r="K507" s="49">
        <f t="shared" ca="1" si="113"/>
        <v>0</v>
      </c>
      <c r="L507" s="61"/>
      <c r="M507" s="61"/>
      <c r="N507" s="61"/>
    </row>
    <row r="508" spans="1:14" ht="21.75" customHeight="1" x14ac:dyDescent="0.4">
      <c r="A508" s="55"/>
      <c r="B508" s="56"/>
      <c r="C508" s="56"/>
      <c r="D508" s="73"/>
      <c r="E508" s="77"/>
      <c r="F508" s="75"/>
      <c r="G508" s="99" t="s">
        <v>203</v>
      </c>
      <c r="H508" s="60" t="s">
        <v>103</v>
      </c>
      <c r="I508" s="67">
        <v>0</v>
      </c>
      <c r="J508" s="68">
        <v>0</v>
      </c>
      <c r="K508" s="49">
        <f t="shared" ca="1" si="113"/>
        <v>0</v>
      </c>
      <c r="L508" s="61"/>
      <c r="M508" s="61"/>
      <c r="N508" s="61"/>
    </row>
    <row r="509" spans="1:14" ht="21.75" customHeight="1" x14ac:dyDescent="0.4">
      <c r="A509" s="55"/>
      <c r="B509" s="56"/>
      <c r="C509" s="56"/>
      <c r="D509" s="73"/>
      <c r="E509" s="77"/>
      <c r="F509" s="75"/>
      <c r="G509" s="74" t="s">
        <v>204</v>
      </c>
      <c r="H509" s="60" t="s">
        <v>103</v>
      </c>
      <c r="I509" s="67">
        <v>0</v>
      </c>
      <c r="J509" s="68">
        <v>0</v>
      </c>
      <c r="K509" s="49">
        <f t="shared" ca="1" si="113"/>
        <v>0</v>
      </c>
      <c r="L509" s="61"/>
      <c r="M509" s="61"/>
      <c r="N509" s="61"/>
    </row>
    <row r="510" spans="1:14" ht="21.75" customHeight="1" x14ac:dyDescent="0.4">
      <c r="A510" s="55"/>
      <c r="B510" s="56"/>
      <c r="C510" s="56"/>
      <c r="D510" s="73"/>
      <c r="E510" s="77"/>
      <c r="F510" s="75"/>
      <c r="G510" s="74" t="s">
        <v>205</v>
      </c>
      <c r="H510" s="60" t="s">
        <v>103</v>
      </c>
      <c r="I510" s="67">
        <f t="shared" ref="I510:J510" si="114">I511+I512</f>
        <v>0</v>
      </c>
      <c r="J510" s="67">
        <f t="shared" si="114"/>
        <v>0</v>
      </c>
      <c r="K510" s="49">
        <f t="shared" ca="1" si="113"/>
        <v>0</v>
      </c>
      <c r="L510" s="61"/>
      <c r="M510" s="61"/>
      <c r="N510" s="61"/>
    </row>
    <row r="511" spans="1:14" ht="21.75" customHeight="1" x14ac:dyDescent="0.4">
      <c r="A511" s="55"/>
      <c r="B511" s="56"/>
      <c r="C511" s="56"/>
      <c r="D511" s="73"/>
      <c r="E511" s="77"/>
      <c r="F511" s="75"/>
      <c r="G511" s="334" t="s">
        <v>206</v>
      </c>
      <c r="H511" s="60" t="s">
        <v>103</v>
      </c>
      <c r="I511" s="67">
        <v>0</v>
      </c>
      <c r="J511" s="68">
        <v>0</v>
      </c>
      <c r="K511" s="49">
        <f t="shared" ca="1" si="113"/>
        <v>0</v>
      </c>
      <c r="L511" s="61"/>
      <c r="M511" s="61"/>
      <c r="N511" s="61"/>
    </row>
    <row r="512" spans="1:14" ht="21.75" customHeight="1" x14ac:dyDescent="0.4">
      <c r="A512" s="55"/>
      <c r="B512" s="56"/>
      <c r="C512" s="56"/>
      <c r="D512" s="73"/>
      <c r="E512" s="77"/>
      <c r="F512" s="75"/>
      <c r="G512" s="334" t="s">
        <v>207</v>
      </c>
      <c r="H512" s="60" t="s">
        <v>103</v>
      </c>
      <c r="I512" s="67">
        <v>0</v>
      </c>
      <c r="J512" s="68">
        <v>0</v>
      </c>
      <c r="K512" s="49">
        <f t="shared" ca="1" si="113"/>
        <v>0</v>
      </c>
      <c r="L512" s="61"/>
      <c r="M512" s="61"/>
      <c r="N512" s="61"/>
    </row>
    <row r="513" spans="1:14" ht="21.75" customHeight="1" x14ac:dyDescent="0.4">
      <c r="A513" s="55"/>
      <c r="B513" s="56"/>
      <c r="C513" s="56"/>
      <c r="D513" s="73"/>
      <c r="E513" s="75"/>
      <c r="F513" s="74" t="s">
        <v>208</v>
      </c>
      <c r="G513" s="76"/>
      <c r="H513" s="60" t="s">
        <v>103</v>
      </c>
      <c r="I513" s="67">
        <f ca="1">IFERROR(__xludf.DUMMYFUNCTION("IMPORTRANGE(""https://docs.google.com/spreadsheets/d/1C3CXT74ZlgGe6_JY_1olB1XN4rF0dxEuIIF-xsYjHgg/edit?usp=sharing"",""งบกองทุน!ff27"")"),0)</f>
        <v>0</v>
      </c>
      <c r="J513" s="48">
        <f>J514</f>
        <v>0</v>
      </c>
      <c r="K513" s="49">
        <f t="shared" ref="K513:K519" ca="1" si="115">IF(I$513&gt;0,J513*100/I$513,0)</f>
        <v>0</v>
      </c>
      <c r="L513" s="61"/>
      <c r="M513" s="61"/>
      <c r="N513" s="61"/>
    </row>
    <row r="514" spans="1:14" ht="21.75" customHeight="1" x14ac:dyDescent="0.4">
      <c r="A514" s="55"/>
      <c r="B514" s="56"/>
      <c r="C514" s="56"/>
      <c r="D514" s="73"/>
      <c r="E514" s="77"/>
      <c r="F514" s="75"/>
      <c r="G514" s="99" t="s">
        <v>205</v>
      </c>
      <c r="H514" s="60" t="s">
        <v>103</v>
      </c>
      <c r="I514" s="48">
        <f t="shared" ref="I514:J514" si="116">I515+I516</f>
        <v>0</v>
      </c>
      <c r="J514" s="48">
        <f t="shared" si="116"/>
        <v>0</v>
      </c>
      <c r="K514" s="49">
        <f t="shared" ca="1" si="115"/>
        <v>0</v>
      </c>
      <c r="L514" s="61"/>
      <c r="M514" s="61"/>
      <c r="N514" s="61"/>
    </row>
    <row r="515" spans="1:14" ht="21.75" customHeight="1" x14ac:dyDescent="0.4">
      <c r="A515" s="55"/>
      <c r="B515" s="56"/>
      <c r="C515" s="56"/>
      <c r="D515" s="73"/>
      <c r="E515" s="77"/>
      <c r="F515" s="75"/>
      <c r="G515" s="334" t="s">
        <v>206</v>
      </c>
      <c r="H515" s="60" t="s">
        <v>103</v>
      </c>
      <c r="I515" s="67">
        <v>0</v>
      </c>
      <c r="J515" s="68">
        <v>0</v>
      </c>
      <c r="K515" s="49">
        <f t="shared" ca="1" si="115"/>
        <v>0</v>
      </c>
      <c r="L515" s="61"/>
      <c r="M515" s="61"/>
      <c r="N515" s="61"/>
    </row>
    <row r="516" spans="1:14" ht="21.75" customHeight="1" x14ac:dyDescent="0.4">
      <c r="A516" s="55"/>
      <c r="B516" s="56"/>
      <c r="C516" s="56"/>
      <c r="D516" s="73"/>
      <c r="E516" s="77"/>
      <c r="F516" s="75"/>
      <c r="G516" s="334" t="s">
        <v>207</v>
      </c>
      <c r="H516" s="60" t="s">
        <v>103</v>
      </c>
      <c r="I516" s="67">
        <v>0</v>
      </c>
      <c r="J516" s="68">
        <v>0</v>
      </c>
      <c r="K516" s="49">
        <f t="shared" ca="1" si="115"/>
        <v>0</v>
      </c>
      <c r="L516" s="61"/>
      <c r="M516" s="61"/>
      <c r="N516" s="61"/>
    </row>
    <row r="517" spans="1:14" ht="21.75" customHeight="1" x14ac:dyDescent="0.4">
      <c r="A517" s="55"/>
      <c r="B517" s="56"/>
      <c r="C517" s="56"/>
      <c r="D517" s="73"/>
      <c r="E517" s="77"/>
      <c r="F517" s="75"/>
      <c r="G517" s="99" t="s">
        <v>209</v>
      </c>
      <c r="H517" s="60" t="s">
        <v>103</v>
      </c>
      <c r="I517" s="67">
        <f t="shared" ref="I517:J517" si="117">SUM(I518:I519)</f>
        <v>0</v>
      </c>
      <c r="J517" s="67">
        <f t="shared" si="117"/>
        <v>0</v>
      </c>
      <c r="K517" s="49">
        <f t="shared" ca="1" si="115"/>
        <v>0</v>
      </c>
      <c r="L517" s="61"/>
      <c r="M517" s="61"/>
      <c r="N517" s="61"/>
    </row>
    <row r="518" spans="1:14" ht="21.75" customHeight="1" x14ac:dyDescent="0.4">
      <c r="A518" s="55"/>
      <c r="B518" s="56"/>
      <c r="C518" s="56"/>
      <c r="D518" s="73"/>
      <c r="E518" s="77"/>
      <c r="F518" s="75"/>
      <c r="G518" s="334" t="s">
        <v>210</v>
      </c>
      <c r="H518" s="60" t="s">
        <v>103</v>
      </c>
      <c r="I518" s="67">
        <v>0</v>
      </c>
      <c r="J518" s="68">
        <v>0</v>
      </c>
      <c r="K518" s="49">
        <f t="shared" ca="1" si="115"/>
        <v>0</v>
      </c>
      <c r="L518" s="61"/>
      <c r="M518" s="61"/>
      <c r="N518" s="61"/>
    </row>
    <row r="519" spans="1:14" ht="21.75" customHeight="1" x14ac:dyDescent="0.4">
      <c r="A519" s="55"/>
      <c r="B519" s="56"/>
      <c r="C519" s="56"/>
      <c r="D519" s="73"/>
      <c r="E519" s="77"/>
      <c r="F519" s="75"/>
      <c r="G519" s="334" t="s">
        <v>211</v>
      </c>
      <c r="H519" s="60" t="s">
        <v>103</v>
      </c>
      <c r="I519" s="67">
        <v>0</v>
      </c>
      <c r="J519" s="68">
        <v>0</v>
      </c>
      <c r="K519" s="49">
        <f t="shared" ca="1" si="115"/>
        <v>0</v>
      </c>
      <c r="L519" s="61"/>
      <c r="M519" s="61"/>
      <c r="N519" s="61"/>
    </row>
    <row r="520" spans="1:14" ht="21.75" customHeight="1" x14ac:dyDescent="0.4">
      <c r="A520" s="335" t="s">
        <v>212</v>
      </c>
      <c r="B520" s="336"/>
      <c r="C520" s="336"/>
      <c r="D520" s="336"/>
      <c r="E520" s="336"/>
      <c r="F520" s="336"/>
      <c r="G520" s="337"/>
      <c r="H520" s="338"/>
      <c r="I520" s="339"/>
      <c r="J520" s="339"/>
      <c r="K520" s="340"/>
      <c r="L520" s="340"/>
      <c r="M520" s="340"/>
      <c r="N520" s="341"/>
    </row>
    <row r="521" spans="1:14" ht="21.75" customHeight="1" x14ac:dyDescent="0.4">
      <c r="A521" s="316"/>
      <c r="B521" s="45" t="s">
        <v>213</v>
      </c>
      <c r="C521" s="43"/>
      <c r="D521" s="51"/>
      <c r="E521" s="45"/>
      <c r="F521" s="45"/>
      <c r="G521" s="46"/>
      <c r="H521" s="342" t="s">
        <v>20</v>
      </c>
      <c r="I521" s="200">
        <f ca="1">IFERROR(__xludf.DUMMYFUNCTION("IMPORTRANGE(""https://docs.google.com/spreadsheets/d/1muirlRDkqiswvy_NRZ3Yh955hx-PF6_HhssUYiSJj8o/edit?usp=sharing"",""กองทุน!D27"")"),2520250)</f>
        <v>2520250</v>
      </c>
      <c r="J521" s="200">
        <f ca="1">IFERROR(__xludf.DUMMYFUNCTION("IMPORTRANGE(""https://docs.google.com/spreadsheets/d/1muirlRDkqiswvy_NRZ3Yh955hx-PF6_HhssUYiSJj8o/edit?usp=sharing"",""กองทุน!F27"")"),0)</f>
        <v>0</v>
      </c>
      <c r="K521" s="201">
        <f t="shared" ref="K521:K528" ca="1" si="118">IF(I521&gt;0,J521*100/I521,0)</f>
        <v>0</v>
      </c>
      <c r="L521" s="201"/>
      <c r="M521" s="201"/>
      <c r="N521" s="53"/>
    </row>
    <row r="522" spans="1:14" ht="21.75" customHeight="1" x14ac:dyDescent="0.4">
      <c r="A522" s="316"/>
      <c r="B522" s="43"/>
      <c r="C522" s="43"/>
      <c r="D522" s="51"/>
      <c r="E522" s="45"/>
      <c r="F522" s="45"/>
      <c r="G522" s="46"/>
      <c r="H522" s="342" t="s">
        <v>16</v>
      </c>
      <c r="I522" s="200">
        <f ca="1">IFERROR(__xludf.DUMMYFUNCTION("IMPORTRANGE(""https://docs.google.com/spreadsheets/d/1muirlRDkqiswvy_NRZ3Yh955hx-PF6_HhssUYiSJj8o/edit?usp=sharing"",""กองทุน!C27"")"),93)</f>
        <v>93</v>
      </c>
      <c r="J522" s="200">
        <f ca="1">IFERROR(__xludf.DUMMYFUNCTION("IMPORTRANGE(""https://docs.google.com/spreadsheets/d/1muirlRDkqiswvy_NRZ3Yh955hx-PF6_HhssUYiSJj8o/edit?usp=sharing"",""กองทุน!E27"")"),0)</f>
        <v>0</v>
      </c>
      <c r="K522" s="201">
        <f t="shared" ca="1" si="118"/>
        <v>0</v>
      </c>
      <c r="L522" s="201"/>
      <c r="M522" s="201"/>
      <c r="N522" s="53"/>
    </row>
    <row r="523" spans="1:14" ht="21.75" customHeight="1" x14ac:dyDescent="0.4">
      <c r="A523" s="316"/>
      <c r="B523" s="45" t="s">
        <v>214</v>
      </c>
      <c r="C523" s="43"/>
      <c r="D523" s="51"/>
      <c r="E523" s="45"/>
      <c r="F523" s="45"/>
      <c r="G523" s="46"/>
      <c r="H523" s="342" t="s">
        <v>20</v>
      </c>
      <c r="I523" s="200">
        <f ca="1">IFERROR(__xludf.DUMMYFUNCTION("IMPORTRANGE(""https://docs.google.com/spreadsheets/d/1muirlRDkqiswvy_NRZ3Yh955hx-PF6_HhssUYiSJj8o/edit?usp=sharing"",""กองทุน!I27"")"),510790.7)</f>
        <v>510790.7</v>
      </c>
      <c r="J523" s="200">
        <f ca="1">IFERROR(__xludf.DUMMYFUNCTION("IMPORTRANGE(""https://docs.google.com/spreadsheets/d/1muirlRDkqiswvy_NRZ3Yh955hx-PF6_HhssUYiSJj8o/edit?usp=sharing"",""กองทุน!K27"")"),18642.2)</f>
        <v>18642.2</v>
      </c>
      <c r="K523" s="201">
        <f t="shared" ca="1" si="118"/>
        <v>3.6496749059839968</v>
      </c>
      <c r="L523" s="201"/>
      <c r="M523" s="201"/>
      <c r="N523" s="53"/>
    </row>
    <row r="524" spans="1:14" ht="21.75" customHeight="1" x14ac:dyDescent="0.4">
      <c r="A524" s="316"/>
      <c r="B524" s="43"/>
      <c r="C524" s="43"/>
      <c r="D524" s="51"/>
      <c r="E524" s="45"/>
      <c r="F524" s="45"/>
      <c r="G524" s="46"/>
      <c r="H524" s="342" t="s">
        <v>16</v>
      </c>
      <c r="I524" s="200">
        <f ca="1">IFERROR(__xludf.DUMMYFUNCTION("IMPORTRANGE(""https://docs.google.com/spreadsheets/d/1muirlRDkqiswvy_NRZ3Yh955hx-PF6_HhssUYiSJj8o/edit?usp=sharing"",""กองทุน!H27"")"),29)</f>
        <v>29</v>
      </c>
      <c r="J524" s="200">
        <f ca="1">IFERROR(__xludf.DUMMYFUNCTION("IMPORTRANGE(""https://docs.google.com/spreadsheets/d/1muirlRDkqiswvy_NRZ3Yh955hx-PF6_HhssUYiSJj8o/edit?usp=sharing"",""กองทุน!J27"")"),1)</f>
        <v>1</v>
      </c>
      <c r="K524" s="201">
        <f t="shared" ca="1" si="118"/>
        <v>3.4482758620689653</v>
      </c>
      <c r="L524" s="201"/>
      <c r="M524" s="201"/>
      <c r="N524" s="53"/>
    </row>
    <row r="525" spans="1:14" ht="21.75" customHeight="1" x14ac:dyDescent="0.4">
      <c r="A525" s="316"/>
      <c r="B525" s="45" t="s">
        <v>215</v>
      </c>
      <c r="C525" s="43"/>
      <c r="D525" s="51"/>
      <c r="E525" s="45"/>
      <c r="F525" s="45"/>
      <c r="G525" s="46"/>
      <c r="H525" s="342" t="s">
        <v>20</v>
      </c>
      <c r="I525" s="200">
        <f ca="1">IFERROR(__xludf.DUMMYFUNCTION("IMPORTRANGE(""https://docs.google.com/spreadsheets/d/1muirlRDkqiswvy_NRZ3Yh955hx-PF6_HhssUYiSJj8o/edit?usp=sharing"",""กองทุน!N27"")"),6470086.69)</f>
        <v>6470086.6900000004</v>
      </c>
      <c r="J525" s="200">
        <f ca="1">IFERROR(__xludf.DUMMYFUNCTION("IMPORTRANGE(""https://docs.google.com/spreadsheets/d/1muirlRDkqiswvy_NRZ3Yh955hx-PF6_HhssUYiSJj8o/edit?usp=sharing"",""กองทุน!P27"")"),145914.85)</f>
        <v>145914.85</v>
      </c>
      <c r="K525" s="201">
        <f t="shared" ca="1" si="118"/>
        <v>2.2552224875985392</v>
      </c>
      <c r="L525" s="201"/>
      <c r="M525" s="201"/>
      <c r="N525" s="53"/>
    </row>
    <row r="526" spans="1:14" ht="21.75" customHeight="1" x14ac:dyDescent="0.4">
      <c r="A526" s="316"/>
      <c r="B526" s="45"/>
      <c r="C526" s="43"/>
      <c r="D526" s="51"/>
      <c r="E526" s="45"/>
      <c r="F526" s="45"/>
      <c r="G526" s="46"/>
      <c r="H526" s="342" t="s">
        <v>16</v>
      </c>
      <c r="I526" s="200">
        <f ca="1">IFERROR(__xludf.DUMMYFUNCTION("IMPORTRANGE(""https://docs.google.com/spreadsheets/d/1muirlRDkqiswvy_NRZ3Yh955hx-PF6_HhssUYiSJj8o/edit?usp=sharing"",""กองทุน!M27"")"),262)</f>
        <v>262</v>
      </c>
      <c r="J526" s="200">
        <f ca="1">IFERROR(__xludf.DUMMYFUNCTION("IMPORTRANGE(""https://docs.google.com/spreadsheets/d/1muirlRDkqiswvy_NRZ3Yh955hx-PF6_HhssUYiSJj8o/edit?usp=sharing"",""กองทุน!O27"")"),14)</f>
        <v>14</v>
      </c>
      <c r="K526" s="201">
        <f t="shared" ca="1" si="118"/>
        <v>5.343511450381679</v>
      </c>
      <c r="L526" s="201"/>
      <c r="M526" s="201"/>
      <c r="N526" s="53"/>
    </row>
    <row r="527" spans="1:14" ht="21.75" customHeight="1" x14ac:dyDescent="0.4">
      <c r="A527" s="316"/>
      <c r="B527" s="45" t="s">
        <v>216</v>
      </c>
      <c r="C527" s="43"/>
      <c r="D527" s="51"/>
      <c r="E527" s="45"/>
      <c r="F527" s="45"/>
      <c r="G527" s="46"/>
      <c r="H527" s="342" t="s">
        <v>20</v>
      </c>
      <c r="I527" s="200">
        <f ca="1">IFERROR(__xludf.DUMMYFUNCTION("IMPORTRANGE(""https://docs.google.com/spreadsheets/d/1muirlRDkqiswvy_NRZ3Yh955hx-PF6_HhssUYiSJj8o/edit?usp=sharing"",""กองทุน!S27"")"),2320000)</f>
        <v>2320000</v>
      </c>
      <c r="J527" s="200">
        <f ca="1">IFERROR(__xludf.DUMMYFUNCTION("IMPORTRANGE(""https://docs.google.com/spreadsheets/d/1muirlRDkqiswvy_NRZ3Yh955hx-PF6_HhssUYiSJj8o/edit?usp=sharing"",""กองทุน!U27"")"),0)</f>
        <v>0</v>
      </c>
      <c r="K527" s="201">
        <f t="shared" ca="1" si="118"/>
        <v>0</v>
      </c>
      <c r="L527" s="201"/>
      <c r="M527" s="201"/>
      <c r="N527" s="53"/>
    </row>
    <row r="528" spans="1:14" ht="21.75" customHeight="1" x14ac:dyDescent="0.4">
      <c r="A528" s="317"/>
      <c r="B528" s="319"/>
      <c r="C528" s="319"/>
      <c r="D528" s="318"/>
      <c r="E528" s="343"/>
      <c r="F528" s="343"/>
      <c r="G528" s="344"/>
      <c r="H528" s="345" t="s">
        <v>16</v>
      </c>
      <c r="I528" s="322">
        <f ca="1">IFERROR(__xludf.DUMMYFUNCTION("IMPORTRANGE(""https://docs.google.com/spreadsheets/d/1muirlRDkqiswvy_NRZ3Yh955hx-PF6_HhssUYiSJj8o/edit?usp=sharing"",""กองทุน!R27"")"),87)</f>
        <v>87</v>
      </c>
      <c r="J528" s="322">
        <f ca="1">IFERROR(__xludf.DUMMYFUNCTION("IMPORTRANGE(""https://docs.google.com/spreadsheets/d/1muirlRDkqiswvy_NRZ3Yh955hx-PF6_HhssUYiSJj8o/edit?usp=sharing"",""กองทุน!T27"")"),0)</f>
        <v>0</v>
      </c>
      <c r="K528" s="323">
        <f t="shared" ca="1" si="118"/>
        <v>0</v>
      </c>
      <c r="L528" s="323"/>
      <c r="M528" s="323"/>
      <c r="N528" s="346"/>
    </row>
    <row r="529" spans="1:14" ht="21.75" customHeight="1" x14ac:dyDescent="0.4">
      <c r="A529" s="347"/>
      <c r="B529" s="347"/>
      <c r="C529" s="347"/>
      <c r="D529" s="347"/>
      <c r="E529" s="348" t="s">
        <v>217</v>
      </c>
      <c r="F529" s="348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&amp;P/&amp;N&amp;R&amp;F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18</vt:i4>
      </vt:variant>
    </vt:vector>
  </HeadingPairs>
  <TitlesOfParts>
    <vt:vector size="36" baseType="lpstr">
      <vt:lpstr>รวมเหนือ</vt:lpstr>
      <vt:lpstr>กำแพงเพชร</vt:lpstr>
      <vt:lpstr>เชียงราย</vt:lpstr>
      <vt:lpstr>เชียงใหม่</vt:lpstr>
      <vt:lpstr>ตาก</vt:lpstr>
      <vt:lpstr>นครสวรรค์</vt:lpstr>
      <vt:lpstr>น่าน</vt:lpstr>
      <vt:lpstr>พะเยา</vt:lpstr>
      <vt:lpstr>พิจิตร</vt:lpstr>
      <vt:lpstr>พิษณุโลก</vt:lpstr>
      <vt:lpstr>เพชรบูรณ์</vt:lpstr>
      <vt:lpstr>แพร่</vt:lpstr>
      <vt:lpstr>แม่ฮ่องสอน</vt:lpstr>
      <vt:lpstr>ลำปาง</vt:lpstr>
      <vt:lpstr>ลำพูน</vt:lpstr>
      <vt:lpstr>สุโขทัย</vt:lpstr>
      <vt:lpstr>อุตรดิตถ์</vt:lpstr>
      <vt:lpstr>อุทัยธานี</vt:lpstr>
      <vt:lpstr>กำแพงเพชร!Print_Titles</vt:lpstr>
      <vt:lpstr>เชียงราย!Print_Titles</vt:lpstr>
      <vt:lpstr>เชียงใหม่!Print_Titles</vt:lpstr>
      <vt:lpstr>ตาก!Print_Titles</vt:lpstr>
      <vt:lpstr>นครสวรรค์!Print_Titles</vt:lpstr>
      <vt:lpstr>น่าน!Print_Titles</vt:lpstr>
      <vt:lpstr>พะเยา!Print_Titles</vt:lpstr>
      <vt:lpstr>พิจิตร!Print_Titles</vt:lpstr>
      <vt:lpstr>พิษณุโลก!Print_Titles</vt:lpstr>
      <vt:lpstr>เพชรบูรณ์!Print_Titles</vt:lpstr>
      <vt:lpstr>แพร่!Print_Titles</vt:lpstr>
      <vt:lpstr>แม่ฮ่องสอน!Print_Titles</vt:lpstr>
      <vt:lpstr>รวมเหนือ!Print_Titles</vt:lpstr>
      <vt:lpstr>ลำปาง!Print_Titles</vt:lpstr>
      <vt:lpstr>ลำพูน!Print_Titles</vt:lpstr>
      <vt:lpstr>สุโขทัย!Print_Titles</vt:lpstr>
      <vt:lpstr>อุตรดิตถ์!Print_Titles</vt:lpstr>
      <vt:lpstr>อุทัยธานี!Print_Titles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cp:lastPrinted>2022-02-17T02:47:38Z</cp:lastPrinted>
  <dcterms:modified xsi:type="dcterms:W3CDTF">2022-02-17T04:57:28Z</dcterms:modified>
</cp:coreProperties>
</file>